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7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20" sheetId="98" r:id="rId81"/>
    <sheet name="413" sheetId="93" r:id="rId82"/>
    <sheet name="414" sheetId="94" r:id="rId83"/>
    <sheet name="415" sheetId="95" r:id="rId84"/>
    <sheet name="418" sheetId="97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45" sheetId="106" r:id="rId95"/>
    <sheet name="450" sheetId="107" r:id="rId96"/>
    <sheet name="Div 5" sheetId="48" r:id="rId97"/>
    <sheet name="501" sheetId="109" r:id="rId98"/>
    <sheet name="Dept" sheetId="110" state="hidden" r:id="rId99"/>
    <sheet name="OSR_Dept_Y0WUKY" sheetId="111" state="hidden" r:id="rId100"/>
    <sheet name="OSR_Summary (...56e5d78f_5JEYZH" sheetId="112" state="hidden" r:id="rId101"/>
  </sheets>
  <definedNames>
    <definedName name="OSRRefD13x_0" localSheetId="48">'300'!$D$13:$D$115</definedName>
    <definedName name="OSRRefD13x_0" localSheetId="49">'300 &amp; 317'!$D$13:$D$133</definedName>
    <definedName name="OSRRefD13x_0" localSheetId="55">'308'!$D$13:$D$44</definedName>
    <definedName name="OSRRefD13x_0" localSheetId="67">'309'!$D$13:$D$14</definedName>
    <definedName name="OSRRefD13x_0" localSheetId="66">'310'!$D$13:$D$24</definedName>
    <definedName name="OSRRefD13x_0" localSheetId="74">'310 &amp; 491'!$D$13:$D$33</definedName>
    <definedName name="OSRRefD13x_0" localSheetId="56">'311'!$D$13:$D$42</definedName>
    <definedName name="OSRRefD13x_0" localSheetId="68">'313'!$D$13:$D$21</definedName>
    <definedName name="OSRRefD13x_0" localSheetId="54">'314'!$D$13:$D$33</definedName>
    <definedName name="OSRRefD13x_0" localSheetId="59">'315'!$D$13:$D$33</definedName>
    <definedName name="OSRRefD13x_0" localSheetId="62">'316'!$D$13:$D$27</definedName>
    <definedName name="OSRRefD13x_0" localSheetId="65">'317'!$D$13:$D$36</definedName>
    <definedName name="OSRRefD13x_0" localSheetId="63">'320'!$D$13:$D$18</definedName>
    <definedName name="OSRRefD13x_0" localSheetId="69">'321'!$D$13:$D$14</definedName>
    <definedName name="OSRRefD13x_0" localSheetId="70">'322'!$D$13:$D$14</definedName>
    <definedName name="OSRRefD13x_0" localSheetId="57">'324'!$D$13:$D$16</definedName>
    <definedName name="OSRRefD13x_0" localSheetId="71">'325'!$D$13:$D$14</definedName>
    <definedName name="OSRRefD13x_0" localSheetId="60">'326'!$D$13:$D$36</definedName>
    <definedName name="OSRRefD13x_0" localSheetId="72">'327'!$D$13</definedName>
    <definedName name="OSRRefD13x_0" localSheetId="52">'330'!$D$13:$D$55</definedName>
    <definedName name="OSRRefD13x_0" localSheetId="58">'331'!$D$13:$D$44</definedName>
    <definedName name="OSRRefD13x_0" localSheetId="61">'332'!$D$13:$D$33</definedName>
    <definedName name="OSRRefD13x_0" localSheetId="76">'405'!$D$13:$D$14</definedName>
    <definedName name="OSRRefD13x_0" localSheetId="77">'406'!$D$13:$D$14</definedName>
    <definedName name="OSRRefD13x_0" localSheetId="79">'412'!$D$13:$D$15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0">'420'!$D$13:$D$14</definedName>
    <definedName name="OSRRefD13x_0" localSheetId="86">'424'!$D$13:$D$16</definedName>
    <definedName name="OSRRefD13x_0" localSheetId="87">'425'!$D$13:$D$17</definedName>
    <definedName name="OSRRefD13x_0" localSheetId="91">'433'!$D$13:$D$16</definedName>
    <definedName name="OSRRefD13x_0" localSheetId="92">'435'!$D$13:$D$15</definedName>
    <definedName name="OSRRefD13x_0" localSheetId="93">'444'!$D$13:$D$15</definedName>
    <definedName name="OSRRefD13x_0" localSheetId="95">'450'!$D$13:$D$15</definedName>
    <definedName name="OSRRefD13x_0" localSheetId="75">'491'!$D$13:$D$24</definedName>
    <definedName name="OSRRefD13x_0" localSheetId="89">'492'!$D$13:$D$18</definedName>
    <definedName name="OSRRefD13x_0" localSheetId="97">'501'!$D$13</definedName>
    <definedName name="OSRRefD13x_0" localSheetId="47">'Div 3'!$D$13:$D$118</definedName>
    <definedName name="OSRRefD13x_0" localSheetId="73">'Div 4'!$D$13:$D$25</definedName>
    <definedName name="OSRRefD13x_0" localSheetId="96">'Div 5'!$D$13</definedName>
    <definedName name="OSRRefD13x_0" localSheetId="64">'Div 6'!$D$13:$D$36</definedName>
    <definedName name="OSRRefD13x_0" localSheetId="2">Summary!$D$13:$D$146</definedName>
    <definedName name="OSRRefD16x_0" localSheetId="48">'300'!$D$118:$D$168</definedName>
    <definedName name="OSRRefD16x_0" localSheetId="49">'300 &amp; 317'!$D$136:$D$194</definedName>
    <definedName name="OSRRefD16x_0" localSheetId="50">'301'!$D$15</definedName>
    <definedName name="OSRRefD16x_0" localSheetId="55">'308'!$D$47:$D$62</definedName>
    <definedName name="OSRRefD16x_0" localSheetId="67">'309'!$D$17:$D$18</definedName>
    <definedName name="OSRRefD16x_0" localSheetId="66">'310'!$D$27:$D$28</definedName>
    <definedName name="OSRRefD16x_0" localSheetId="74">'310 &amp; 491'!$D$36:$D$37</definedName>
    <definedName name="OSRRefD16x_0" localSheetId="56">'311'!$D$45:$D$60</definedName>
    <definedName name="OSRRefD16x_0" localSheetId="68">'313'!$D$24:$D$25</definedName>
    <definedName name="OSRRefD16x_0" localSheetId="54">'314'!$D$36:$D$50</definedName>
    <definedName name="OSRRefD16x_0" localSheetId="59">'315'!$D$36:$D$51</definedName>
    <definedName name="OSRRefD16x_0" localSheetId="65">'317'!$D$39:$D$53</definedName>
    <definedName name="OSRRefD16x_0" localSheetId="63">'320'!$D$21:$D$25</definedName>
    <definedName name="OSRRefD16x_0" localSheetId="69">'321'!$D$17:$D$18</definedName>
    <definedName name="OSRRefD16x_0" localSheetId="70">'322'!$D$17:$D$18</definedName>
    <definedName name="OSRRefD16x_0" localSheetId="57">'324'!$D$19:$D$20</definedName>
    <definedName name="OSRRefD16x_0" localSheetId="71">'325'!$D$17:$D$18</definedName>
    <definedName name="OSRRefD16x_0" localSheetId="60">'326'!$D$39:$D$56</definedName>
    <definedName name="OSRRefD16x_0" localSheetId="72">'327'!$D$16</definedName>
    <definedName name="OSRRefD16x_0" localSheetId="52">'330'!$D$58:$D$81</definedName>
    <definedName name="OSRRefD16x_0" localSheetId="58">'331'!$D$47:$D$70</definedName>
    <definedName name="OSRRefD16x_0" localSheetId="61">'332'!$D$36:$D$40</definedName>
    <definedName name="OSRRefD16x_0" localSheetId="76">'405'!$D$17:$D$18</definedName>
    <definedName name="OSRRefD16x_0" localSheetId="77">'406'!$D$17:$D$18</definedName>
    <definedName name="OSRRefD16x_0" localSheetId="79">'412'!$D$18:$D$19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0">'420'!$D$17:$D$18</definedName>
    <definedName name="OSRRefD16x_0" localSheetId="85">'423'!$D$15</definedName>
    <definedName name="OSRRefD16x_0" localSheetId="86">'424'!$D$19:$D$20</definedName>
    <definedName name="OSRRefD16x_0" localSheetId="87">'425'!$D$20:$D$21</definedName>
    <definedName name="OSRRefD16x_0" localSheetId="91">'433'!$D$19:$D$20</definedName>
    <definedName name="OSRRefD16x_0" localSheetId="92">'435'!$D$18:$D$19</definedName>
    <definedName name="OSRRefD16x_0" localSheetId="93">'444'!$D$18:$D$19</definedName>
    <definedName name="OSRRefD16x_0" localSheetId="95">'450'!$D$18:$D$19</definedName>
    <definedName name="OSRRefD16x_0" localSheetId="75">'491'!$D$27:$D$28</definedName>
    <definedName name="OSRRefD16x_0" localSheetId="89">'492'!$D$21:$D$22</definedName>
    <definedName name="OSRRefD16x_0" localSheetId="47">'Div 3'!$D$121:$D$173</definedName>
    <definedName name="OSRRefD16x_0" localSheetId="73">'Div 4'!$D$28:$D$29</definedName>
    <definedName name="OSRRefD16x_0" localSheetId="64">'Div 6'!$D$39:$D$53</definedName>
    <definedName name="OSRRefD16x_0" localSheetId="2">Summary!$D$149:$D$209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'206'!$D$20:$D$27</definedName>
    <definedName name="OSRRefD22_0x_0" localSheetId="48">'300'!$D$174:$D$182</definedName>
    <definedName name="OSRRefD22_0x_0" localSheetId="49">'300 &amp; 317'!$D$200:$D$208</definedName>
    <definedName name="OSRRefD22_0x_0" localSheetId="50">'301'!$D$21:$D$28</definedName>
    <definedName name="OSRRefD22_0x_0" localSheetId="53">'307'!$D$20:$D$27</definedName>
    <definedName name="OSRRefD22_0x_0" localSheetId="55">'308'!$D$68:$D$76</definedName>
    <definedName name="OSRRefD22_0x_0" localSheetId="67">'309'!$D$24:$D$31</definedName>
    <definedName name="OSRRefD22_0x_0" localSheetId="66">'310'!$D$34:$D$41</definedName>
    <definedName name="OSRRefD22_0x_0" localSheetId="74">'310 &amp; 491'!$D$43:$D$51</definedName>
    <definedName name="OSRRefD22_0x_0" localSheetId="56">'311'!$D$66:$D$74</definedName>
    <definedName name="OSRRefD22_0x_0" localSheetId="68">'313'!$D$31:$D$38</definedName>
    <definedName name="OSRRefD22_0x_0" localSheetId="54">'314'!$D$56:$D$64</definedName>
    <definedName name="OSRRefD22_0x_0" localSheetId="59">'315'!$D$57:$D$64</definedName>
    <definedName name="OSRRefD22_0x_0" localSheetId="62">'316'!$D$35:$D$42</definedName>
    <definedName name="OSRRefD22_0x_0" localSheetId="65">'317'!$D$59:$D$67</definedName>
    <definedName name="OSRRefD22_0x_0" localSheetId="63">'320'!$D$31:$D$38</definedName>
    <definedName name="OSRRefD22_0x_0" localSheetId="69">'321'!$D$24:$D$30</definedName>
    <definedName name="OSRRefD22_0x_0" localSheetId="70">'322'!$D$24:$D$31</definedName>
    <definedName name="OSRRefD22_0x_0" localSheetId="57">'324'!$D$26</definedName>
    <definedName name="OSRRefD22_0x_0" localSheetId="71">'325'!$D$24:$D$31</definedName>
    <definedName name="OSRRefD22_0x_0" localSheetId="60">'326'!$D$62:$D$69</definedName>
    <definedName name="OSRRefD22_0x_0" localSheetId="72">'327'!$D$22</definedName>
    <definedName name="OSRRefD22_0x_0" localSheetId="52">'330'!$D$87:$D$95</definedName>
    <definedName name="OSRRefD22_0x_0" localSheetId="58">'331'!$D$76:$D$83</definedName>
    <definedName name="OSRRefD22_0x_0" localSheetId="61">'332'!$D$46:$D$53</definedName>
    <definedName name="OSRRefD22_0x_0" localSheetId="76">'405'!$D$24:$D$31</definedName>
    <definedName name="OSRRefD22_0x_0" localSheetId="77">'406'!$D$24:$D$31</definedName>
    <definedName name="OSRRefD22_0x_0" localSheetId="78">'411'!$D$20:$D$28</definedName>
    <definedName name="OSRRefD22_0x_0" localSheetId="79">'412'!$D$25:$D$32</definedName>
    <definedName name="OSRRefD22_0x_0" localSheetId="81">'413'!$D$24:$D$31</definedName>
    <definedName name="OSRRefD22_0x_0" localSheetId="82">'414'!$D$24:$D$31</definedName>
    <definedName name="OSRRefD22_0x_0" localSheetId="83">'415'!$D$24:$D$31</definedName>
    <definedName name="OSRRefD22_0x_0" localSheetId="84">'418'!$D$24:$D$31</definedName>
    <definedName name="OSRRefD22_0x_0" localSheetId="80">'420'!$D$24:$D$31</definedName>
    <definedName name="OSRRefD22_0x_0" localSheetId="85">'423'!$D$21:$D$28</definedName>
    <definedName name="OSRRefD22_0x_0" localSheetId="86">'424'!$D$26:$D$28</definedName>
    <definedName name="OSRRefD22_0x_0" localSheetId="87">'425'!$D$27:$D$35</definedName>
    <definedName name="OSRRefD22_0x_0" localSheetId="90">'430'!$D$20:$D$27</definedName>
    <definedName name="OSRRefD22_0x_0" localSheetId="91">'433'!$D$26:$D$34</definedName>
    <definedName name="OSRRefD22_0x_0" localSheetId="92">'435'!$D$25:$D$27</definedName>
    <definedName name="OSRRefD22_0x_0" localSheetId="93">'444'!$D$25:$D$33</definedName>
    <definedName name="OSRRefD22_0x_0" localSheetId="94">'445'!$D$20</definedName>
    <definedName name="OSRRefD22_0x_0" localSheetId="95">'450'!$D$25:$D$33</definedName>
    <definedName name="OSRRefD22_0x_0" localSheetId="88">'455'!$D$20:$D$26</definedName>
    <definedName name="OSRRefD22_0x_0" localSheetId="75">'491'!$D$34:$D$42</definedName>
    <definedName name="OSRRefD22_0x_0" localSheetId="89">'492'!$D$28:$D$36</definedName>
    <definedName name="OSRRefD22_0x_0" localSheetId="97">'501'!$D$21:$D$28</definedName>
    <definedName name="OSRRefD22_0x_0" localSheetId="39">'Div 2'!$D$20:$D$30</definedName>
    <definedName name="OSRRefD22_0x_0" localSheetId="47">'Div 3'!$D$179:$D$187</definedName>
    <definedName name="OSRRefD22_0x_0" localSheetId="73">'Div 4'!$D$35:$D$43</definedName>
    <definedName name="OSRRefD22_0x_0" localSheetId="96">'Div 5'!$D$21:$D$28</definedName>
    <definedName name="OSRRefD22_0x_0" localSheetId="64">'Div 6'!$D$59:$D$67</definedName>
    <definedName name="OSRRefD22_0x_0" localSheetId="2">Summary!$D$215:$D$223</definedName>
    <definedName name="OSRRefD22_10x_0" localSheetId="41">'201'!$D$50:$D$52</definedName>
    <definedName name="OSRRefD22_10x_0" localSheetId="42">'202'!$D$52:$D$54</definedName>
    <definedName name="OSRRefD22_10x_0" localSheetId="43">'203'!$D$55:$D$56</definedName>
    <definedName name="OSRRefD22_10x_0" localSheetId="44">'204'!$D$60:$D$61</definedName>
    <definedName name="OSRRefD22_10x_0" localSheetId="48">'300'!$D$211:$D$212</definedName>
    <definedName name="OSRRefD22_10x_0" localSheetId="49">'300 &amp; 317'!$D$237:$D$238</definedName>
    <definedName name="OSRRefD22_10x_0" localSheetId="50">'301'!$D$57</definedName>
    <definedName name="OSRRefD22_10x_0" localSheetId="53">'307'!$D$51:$D$52</definedName>
    <definedName name="OSRRefD22_10x_0" localSheetId="55">'308'!$D$104:$D$105</definedName>
    <definedName name="OSRRefD22_10x_0" localSheetId="67">'309'!$D$56:$D$58</definedName>
    <definedName name="OSRRefD22_10x_0" localSheetId="66">'310'!$D$68</definedName>
    <definedName name="OSRRefD22_10x_0" localSheetId="74">'310 &amp; 491'!$D$79:$D$80</definedName>
    <definedName name="OSRRefD22_10x_0" localSheetId="56">'311'!$D$102:$D$103</definedName>
    <definedName name="OSRRefD22_10x_0" localSheetId="68">'313'!$D$66:$D$67</definedName>
    <definedName name="OSRRefD22_10x_0" localSheetId="54">'314'!$D$90</definedName>
    <definedName name="OSRRefD22_10x_0" localSheetId="59">'315'!$D$93:$D$94</definedName>
    <definedName name="OSRRefD22_10x_0" localSheetId="62">'316'!$D$67:$D$71</definedName>
    <definedName name="OSRRefD22_10x_0" localSheetId="65">'317'!$D$92</definedName>
    <definedName name="OSRRefD22_10x_0" localSheetId="69">'321'!$D$58:$D$63</definedName>
    <definedName name="OSRRefD22_10x_0" localSheetId="70">'322'!$D$55</definedName>
    <definedName name="OSRRefD22_10x_0" localSheetId="71">'325'!$D$57</definedName>
    <definedName name="OSRRefD22_10x_0" localSheetId="60">'326'!$D$93</definedName>
    <definedName name="OSRRefD22_10x_0" localSheetId="52">'330'!$D$120</definedName>
    <definedName name="OSRRefD22_10x_0" localSheetId="58">'331'!$D$110</definedName>
    <definedName name="OSRRefD22_10x_0" localSheetId="61">'332'!$D$80</definedName>
    <definedName name="OSRRefD22_10x_0" localSheetId="76">'405'!$D$56:$D$57</definedName>
    <definedName name="OSRRefD22_10x_0" localSheetId="77">'406'!$D$58:$D$59</definedName>
    <definedName name="OSRRefD22_10x_0" localSheetId="78">'411'!$D$55</definedName>
    <definedName name="OSRRefD22_10x_0" localSheetId="79">'412'!$D$59</definedName>
    <definedName name="OSRRefD22_10x_0" localSheetId="81">'413'!$D$59:$D$64</definedName>
    <definedName name="OSRRefD22_10x_0" localSheetId="82">'414'!$D$57</definedName>
    <definedName name="OSRRefD22_10x_0" localSheetId="83">'415'!$D$57</definedName>
    <definedName name="OSRRefD22_10x_0" localSheetId="84">'418'!$D$57:$D$58</definedName>
    <definedName name="OSRRefD22_10x_0" localSheetId="86">'424'!$D$53</definedName>
    <definedName name="OSRRefD22_10x_0" localSheetId="87">'425'!$D$62</definedName>
    <definedName name="OSRRefD22_10x_0" localSheetId="91">'433'!$D$59:$D$61</definedName>
    <definedName name="OSRRefD22_10x_0" localSheetId="93">'444'!$D$58</definedName>
    <definedName name="OSRRefD22_10x_0" localSheetId="95">'450'!$D$58</definedName>
    <definedName name="OSRRefD22_10x_0" localSheetId="75">'491'!$D$70</definedName>
    <definedName name="OSRRefD22_10x_0" localSheetId="89">'492'!$D$62</definedName>
    <definedName name="OSRRefD22_10x_0" localSheetId="97">'501'!$D$54:$D$56</definedName>
    <definedName name="OSRRefD22_10x_0" localSheetId="39">'Div 2'!$D$57</definedName>
    <definedName name="OSRRefD22_10x_0" localSheetId="47">'Div 3'!$D$216:$D$217</definedName>
    <definedName name="OSRRefD22_10x_0" localSheetId="73">'Div 4'!$D$71</definedName>
    <definedName name="OSRRefD22_10x_0" localSheetId="96">'Div 5'!$D$54:$D$56</definedName>
    <definedName name="OSRRefD22_10x_0" localSheetId="64">'Div 6'!$D$92</definedName>
    <definedName name="OSRRefD22_10x_0" localSheetId="2">Summary!$D$253:$D$254</definedName>
    <definedName name="OSRRefD22_11x_0" localSheetId="41">'201'!$D$54:$D$56</definedName>
    <definedName name="OSRRefD22_11x_0" localSheetId="42">'202'!$D$56</definedName>
    <definedName name="OSRRefD22_11x_0" localSheetId="43">'203'!$D$58:$D$59</definedName>
    <definedName name="OSRRefD22_11x_0" localSheetId="48">'300'!$D$214</definedName>
    <definedName name="OSRRefD22_11x_0" localSheetId="49">'300 &amp; 317'!$D$240</definedName>
    <definedName name="OSRRefD22_11x_0" localSheetId="50">'301'!$D$59</definedName>
    <definedName name="OSRRefD22_11x_0" localSheetId="53">'307'!$D$54</definedName>
    <definedName name="OSRRefD22_11x_0" localSheetId="55">'308'!$D$107:$D$110</definedName>
    <definedName name="OSRRefD22_11x_0" localSheetId="67">'309'!$D$60</definedName>
    <definedName name="OSRRefD22_11x_0" localSheetId="66">'310'!$D$70</definedName>
    <definedName name="OSRRefD22_11x_0" localSheetId="74">'310 &amp; 491'!$D$82:$D$83</definedName>
    <definedName name="OSRRefD22_11x_0" localSheetId="56">'311'!$D$105:$D$108</definedName>
    <definedName name="OSRRefD22_11x_0" localSheetId="68">'313'!$D$69:$D$70</definedName>
    <definedName name="OSRRefD22_11x_0" localSheetId="59">'315'!$D$96:$D$97</definedName>
    <definedName name="OSRRefD22_11x_0" localSheetId="62">'316'!$D$73</definedName>
    <definedName name="OSRRefD22_11x_0" localSheetId="65">'317'!$D$94</definedName>
    <definedName name="OSRRefD22_11x_0" localSheetId="69">'321'!$D$65</definedName>
    <definedName name="OSRRefD22_11x_0" localSheetId="70">'322'!$D$57:$D$58</definedName>
    <definedName name="OSRRefD22_11x_0" localSheetId="71">'325'!$D$59:$D$61</definedName>
    <definedName name="OSRRefD22_11x_0" localSheetId="60">'326'!$D$95</definedName>
    <definedName name="OSRRefD22_11x_0" localSheetId="52">'330'!$D$122:$D$123</definedName>
    <definedName name="OSRRefD22_11x_0" localSheetId="58">'331'!$D$112</definedName>
    <definedName name="OSRRefD22_11x_0" localSheetId="61">'332'!$D$82:$D$86</definedName>
    <definedName name="OSRRefD22_11x_0" localSheetId="76">'405'!$D$59</definedName>
    <definedName name="OSRRefD22_11x_0" localSheetId="77">'406'!$D$61:$D$66</definedName>
    <definedName name="OSRRefD22_11x_0" localSheetId="78">'411'!$D$57</definedName>
    <definedName name="OSRRefD22_11x_0" localSheetId="79">'412'!$D$61:$D$63</definedName>
    <definedName name="OSRRefD22_11x_0" localSheetId="81">'413'!$D$66</definedName>
    <definedName name="OSRRefD22_11x_0" localSheetId="82">'414'!$D$59</definedName>
    <definedName name="OSRRefD22_11x_0" localSheetId="83">'415'!$D$59:$D$62</definedName>
    <definedName name="OSRRefD22_11x_0" localSheetId="84">'418'!$D$60:$D$62</definedName>
    <definedName name="OSRRefD22_11x_0" localSheetId="86">'424'!$D$55</definedName>
    <definedName name="OSRRefD22_11x_0" localSheetId="87">'425'!$D$64:$D$66</definedName>
    <definedName name="OSRRefD22_11x_0" localSheetId="91">'433'!$D$63:$D$65</definedName>
    <definedName name="OSRRefD22_11x_0" localSheetId="93">'444'!$D$60:$D$62</definedName>
    <definedName name="OSRRefD22_11x_0" localSheetId="95">'450'!$D$60</definedName>
    <definedName name="OSRRefD22_11x_0" localSheetId="75">'491'!$D$72:$D$73</definedName>
    <definedName name="OSRRefD22_11x_0" localSheetId="89">'492'!$D$64</definedName>
    <definedName name="OSRRefD22_11x_0" localSheetId="97">'501'!$D$58</definedName>
    <definedName name="OSRRefD22_11x_0" localSheetId="39">'Div 2'!$D$59</definedName>
    <definedName name="OSRRefD22_11x_0" localSheetId="47">'Div 3'!$D$219</definedName>
    <definedName name="OSRRefD22_11x_0" localSheetId="73">'Div 4'!$D$73:$D$74</definedName>
    <definedName name="OSRRefD22_11x_0" localSheetId="96">'Div 5'!$D$58</definedName>
    <definedName name="OSRRefD22_11x_0" localSheetId="64">'Div 6'!$D$94</definedName>
    <definedName name="OSRRefD22_11x_0" localSheetId="2">Summary!$D$256:$D$257</definedName>
    <definedName name="OSRRefD22_12x_0" localSheetId="41">'201'!$D$58</definedName>
    <definedName name="OSRRefD22_12x_0" localSheetId="42">'202'!$D$58</definedName>
    <definedName name="OSRRefD22_12x_0" localSheetId="43">'203'!$D$61:$D$63</definedName>
    <definedName name="OSRRefD22_12x_0" localSheetId="48">'300'!$D$216</definedName>
    <definedName name="OSRRefD22_12x_0" localSheetId="49">'300 &amp; 317'!$D$242</definedName>
    <definedName name="OSRRefD22_12x_0" localSheetId="50">'301'!$D$61</definedName>
    <definedName name="OSRRefD22_12x_0" localSheetId="55">'308'!$D$112:$D$113</definedName>
    <definedName name="OSRRefD22_12x_0" localSheetId="67">'309'!$D$62:$D$68</definedName>
    <definedName name="OSRRefD22_12x_0" localSheetId="66">'310'!$D$72</definedName>
    <definedName name="OSRRefD22_12x_0" localSheetId="74">'310 &amp; 491'!$D$85</definedName>
    <definedName name="OSRRefD22_12x_0" localSheetId="56">'311'!$D$110:$D$111</definedName>
    <definedName name="OSRRefD22_12x_0" localSheetId="68">'313'!$D$72:$D$77</definedName>
    <definedName name="OSRRefD22_12x_0" localSheetId="59">'315'!$D$99:$D$103</definedName>
    <definedName name="OSRRefD22_12x_0" localSheetId="62">'316'!$D$75</definedName>
    <definedName name="OSRRefD22_12x_0" localSheetId="65">'317'!$D$96:$D$97</definedName>
    <definedName name="OSRRefD22_12x_0" localSheetId="69">'321'!$D$67</definedName>
    <definedName name="OSRRefD22_12x_0" localSheetId="70">'322'!$D$60:$D$62</definedName>
    <definedName name="OSRRefD22_12x_0" localSheetId="71">'325'!$D$63:$D$66</definedName>
    <definedName name="OSRRefD22_12x_0" localSheetId="60">'326'!$D$97</definedName>
    <definedName name="OSRRefD22_12x_0" localSheetId="52">'330'!$D$125:$D$126</definedName>
    <definedName name="OSRRefD22_12x_0" localSheetId="58">'331'!$D$114</definedName>
    <definedName name="OSRRefD22_12x_0" localSheetId="61">'332'!$D$88</definedName>
    <definedName name="OSRRefD22_12x_0" localSheetId="76">'405'!$D$61:$D$63</definedName>
    <definedName name="OSRRefD22_12x_0" localSheetId="77">'406'!$D$68</definedName>
    <definedName name="OSRRefD22_12x_0" localSheetId="78">'411'!$D$59:$D$62</definedName>
    <definedName name="OSRRefD22_12x_0" localSheetId="79">'412'!$D$65:$D$72</definedName>
    <definedName name="OSRRefD22_12x_0" localSheetId="81">'413'!$D$68</definedName>
    <definedName name="OSRRefD22_12x_0" localSheetId="82">'414'!$D$61</definedName>
    <definedName name="OSRRefD22_12x_0" localSheetId="83">'415'!$D$64:$D$68</definedName>
    <definedName name="OSRRefD22_12x_0" localSheetId="84">'418'!$D$64:$D$66</definedName>
    <definedName name="OSRRefD22_12x_0" localSheetId="86">'424'!$D$57:$D$63</definedName>
    <definedName name="OSRRefD22_12x_0" localSheetId="87">'425'!$D$68:$D$74</definedName>
    <definedName name="OSRRefD22_12x_0" localSheetId="91">'433'!$D$67:$D$74</definedName>
    <definedName name="OSRRefD22_12x_0" localSheetId="93">'444'!$D$64:$D$66</definedName>
    <definedName name="OSRRefD22_12x_0" localSheetId="95">'450'!$D$62:$D$64</definedName>
    <definedName name="OSRRefD22_12x_0" localSheetId="75">'491'!$D$75</definedName>
    <definedName name="OSRRefD22_12x_0" localSheetId="89">'492'!$D$66</definedName>
    <definedName name="OSRRefD22_12x_0" localSheetId="97">'501'!$D$60:$D$63</definedName>
    <definedName name="OSRRefD22_12x_0" localSheetId="39">'Div 2'!$D$61:$D$64</definedName>
    <definedName name="OSRRefD22_12x_0" localSheetId="47">'Div 3'!$D$221</definedName>
    <definedName name="OSRRefD22_12x_0" localSheetId="73">'Div 4'!$D$76</definedName>
    <definedName name="OSRRefD22_12x_0" localSheetId="96">'Div 5'!$D$60:$D$63</definedName>
    <definedName name="OSRRefD22_12x_0" localSheetId="64">'Div 6'!$D$96:$D$97</definedName>
    <definedName name="OSRRefD22_12x_0" localSheetId="2">Summary!$D$259</definedName>
    <definedName name="OSRRefD22_13x_0" localSheetId="41">'201'!$D$60:$D$63</definedName>
    <definedName name="OSRRefD22_13x_0" localSheetId="42">'202'!$D$60:$D$62</definedName>
    <definedName name="OSRRefD22_13x_0" localSheetId="43">'203'!$D$65</definedName>
    <definedName name="OSRRefD22_13x_0" localSheetId="48">'300'!$D$218</definedName>
    <definedName name="OSRRefD22_13x_0" localSheetId="49">'300 &amp; 317'!$D$244</definedName>
    <definedName name="OSRRefD22_13x_0" localSheetId="50">'301'!$D$63</definedName>
    <definedName name="OSRRefD22_13x_0" localSheetId="55">'308'!$D$115</definedName>
    <definedName name="OSRRefD22_13x_0" localSheetId="67">'309'!$D$70</definedName>
    <definedName name="OSRRefD22_13x_0" localSheetId="66">'310'!$D$74</definedName>
    <definedName name="OSRRefD22_13x_0" localSheetId="74">'310 &amp; 491'!$D$87</definedName>
    <definedName name="OSRRefD22_13x_0" localSheetId="56">'311'!$D$113</definedName>
    <definedName name="OSRRefD22_13x_0" localSheetId="68">'313'!$D$79</definedName>
    <definedName name="OSRRefD22_13x_0" localSheetId="59">'315'!$D$105</definedName>
    <definedName name="OSRRefD22_13x_0" localSheetId="65">'317'!$D$99</definedName>
    <definedName name="OSRRefD22_13x_0" localSheetId="69">'321'!$D$69</definedName>
    <definedName name="OSRRefD22_13x_0" localSheetId="70">'322'!$D$64</definedName>
    <definedName name="OSRRefD22_13x_0" localSheetId="71">'325'!$D$68:$D$69</definedName>
    <definedName name="OSRRefD22_13x_0" localSheetId="60">'326'!$D$99:$D$100</definedName>
    <definedName name="OSRRefD22_13x_0" localSheetId="52">'330'!$D$128</definedName>
    <definedName name="OSRRefD22_13x_0" localSheetId="58">'331'!$D$116</definedName>
    <definedName name="OSRRefD22_13x_0" localSheetId="61">'332'!$D$90</definedName>
    <definedName name="OSRRefD22_13x_0" localSheetId="76">'405'!$D$65:$D$66</definedName>
    <definedName name="OSRRefD22_13x_0" localSheetId="77">'406'!$D$70</definedName>
    <definedName name="OSRRefD22_13x_0" localSheetId="78">'411'!$D$64:$D$68</definedName>
    <definedName name="OSRRefD22_13x_0" localSheetId="79">'412'!$D$74</definedName>
    <definedName name="OSRRefD22_13x_0" localSheetId="81">'413'!$D$70</definedName>
    <definedName name="OSRRefD22_13x_0" localSheetId="82">'414'!$D$63:$D$69</definedName>
    <definedName name="OSRRefD22_13x_0" localSheetId="83">'415'!$D$70:$D$71</definedName>
    <definedName name="OSRRefD22_13x_0" localSheetId="84">'418'!$D$68:$D$69</definedName>
    <definedName name="OSRRefD22_13x_0" localSheetId="86">'424'!$D$65</definedName>
    <definedName name="OSRRefD22_13x_0" localSheetId="87">'425'!$D$76</definedName>
    <definedName name="OSRRefD22_13x_0" localSheetId="91">'433'!$D$76</definedName>
    <definedName name="OSRRefD22_13x_0" localSheetId="93">'444'!$D$68:$D$75</definedName>
    <definedName name="OSRRefD22_13x_0" localSheetId="95">'450'!$D$66:$D$68</definedName>
    <definedName name="OSRRefD22_13x_0" localSheetId="75">'491'!$D$77</definedName>
    <definedName name="OSRRefD22_13x_0" localSheetId="89">'492'!$D$68:$D$70</definedName>
    <definedName name="OSRRefD22_13x_0" localSheetId="97">'501'!$D$65</definedName>
    <definedName name="OSRRefD22_13x_0" localSheetId="39">'Div 2'!$D$66:$D$69</definedName>
    <definedName name="OSRRefD22_13x_0" localSheetId="47">'Div 3'!$D$223</definedName>
    <definedName name="OSRRefD22_13x_0" localSheetId="73">'Div 4'!$D$78</definedName>
    <definedName name="OSRRefD22_13x_0" localSheetId="96">'Div 5'!$D$65</definedName>
    <definedName name="OSRRefD22_13x_0" localSheetId="64">'Div 6'!$D$99</definedName>
    <definedName name="OSRRefD22_13x_0" localSheetId="2">Summary!$D$261</definedName>
    <definedName name="OSRRefD22_14x_0" localSheetId="41">'201'!$D$65</definedName>
    <definedName name="OSRRefD22_14x_0" localSheetId="42">'202'!$D$64</definedName>
    <definedName name="OSRRefD22_14x_0" localSheetId="43">'203'!$D$67</definedName>
    <definedName name="OSRRefD22_14x_0" localSheetId="48">'300'!$D$220</definedName>
    <definedName name="OSRRefD22_14x_0" localSheetId="49">'300 &amp; 317'!$D$246</definedName>
    <definedName name="OSRRefD22_14x_0" localSheetId="50">'301'!$D$65</definedName>
    <definedName name="OSRRefD22_14x_0" localSheetId="55">'308'!$D$117</definedName>
    <definedName name="OSRRefD22_14x_0" localSheetId="66">'310'!$D$76:$D$78</definedName>
    <definedName name="OSRRefD22_14x_0" localSheetId="74">'310 &amp; 491'!$D$89</definedName>
    <definedName name="OSRRefD22_14x_0" localSheetId="56">'311'!$D$115</definedName>
    <definedName name="OSRRefD22_14x_0" localSheetId="68">'313'!$D$81</definedName>
    <definedName name="OSRRefD22_14x_0" localSheetId="59">'315'!$D$107</definedName>
    <definedName name="OSRRefD22_14x_0" localSheetId="65">'317'!$D$101</definedName>
    <definedName name="OSRRefD22_14x_0" localSheetId="70">'322'!$D$66:$D$72</definedName>
    <definedName name="OSRRefD22_14x_0" localSheetId="71">'325'!$D$71:$D$76</definedName>
    <definedName name="OSRRefD22_14x_0" localSheetId="60">'326'!$D$102:$D$104</definedName>
    <definedName name="OSRRefD22_14x_0" localSheetId="52">'330'!$D$130:$D$132</definedName>
    <definedName name="OSRRefD22_14x_0" localSheetId="58">'331'!$D$118:$D$120</definedName>
    <definedName name="OSRRefD22_14x_0" localSheetId="76">'405'!$D$68:$D$74</definedName>
    <definedName name="OSRRefD22_14x_0" localSheetId="77">'406'!$D$72:$D$73</definedName>
    <definedName name="OSRRefD22_14x_0" localSheetId="78">'411'!$D$70:$D$71</definedName>
    <definedName name="OSRRefD22_14x_0" localSheetId="79">'412'!$D$76</definedName>
    <definedName name="OSRRefD22_14x_0" localSheetId="82">'414'!$D$71</definedName>
    <definedName name="OSRRefD22_14x_0" localSheetId="83">'415'!$D$73:$D$80</definedName>
    <definedName name="OSRRefD22_14x_0" localSheetId="84">'418'!$D$71:$D$78</definedName>
    <definedName name="OSRRefD22_14x_0" localSheetId="87">'425'!$D$78</definedName>
    <definedName name="OSRRefD22_14x_0" localSheetId="91">'433'!$D$78</definedName>
    <definedName name="OSRRefD22_14x_0" localSheetId="93">'444'!$D$77</definedName>
    <definedName name="OSRRefD22_14x_0" localSheetId="95">'450'!$D$70:$D$76</definedName>
    <definedName name="OSRRefD22_14x_0" localSheetId="75">'491'!$D$79</definedName>
    <definedName name="OSRRefD22_14x_0" localSheetId="89">'492'!$D$72:$D$74</definedName>
    <definedName name="OSRRefD22_14x_0" localSheetId="97">'501'!$D$67</definedName>
    <definedName name="OSRRefD22_14x_0" localSheetId="39">'Div 2'!$D$71:$D$72</definedName>
    <definedName name="OSRRefD22_14x_0" localSheetId="47">'Div 3'!$D$225</definedName>
    <definedName name="OSRRefD22_14x_0" localSheetId="73">'Div 4'!$D$80</definedName>
    <definedName name="OSRRefD22_14x_0" localSheetId="96">'Div 5'!$D$67</definedName>
    <definedName name="OSRRefD22_14x_0" localSheetId="64">'Div 6'!$D$101</definedName>
    <definedName name="OSRRefD22_14x_0" localSheetId="2">Summary!$D$263</definedName>
    <definedName name="OSRRefD22_15x_0" localSheetId="41">'201'!$D$67</definedName>
    <definedName name="OSRRefD22_15x_0" localSheetId="42">'202'!$D$66</definedName>
    <definedName name="OSRRefD22_15x_0" localSheetId="43">'203'!$D$69</definedName>
    <definedName name="OSRRefD22_15x_0" localSheetId="48">'300'!$D$222</definedName>
    <definedName name="OSRRefD22_15x_0" localSheetId="49">'300 &amp; 317'!$D$248</definedName>
    <definedName name="OSRRefD22_15x_0" localSheetId="50">'301'!$D$67:$D$70</definedName>
    <definedName name="OSRRefD22_15x_0" localSheetId="66">'310'!$D$80</definedName>
    <definedName name="OSRRefD22_15x_0" localSheetId="74">'310 &amp; 491'!$D$91</definedName>
    <definedName name="OSRRefD22_15x_0" localSheetId="59">'315'!$D$109:$D$110</definedName>
    <definedName name="OSRRefD22_15x_0" localSheetId="65">'317'!$D$103:$D$104</definedName>
    <definedName name="OSRRefD22_15x_0" localSheetId="70">'322'!$D$74</definedName>
    <definedName name="OSRRefD22_15x_0" localSheetId="71">'325'!$D$78</definedName>
    <definedName name="OSRRefD22_15x_0" localSheetId="60">'326'!$D$106:$D$107</definedName>
    <definedName name="OSRRefD22_15x_0" localSheetId="52">'330'!$D$134</definedName>
    <definedName name="OSRRefD22_15x_0" localSheetId="58">'331'!$D$122:$D$123</definedName>
    <definedName name="OSRRefD22_15x_0" localSheetId="76">'405'!$D$76</definedName>
    <definedName name="OSRRefD22_15x_0" localSheetId="78">'411'!$D$73:$D$81</definedName>
    <definedName name="OSRRefD22_15x_0" localSheetId="82">'414'!$D$73</definedName>
    <definedName name="OSRRefD22_15x_0" localSheetId="83">'415'!$D$82</definedName>
    <definedName name="OSRRefD22_15x_0" localSheetId="84">'418'!$D$80</definedName>
    <definedName name="OSRRefD22_15x_0" localSheetId="87">'425'!$D$80</definedName>
    <definedName name="OSRRefD22_15x_0" localSheetId="91">'433'!$D$80:$D$81</definedName>
    <definedName name="OSRRefD22_15x_0" localSheetId="93">'444'!$D$79</definedName>
    <definedName name="OSRRefD22_15x_0" localSheetId="95">'450'!$D$78</definedName>
    <definedName name="OSRRefD22_15x_0" localSheetId="75">'491'!$D$81</definedName>
    <definedName name="OSRRefD22_15x_0" localSheetId="89">'492'!$D$76:$D$84</definedName>
    <definedName name="OSRRefD22_15x_0" localSheetId="39">'Div 2'!$D$74:$D$75</definedName>
    <definedName name="OSRRefD22_15x_0" localSheetId="47">'Div 3'!$D$227</definedName>
    <definedName name="OSRRefD22_15x_0" localSheetId="73">'Div 4'!$D$82</definedName>
    <definedName name="OSRRefD22_15x_0" localSheetId="64">'Div 6'!$D$103:$D$104</definedName>
    <definedName name="OSRRefD22_15x_0" localSheetId="2">Summary!$D$265</definedName>
    <definedName name="OSRRefD22_16x_0" localSheetId="41">'201'!$D$69:$D$70</definedName>
    <definedName name="OSRRefD22_16x_0" localSheetId="42">'202'!$D$68</definedName>
    <definedName name="OSRRefD22_16x_0" localSheetId="48">'300'!$D$224:$D$227</definedName>
    <definedName name="OSRRefD22_16x_0" localSheetId="49">'300 &amp; 317'!$D$250:$D$253</definedName>
    <definedName name="OSRRefD22_16x_0" localSheetId="50">'301'!$D$72</definedName>
    <definedName name="OSRRefD22_16x_0" localSheetId="66">'310'!$D$82:$D$85</definedName>
    <definedName name="OSRRefD22_16x_0" localSheetId="74">'310 &amp; 491'!$D$93:$D$96</definedName>
    <definedName name="OSRRefD22_16x_0" localSheetId="70">'322'!$D$76</definedName>
    <definedName name="OSRRefD22_16x_0" localSheetId="71">'325'!$D$80</definedName>
    <definedName name="OSRRefD22_16x_0" localSheetId="60">'326'!$D$109:$D$113</definedName>
    <definedName name="OSRRefD22_16x_0" localSheetId="52">'330'!$D$136</definedName>
    <definedName name="OSRRefD22_16x_0" localSheetId="58">'331'!$D$125:$D$127</definedName>
    <definedName name="OSRRefD22_16x_0" localSheetId="76">'405'!$D$78</definedName>
    <definedName name="OSRRefD22_16x_0" localSheetId="78">'411'!$D$83</definedName>
    <definedName name="OSRRefD22_16x_0" localSheetId="83">'415'!$D$84</definedName>
    <definedName name="OSRRefD22_16x_0" localSheetId="84">'418'!$D$82</definedName>
    <definedName name="OSRRefD22_16x_0" localSheetId="93">'444'!$D$81</definedName>
    <definedName name="OSRRefD22_16x_0" localSheetId="95">'450'!$D$80</definedName>
    <definedName name="OSRRefD22_16x_0" localSheetId="75">'491'!$D$83:$D$86</definedName>
    <definedName name="OSRRefD22_16x_0" localSheetId="89">'492'!$D$86</definedName>
    <definedName name="OSRRefD22_16x_0" localSheetId="39">'Div 2'!$D$77:$D$81</definedName>
    <definedName name="OSRRefD22_16x_0" localSheetId="47">'Div 3'!$D$229</definedName>
    <definedName name="OSRRefD22_16x_0" localSheetId="73">'Div 4'!$D$84</definedName>
    <definedName name="OSRRefD22_16x_0" localSheetId="2">Summary!$D$267</definedName>
    <definedName name="OSRRefD22_17x_0" localSheetId="48">'300'!$D$229:$D$231</definedName>
    <definedName name="OSRRefD22_17x_0" localSheetId="49">'300 &amp; 317'!$D$255:$D$257</definedName>
    <definedName name="OSRRefD22_17x_0" localSheetId="50">'301'!$D$74:$D$76</definedName>
    <definedName name="OSRRefD22_17x_0" localSheetId="66">'310'!$D$87:$D$88</definedName>
    <definedName name="OSRRefD22_17x_0" localSheetId="74">'310 &amp; 491'!$D$98:$D$99</definedName>
    <definedName name="OSRRefD22_17x_0" localSheetId="70">'322'!$D$78</definedName>
    <definedName name="OSRRefD22_17x_0" localSheetId="71">'325'!$D$82</definedName>
    <definedName name="OSRRefD22_17x_0" localSheetId="60">'326'!$D$115</definedName>
    <definedName name="OSRRefD22_17x_0" localSheetId="52">'330'!$D$138</definedName>
    <definedName name="OSRRefD22_17x_0" localSheetId="58">'331'!$D$129:$D$130</definedName>
    <definedName name="OSRRefD22_17x_0" localSheetId="76">'405'!$D$80</definedName>
    <definedName name="OSRRefD22_17x_0" localSheetId="78">'411'!$D$85</definedName>
    <definedName name="OSRRefD22_17x_0" localSheetId="83">'415'!$D$86</definedName>
    <definedName name="OSRRefD22_17x_0" localSheetId="95">'450'!$D$82:$D$83</definedName>
    <definedName name="OSRRefD22_17x_0" localSheetId="75">'491'!$D$88:$D$89</definedName>
    <definedName name="OSRRefD22_17x_0" localSheetId="89">'492'!$D$88</definedName>
    <definedName name="OSRRefD22_17x_0" localSheetId="39">'Div 2'!$D$83:$D$84</definedName>
    <definedName name="OSRRefD22_17x_0" localSheetId="47">'Div 3'!$D$231:$D$234</definedName>
    <definedName name="OSRRefD22_17x_0" localSheetId="73">'Div 4'!$D$86:$D$89</definedName>
    <definedName name="OSRRefD22_17x_0" localSheetId="2">Summary!$D$269</definedName>
    <definedName name="OSRRefD22_18x_0" localSheetId="48">'300'!$D$233:$D$236</definedName>
    <definedName name="OSRRefD22_18x_0" localSheetId="49">'300 &amp; 317'!$D$259:$D$262</definedName>
    <definedName name="OSRRefD22_18x_0" localSheetId="50">'301'!$D$78:$D$79</definedName>
    <definedName name="OSRRefD22_18x_0" localSheetId="66">'310'!$D$90:$D$97</definedName>
    <definedName name="OSRRefD22_18x_0" localSheetId="74">'310 &amp; 491'!$D$101:$D$105</definedName>
    <definedName name="OSRRefD22_18x_0" localSheetId="60">'326'!$D$117</definedName>
    <definedName name="OSRRefD22_18x_0" localSheetId="58">'331'!$D$132:$D$137</definedName>
    <definedName name="OSRRefD22_18x_0" localSheetId="76">'405'!$D$82</definedName>
    <definedName name="OSRRefD22_18x_0" localSheetId="78">'411'!$D$87:$D$89</definedName>
    <definedName name="OSRRefD22_18x_0" localSheetId="83">'415'!$D$88</definedName>
    <definedName name="OSRRefD22_18x_0" localSheetId="75">'491'!$D$91:$D$95</definedName>
    <definedName name="OSRRefD22_18x_0" localSheetId="89">'492'!$D$90:$D$91</definedName>
    <definedName name="OSRRefD22_18x_0" localSheetId="39">'Div 2'!$D$86</definedName>
    <definedName name="OSRRefD22_18x_0" localSheetId="47">'Div 3'!$D$236:$D$238</definedName>
    <definedName name="OSRRefD22_18x_0" localSheetId="73">'Div 4'!$D$91:$D$92</definedName>
    <definedName name="OSRRefD22_18x_0" localSheetId="2">Summary!$D$271:$D$274</definedName>
    <definedName name="OSRRefD22_19x_0" localSheetId="48">'300'!$D$238:$D$239</definedName>
    <definedName name="OSRRefD22_19x_0" localSheetId="49">'300 &amp; 317'!$D$264:$D$265</definedName>
    <definedName name="OSRRefD22_19x_0" localSheetId="50">'301'!$D$81:$D$87</definedName>
    <definedName name="OSRRefD22_19x_0" localSheetId="66">'310'!$D$99</definedName>
    <definedName name="OSRRefD22_19x_0" localSheetId="74">'310 &amp; 491'!$D$107:$D$108</definedName>
    <definedName name="OSRRefD22_19x_0" localSheetId="60">'326'!$D$119</definedName>
    <definedName name="OSRRefD22_19x_0" localSheetId="58">'331'!$D$139</definedName>
    <definedName name="OSRRefD22_19x_0" localSheetId="78">'411'!$D$91</definedName>
    <definedName name="OSRRefD22_19x_0" localSheetId="75">'491'!$D$97:$D$98</definedName>
    <definedName name="OSRRefD22_19x_0" localSheetId="39">'Div 2'!$D$88:$D$89</definedName>
    <definedName name="OSRRefD22_19x_0" localSheetId="47">'Div 3'!$D$240:$D$244</definedName>
    <definedName name="OSRRefD22_19x_0" localSheetId="73">'Div 4'!$D$94:$D$98</definedName>
    <definedName name="OSRRefD22_19x_0" localSheetId="2">Summary!$D$276:$D$278</definedName>
    <definedName name="OSRRefD22_1x_0" localSheetId="40">'200'!$D$22</definedName>
    <definedName name="OSRRefD22_1x_0" localSheetId="41">'201'!$D$30:$D$32</definedName>
    <definedName name="OSRRefD22_1x_0" localSheetId="42">'202'!$D$29:$D$34</definedName>
    <definedName name="OSRRefD22_1x_0" localSheetId="43">'203'!$D$31:$D$35</definedName>
    <definedName name="OSRRefD22_1x_0" localSheetId="44">'204'!$D$31:$D$36</definedName>
    <definedName name="OSRRefD22_1x_0" localSheetId="45">'205'!$D$29</definedName>
    <definedName name="OSRRefD22_1x_0" localSheetId="46">'206'!$D$29:$D$34</definedName>
    <definedName name="OSRRefD22_1x_0" localSheetId="48">'300'!$D$184:$D$190</definedName>
    <definedName name="OSRRefD22_1x_0" localSheetId="49">'300 &amp; 317'!$D$210:$D$216</definedName>
    <definedName name="OSRRefD22_1x_0" localSheetId="50">'301'!$D$30:$D$36</definedName>
    <definedName name="OSRRefD22_1x_0" localSheetId="53">'307'!$D$29:$D$31</definedName>
    <definedName name="OSRRefD22_1x_0" localSheetId="55">'308'!$D$78:$D$82</definedName>
    <definedName name="OSRRefD22_1x_0" localSheetId="67">'309'!$D$33:$D$37</definedName>
    <definedName name="OSRRefD22_1x_0" localSheetId="66">'310'!$D$43:$D$48</definedName>
    <definedName name="OSRRefD22_1x_0" localSheetId="74">'310 &amp; 491'!$D$53:$D$59</definedName>
    <definedName name="OSRRefD22_1x_0" localSheetId="56">'311'!$D$76:$D$80</definedName>
    <definedName name="OSRRefD22_1x_0" localSheetId="68">'313'!$D$40:$D$45</definedName>
    <definedName name="OSRRefD22_1x_0" localSheetId="54">'314'!$D$66:$D$69</definedName>
    <definedName name="OSRRefD22_1x_0" localSheetId="59">'315'!$D$66:$D$71</definedName>
    <definedName name="OSRRefD22_1x_0" localSheetId="62">'316'!$D$44:$D$47</definedName>
    <definedName name="OSRRefD22_1x_0" localSheetId="65">'317'!$D$69:$D$73</definedName>
    <definedName name="OSRRefD22_1x_0" localSheetId="63">'320'!$D$40:$D$45</definedName>
    <definedName name="OSRRefD22_1x_0" localSheetId="69">'321'!$D$32:$D$36</definedName>
    <definedName name="OSRRefD22_1x_0" localSheetId="70">'322'!$D$33:$D$37</definedName>
    <definedName name="OSRRefD22_1x_0" localSheetId="71">'325'!$D$33:$D$38</definedName>
    <definedName name="OSRRefD22_1x_0" localSheetId="60">'326'!$D$71:$D$75</definedName>
    <definedName name="OSRRefD22_1x_0" localSheetId="72">'327'!$D$24</definedName>
    <definedName name="OSRRefD22_1x_0" localSheetId="52">'330'!$D$97:$D$101</definedName>
    <definedName name="OSRRefD22_1x_0" localSheetId="58">'331'!$D$85:$D$90</definedName>
    <definedName name="OSRRefD22_1x_0" localSheetId="61">'332'!$D$55:$D$60</definedName>
    <definedName name="OSRRefD22_1x_0" localSheetId="76">'405'!$D$33:$D$37</definedName>
    <definedName name="OSRRefD22_1x_0" localSheetId="77">'406'!$D$33:$D$38</definedName>
    <definedName name="OSRRefD22_1x_0" localSheetId="78">'411'!$D$30:$D$35</definedName>
    <definedName name="OSRRefD22_1x_0" localSheetId="79">'412'!$D$34:$D$39</definedName>
    <definedName name="OSRRefD22_1x_0" localSheetId="81">'413'!$D$33:$D$38</definedName>
    <definedName name="OSRRefD22_1x_0" localSheetId="82">'414'!$D$33:$D$38</definedName>
    <definedName name="OSRRefD22_1x_0" localSheetId="83">'415'!$D$33:$D$38</definedName>
    <definedName name="OSRRefD22_1x_0" localSheetId="84">'418'!$D$33:$D$38</definedName>
    <definedName name="OSRRefD22_1x_0" localSheetId="80">'420'!$D$33:$D$36</definedName>
    <definedName name="OSRRefD22_1x_0" localSheetId="85">'423'!$D$30:$D$31</definedName>
    <definedName name="OSRRefD22_1x_0" localSheetId="86">'424'!$D$30:$D$34</definedName>
    <definedName name="OSRRefD22_1x_0" localSheetId="87">'425'!$D$37:$D$42</definedName>
    <definedName name="OSRRefD22_1x_0" localSheetId="90">'430'!$D$29</definedName>
    <definedName name="OSRRefD22_1x_0" localSheetId="91">'433'!$D$36:$D$41</definedName>
    <definedName name="OSRRefD22_1x_0" localSheetId="92">'435'!$D$29:$D$31</definedName>
    <definedName name="OSRRefD22_1x_0" localSheetId="93">'444'!$D$35:$D$40</definedName>
    <definedName name="OSRRefD22_1x_0" localSheetId="95">'450'!$D$35:$D$40</definedName>
    <definedName name="OSRRefD22_1x_0" localSheetId="88">'455'!$D$28:$D$29</definedName>
    <definedName name="OSRRefD22_1x_0" localSheetId="75">'491'!$D$44:$D$50</definedName>
    <definedName name="OSRRefD22_1x_0" localSheetId="89">'492'!$D$38:$D$44</definedName>
    <definedName name="OSRRefD22_1x_0" localSheetId="97">'501'!$D$30:$D$35</definedName>
    <definedName name="OSRRefD22_1x_0" localSheetId="39">'Div 2'!$D$32:$D$38</definedName>
    <definedName name="OSRRefD22_1x_0" localSheetId="47">'Div 3'!$D$189:$D$195</definedName>
    <definedName name="OSRRefD22_1x_0" localSheetId="73">'Div 4'!$D$45:$D$51</definedName>
    <definedName name="OSRRefD22_1x_0" localSheetId="96">'Div 5'!$D$30:$D$35</definedName>
    <definedName name="OSRRefD22_1x_0" localSheetId="64">'Div 6'!$D$69:$D$73</definedName>
    <definedName name="OSRRefD22_1x_0" localSheetId="2">Summary!$D$225:$D$231</definedName>
    <definedName name="OSRRefD22_20x_0" localSheetId="48">'300'!$D$241:$D$248</definedName>
    <definedName name="OSRRefD22_20x_0" localSheetId="49">'300 &amp; 317'!$D$267:$D$274</definedName>
    <definedName name="OSRRefD22_20x_0" localSheetId="50">'301'!$D$89</definedName>
    <definedName name="OSRRefD22_20x_0" localSheetId="66">'310'!$D$101</definedName>
    <definedName name="OSRRefD22_20x_0" localSheetId="74">'310 &amp; 491'!$D$110:$D$119</definedName>
    <definedName name="OSRRefD22_20x_0" localSheetId="60">'326'!$D$121</definedName>
    <definedName name="OSRRefD22_20x_0" localSheetId="58">'331'!$D$141</definedName>
    <definedName name="OSRRefD22_20x_0" localSheetId="75">'491'!$D$100:$D$109</definedName>
    <definedName name="OSRRefD22_20x_0" localSheetId="47">'Div 3'!$D$246:$D$247</definedName>
    <definedName name="OSRRefD22_20x_0" localSheetId="73">'Div 4'!$D$100:$D$101</definedName>
    <definedName name="OSRRefD22_20x_0" localSheetId="2">Summary!$D$280:$D$284</definedName>
    <definedName name="OSRRefD22_21x_0" localSheetId="48">'300'!$D$250:$D$251</definedName>
    <definedName name="OSRRefD22_21x_0" localSheetId="49">'300 &amp; 317'!$D$276:$D$277</definedName>
    <definedName name="OSRRefD22_21x_0" localSheetId="50">'301'!$D$91</definedName>
    <definedName name="OSRRefD22_21x_0" localSheetId="66">'310'!$D$103</definedName>
    <definedName name="OSRRefD22_21x_0" localSheetId="74">'310 &amp; 491'!$D$121</definedName>
    <definedName name="OSRRefD22_21x_0" localSheetId="58">'331'!$D$143:$D$144</definedName>
    <definedName name="OSRRefD22_21x_0" localSheetId="75">'491'!$D$111</definedName>
    <definedName name="OSRRefD22_21x_0" localSheetId="47">'Div 3'!$D$249:$D$257</definedName>
    <definedName name="OSRRefD22_21x_0" localSheetId="73">'Div 4'!$D$103:$D$112</definedName>
    <definedName name="OSRRefD22_21x_0" localSheetId="2">Summary!$D$286:$D$287</definedName>
    <definedName name="OSRRefD22_22x_0" localSheetId="48">'300'!$D$253</definedName>
    <definedName name="OSRRefD22_22x_0" localSheetId="49">'300 &amp; 317'!$D$279</definedName>
    <definedName name="OSRRefD22_22x_0" localSheetId="50">'301'!$D$93:$D$95</definedName>
    <definedName name="OSRRefD22_22x_0" localSheetId="66">'310'!$D$105</definedName>
    <definedName name="OSRRefD22_22x_0" localSheetId="74">'310 &amp; 491'!$D$123</definedName>
    <definedName name="OSRRefD22_22x_0" localSheetId="58">'331'!$D$146</definedName>
    <definedName name="OSRRefD22_22x_0" localSheetId="75">'491'!$D$113</definedName>
    <definedName name="OSRRefD22_22x_0" localSheetId="47">'Div 3'!$D$259:$D$260</definedName>
    <definedName name="OSRRefD22_22x_0" localSheetId="73">'Div 4'!$D$114</definedName>
    <definedName name="OSRRefD22_22x_0" localSheetId="2">Summary!$D$289:$D$298</definedName>
    <definedName name="OSRRefD22_23x_0" localSheetId="48">'300'!$D$255:$D$257</definedName>
    <definedName name="OSRRefD22_23x_0" localSheetId="49">'300 &amp; 317'!$D$281:$D$283</definedName>
    <definedName name="OSRRefD22_23x_0" localSheetId="50">'301'!$D$97</definedName>
    <definedName name="OSRRefD22_23x_0" localSheetId="74">'310 &amp; 491'!$D$125:$D$127</definedName>
    <definedName name="OSRRefD22_23x_0" localSheetId="75">'491'!$D$115:$D$117</definedName>
    <definedName name="OSRRefD22_23x_0" localSheetId="47">'Div 3'!$D$262</definedName>
    <definedName name="OSRRefD22_23x_0" localSheetId="73">'Div 4'!$D$116</definedName>
    <definedName name="OSRRefD22_23x_0" localSheetId="2">Summary!$D$300:$D$301</definedName>
    <definedName name="OSRRefD22_24x_0" localSheetId="48">'300'!$D$259</definedName>
    <definedName name="OSRRefD22_24x_0" localSheetId="49">'300 &amp; 317'!$D$285</definedName>
    <definedName name="OSRRefD22_24x_0" localSheetId="74">'310 &amp; 491'!$D$129</definedName>
    <definedName name="OSRRefD22_24x_0" localSheetId="75">'491'!$D$119</definedName>
    <definedName name="OSRRefD22_24x_0" localSheetId="47">'Div 3'!$D$264:$D$266</definedName>
    <definedName name="OSRRefD22_24x_0" localSheetId="73">'Div 4'!$D$118:$D$120</definedName>
    <definedName name="OSRRefD22_24x_0" localSheetId="2">Summary!$D$303</definedName>
    <definedName name="OSRRefD22_25x_0" localSheetId="47">'Div 3'!$D$268</definedName>
    <definedName name="OSRRefD22_25x_0" localSheetId="73">'Div 4'!$D$122</definedName>
    <definedName name="OSRRefD22_25x_0" localSheetId="2">Summary!$D$305:$D$307</definedName>
    <definedName name="OSRRefD22_26x_0" localSheetId="2">Summary!$D$309</definedName>
    <definedName name="OSRRefD22_2x_0" localSheetId="40">'200'!$D$24</definedName>
    <definedName name="OSRRefD22_2x_0" localSheetId="41">'201'!$D$34</definedName>
    <definedName name="OSRRefD22_2x_0" localSheetId="42">'202'!$D$36</definedName>
    <definedName name="OSRRefD22_2x_0" localSheetId="43">'203'!$D$37</definedName>
    <definedName name="OSRRefD22_2x_0" localSheetId="44">'204'!$D$38</definedName>
    <definedName name="OSRRefD22_2x_0" localSheetId="45">'205'!$D$31</definedName>
    <definedName name="OSRRefD22_2x_0" localSheetId="46">'206'!$D$36</definedName>
    <definedName name="OSRRefD22_2x_0" localSheetId="48">'300'!$D$192</definedName>
    <definedName name="OSRRefD22_2x_0" localSheetId="49">'300 &amp; 317'!$D$218</definedName>
    <definedName name="OSRRefD22_2x_0" localSheetId="50">'301'!$D$38</definedName>
    <definedName name="OSRRefD22_2x_0" localSheetId="53">'307'!$D$33</definedName>
    <definedName name="OSRRefD22_2x_0" localSheetId="55">'308'!$D$84</definedName>
    <definedName name="OSRRefD22_2x_0" localSheetId="67">'309'!$D$39</definedName>
    <definedName name="OSRRefD22_2x_0" localSheetId="66">'310'!$D$50</definedName>
    <definedName name="OSRRefD22_2x_0" localSheetId="74">'310 &amp; 491'!$D$61</definedName>
    <definedName name="OSRRefD22_2x_0" localSheetId="56">'311'!$D$82</definedName>
    <definedName name="OSRRefD22_2x_0" localSheetId="68">'313'!$D$47</definedName>
    <definedName name="OSRRefD22_2x_0" localSheetId="54">'314'!$D$71</definedName>
    <definedName name="OSRRefD22_2x_0" localSheetId="59">'315'!$D$73</definedName>
    <definedName name="OSRRefD22_2x_0" localSheetId="62">'316'!$D$49</definedName>
    <definedName name="OSRRefD22_2x_0" localSheetId="65">'317'!$D$75</definedName>
    <definedName name="OSRRefD22_2x_0" localSheetId="63">'320'!$D$47</definedName>
    <definedName name="OSRRefD22_2x_0" localSheetId="69">'321'!$D$38</definedName>
    <definedName name="OSRRefD22_2x_0" localSheetId="70">'322'!$D$39</definedName>
    <definedName name="OSRRefD22_2x_0" localSheetId="71">'325'!$D$40</definedName>
    <definedName name="OSRRefD22_2x_0" localSheetId="60">'326'!$D$77</definedName>
    <definedName name="OSRRefD22_2x_0" localSheetId="72">'327'!$D$26</definedName>
    <definedName name="OSRRefD22_2x_0" localSheetId="52">'330'!$D$103</definedName>
    <definedName name="OSRRefD22_2x_0" localSheetId="58">'331'!$D$92</definedName>
    <definedName name="OSRRefD22_2x_0" localSheetId="61">'332'!$D$62</definedName>
    <definedName name="OSRRefD22_2x_0" localSheetId="76">'405'!$D$39</definedName>
    <definedName name="OSRRefD22_2x_0" localSheetId="77">'406'!$D$40</definedName>
    <definedName name="OSRRefD22_2x_0" localSheetId="78">'411'!$D$37</definedName>
    <definedName name="OSRRefD22_2x_0" localSheetId="79">'412'!$D$41</definedName>
    <definedName name="OSRRefD22_2x_0" localSheetId="81">'413'!$D$40</definedName>
    <definedName name="OSRRefD22_2x_0" localSheetId="82">'414'!$D$40</definedName>
    <definedName name="OSRRefD22_2x_0" localSheetId="83">'415'!$D$40</definedName>
    <definedName name="OSRRefD22_2x_0" localSheetId="84">'418'!$D$40</definedName>
    <definedName name="OSRRefD22_2x_0" localSheetId="80">'420'!$D$38</definedName>
    <definedName name="OSRRefD22_2x_0" localSheetId="85">'423'!$D$33</definedName>
    <definedName name="OSRRefD22_2x_0" localSheetId="86">'424'!$D$36</definedName>
    <definedName name="OSRRefD22_2x_0" localSheetId="87">'425'!$D$44</definedName>
    <definedName name="OSRRefD22_2x_0" localSheetId="90">'430'!$D$31</definedName>
    <definedName name="OSRRefD22_2x_0" localSheetId="91">'433'!$D$43</definedName>
    <definedName name="OSRRefD22_2x_0" localSheetId="92">'435'!$D$33</definedName>
    <definedName name="OSRRefD22_2x_0" localSheetId="93">'444'!$D$42</definedName>
    <definedName name="OSRRefD22_2x_0" localSheetId="95">'450'!$D$42</definedName>
    <definedName name="OSRRefD22_2x_0" localSheetId="88">'455'!$D$31</definedName>
    <definedName name="OSRRefD22_2x_0" localSheetId="75">'491'!$D$52</definedName>
    <definedName name="OSRRefD22_2x_0" localSheetId="89">'492'!$D$46</definedName>
    <definedName name="OSRRefD22_2x_0" localSheetId="97">'501'!$D$37</definedName>
    <definedName name="OSRRefD22_2x_0" localSheetId="39">'Div 2'!$D$40</definedName>
    <definedName name="OSRRefD22_2x_0" localSheetId="47">'Div 3'!$D$197</definedName>
    <definedName name="OSRRefD22_2x_0" localSheetId="73">'Div 4'!$D$53</definedName>
    <definedName name="OSRRefD22_2x_0" localSheetId="96">'Div 5'!$D$37</definedName>
    <definedName name="OSRRefD22_2x_0" localSheetId="64">'Div 6'!$D$75</definedName>
    <definedName name="OSRRefD22_2x_0" localSheetId="2">Summary!$D$233</definedName>
    <definedName name="OSRRefD22_3x_0" localSheetId="40">'200'!$D$26</definedName>
    <definedName name="OSRRefD22_3x_0" localSheetId="41">'201'!$D$36</definedName>
    <definedName name="OSRRefD22_3x_0" localSheetId="42">'202'!$D$38</definedName>
    <definedName name="OSRRefD22_3x_0" localSheetId="43">'203'!$D$39</definedName>
    <definedName name="OSRRefD22_3x_0" localSheetId="44">'204'!$D$40:$D$41</definedName>
    <definedName name="OSRRefD22_3x_0" localSheetId="45">'205'!$D$33</definedName>
    <definedName name="OSRRefD22_3x_0" localSheetId="46">'206'!$D$38</definedName>
    <definedName name="OSRRefD22_3x_0" localSheetId="48">'300'!$D$194:$D$195</definedName>
    <definedName name="OSRRefD22_3x_0" localSheetId="49">'300 &amp; 317'!$D$220:$D$221</definedName>
    <definedName name="OSRRefD22_3x_0" localSheetId="50">'301'!$D$40:$D$41</definedName>
    <definedName name="OSRRefD22_3x_0" localSheetId="53">'307'!$D$35:$D$36</definedName>
    <definedName name="OSRRefD22_3x_0" localSheetId="55">'308'!$D$86:$D$87</definedName>
    <definedName name="OSRRefD22_3x_0" localSheetId="67">'309'!$D$41</definedName>
    <definedName name="OSRRefD22_3x_0" localSheetId="66">'310'!$D$52</definedName>
    <definedName name="OSRRefD22_3x_0" localSheetId="74">'310 &amp; 491'!$D$63</definedName>
    <definedName name="OSRRefD22_3x_0" localSheetId="56">'311'!$D$84:$D$85</definedName>
    <definedName name="OSRRefD22_3x_0" localSheetId="68">'313'!$D$49</definedName>
    <definedName name="OSRRefD22_3x_0" localSheetId="54">'314'!$D$73:$D$74</definedName>
    <definedName name="OSRRefD22_3x_0" localSheetId="59">'315'!$D$75:$D$76</definedName>
    <definedName name="OSRRefD22_3x_0" localSheetId="62">'316'!$D$51</definedName>
    <definedName name="OSRRefD22_3x_0" localSheetId="65">'317'!$D$77</definedName>
    <definedName name="OSRRefD22_3x_0" localSheetId="63">'320'!$D$49</definedName>
    <definedName name="OSRRefD22_3x_0" localSheetId="69">'321'!$D$40</definedName>
    <definedName name="OSRRefD22_3x_0" localSheetId="70">'322'!$D$41</definedName>
    <definedName name="OSRRefD22_3x_0" localSheetId="71">'325'!$D$42</definedName>
    <definedName name="OSRRefD22_3x_0" localSheetId="60">'326'!$D$79</definedName>
    <definedName name="OSRRefD22_3x_0" localSheetId="52">'330'!$D$105</definedName>
    <definedName name="OSRRefD22_3x_0" localSheetId="58">'331'!$D$94</definedName>
    <definedName name="OSRRefD22_3x_0" localSheetId="61">'332'!$D$64</definedName>
    <definedName name="OSRRefD22_3x_0" localSheetId="76">'405'!$D$41</definedName>
    <definedName name="OSRRefD22_3x_0" localSheetId="77">'406'!$D$42</definedName>
    <definedName name="OSRRefD22_3x_0" localSheetId="78">'411'!$D$39</definedName>
    <definedName name="OSRRefD22_3x_0" localSheetId="79">'412'!$D$43</definedName>
    <definedName name="OSRRefD22_3x_0" localSheetId="81">'413'!$D$42</definedName>
    <definedName name="OSRRefD22_3x_0" localSheetId="82">'414'!$D$42</definedName>
    <definedName name="OSRRefD22_3x_0" localSheetId="83">'415'!$D$42</definedName>
    <definedName name="OSRRefD22_3x_0" localSheetId="84">'418'!$D$42</definedName>
    <definedName name="OSRRefD22_3x_0" localSheetId="80">'420'!$D$40</definedName>
    <definedName name="OSRRefD22_3x_0" localSheetId="85">'423'!$D$35</definedName>
    <definedName name="OSRRefD22_3x_0" localSheetId="86">'424'!$D$38</definedName>
    <definedName name="OSRRefD22_3x_0" localSheetId="87">'425'!$D$46</definedName>
    <definedName name="OSRRefD22_3x_0" localSheetId="90">'430'!$D$33</definedName>
    <definedName name="OSRRefD22_3x_0" localSheetId="91">'433'!$D$45</definedName>
    <definedName name="OSRRefD22_3x_0" localSheetId="92">'435'!$D$35</definedName>
    <definedName name="OSRRefD22_3x_0" localSheetId="93">'444'!$D$44</definedName>
    <definedName name="OSRRefD22_3x_0" localSheetId="95">'450'!$D$44</definedName>
    <definedName name="OSRRefD22_3x_0" localSheetId="75">'491'!$D$54</definedName>
    <definedName name="OSRRefD22_3x_0" localSheetId="89">'492'!$D$48</definedName>
    <definedName name="OSRRefD22_3x_0" localSheetId="97">'501'!$D$39</definedName>
    <definedName name="OSRRefD22_3x_0" localSheetId="39">'Div 2'!$D$42</definedName>
    <definedName name="OSRRefD22_3x_0" localSheetId="47">'Div 3'!$D$199:$D$200</definedName>
    <definedName name="OSRRefD22_3x_0" localSheetId="73">'Div 4'!$D$55</definedName>
    <definedName name="OSRRefD22_3x_0" localSheetId="96">'Div 5'!$D$39</definedName>
    <definedName name="OSRRefD22_3x_0" localSheetId="64">'Div 6'!$D$77</definedName>
    <definedName name="OSRRefD22_3x_0" localSheetId="2">Summary!$D$235:$D$236</definedName>
    <definedName name="OSRRefD22_4x_0" localSheetId="40">'200'!$D$28:$D$29</definedName>
    <definedName name="OSRRefD22_4x_0" localSheetId="41">'201'!$D$38</definedName>
    <definedName name="OSRRefD22_4x_0" localSheetId="42">'202'!$D$40</definedName>
    <definedName name="OSRRefD22_4x_0" localSheetId="43">'203'!$D$41</definedName>
    <definedName name="OSRRefD22_4x_0" localSheetId="44">'204'!$D$43</definedName>
    <definedName name="OSRRefD22_4x_0" localSheetId="45">'205'!$D$35:$D$37</definedName>
    <definedName name="OSRRefD22_4x_0" localSheetId="46">'206'!$D$40</definedName>
    <definedName name="OSRRefD22_4x_0" localSheetId="48">'300'!$D$197</definedName>
    <definedName name="OSRRefD22_4x_0" localSheetId="49">'300 &amp; 317'!$D$223</definedName>
    <definedName name="OSRRefD22_4x_0" localSheetId="50">'301'!$D$43</definedName>
    <definedName name="OSRRefD22_4x_0" localSheetId="53">'307'!$D$38</definedName>
    <definedName name="OSRRefD22_4x_0" localSheetId="55">'308'!$D$89</definedName>
    <definedName name="OSRRefD22_4x_0" localSheetId="67">'309'!$D$43</definedName>
    <definedName name="OSRRefD22_4x_0" localSheetId="66">'310'!$D$54</definedName>
    <definedName name="OSRRefD22_4x_0" localSheetId="74">'310 &amp; 491'!$D$65</definedName>
    <definedName name="OSRRefD22_4x_0" localSheetId="56">'311'!$D$87</definedName>
    <definedName name="OSRRefD22_4x_0" localSheetId="68">'313'!$D$51</definedName>
    <definedName name="OSRRefD22_4x_0" localSheetId="54">'314'!$D$76</definedName>
    <definedName name="OSRRefD22_4x_0" localSheetId="59">'315'!$D$78</definedName>
    <definedName name="OSRRefD22_4x_0" localSheetId="62">'316'!$D$53</definedName>
    <definedName name="OSRRefD22_4x_0" localSheetId="65">'317'!$D$79</definedName>
    <definedName name="OSRRefD22_4x_0" localSheetId="63">'320'!$D$51:$D$52</definedName>
    <definedName name="OSRRefD22_4x_0" localSheetId="69">'321'!$D$42</definedName>
    <definedName name="OSRRefD22_4x_0" localSheetId="70">'322'!$D$43</definedName>
    <definedName name="OSRRefD22_4x_0" localSheetId="71">'325'!$D$44</definedName>
    <definedName name="OSRRefD22_4x_0" localSheetId="60">'326'!$D$81</definedName>
    <definedName name="OSRRefD22_4x_0" localSheetId="52">'330'!$D$107:$D$108</definedName>
    <definedName name="OSRRefD22_4x_0" localSheetId="58">'331'!$D$96</definedName>
    <definedName name="OSRRefD22_4x_0" localSheetId="61">'332'!$D$66</definedName>
    <definedName name="OSRRefD22_4x_0" localSheetId="76">'405'!$D$43</definedName>
    <definedName name="OSRRefD22_4x_0" localSheetId="77">'406'!$D$44</definedName>
    <definedName name="OSRRefD22_4x_0" localSheetId="78">'411'!$D$41:$D$43</definedName>
    <definedName name="OSRRefD22_4x_0" localSheetId="79">'412'!$D$45</definedName>
    <definedName name="OSRRefD22_4x_0" localSheetId="81">'413'!$D$44</definedName>
    <definedName name="OSRRefD22_4x_0" localSheetId="82">'414'!$D$44</definedName>
    <definedName name="OSRRefD22_4x_0" localSheetId="83">'415'!$D$44</definedName>
    <definedName name="OSRRefD22_4x_0" localSheetId="84">'418'!$D$44</definedName>
    <definedName name="OSRRefD22_4x_0" localSheetId="80">'420'!$D$42</definedName>
    <definedName name="OSRRefD22_4x_0" localSheetId="85">'423'!$D$37</definedName>
    <definedName name="OSRRefD22_4x_0" localSheetId="86">'424'!$D$40</definedName>
    <definedName name="OSRRefD22_4x_0" localSheetId="87">'425'!$D$48</definedName>
    <definedName name="OSRRefD22_4x_0" localSheetId="90">'430'!$D$35</definedName>
    <definedName name="OSRRefD22_4x_0" localSheetId="91">'433'!$D$47</definedName>
    <definedName name="OSRRefD22_4x_0" localSheetId="92">'435'!$D$37</definedName>
    <definedName name="OSRRefD22_4x_0" localSheetId="93">'444'!$D$46</definedName>
    <definedName name="OSRRefD22_4x_0" localSheetId="95">'450'!$D$46</definedName>
    <definedName name="OSRRefD22_4x_0" localSheetId="75">'491'!$D$56</definedName>
    <definedName name="OSRRefD22_4x_0" localSheetId="89">'492'!$D$50</definedName>
    <definedName name="OSRRefD22_4x_0" localSheetId="97">'501'!$D$41</definedName>
    <definedName name="OSRRefD22_4x_0" localSheetId="39">'Div 2'!$D$44</definedName>
    <definedName name="OSRRefD22_4x_0" localSheetId="47">'Div 3'!$D$202</definedName>
    <definedName name="OSRRefD22_4x_0" localSheetId="73">'Div 4'!$D$57</definedName>
    <definedName name="OSRRefD22_4x_0" localSheetId="96">'Div 5'!$D$41</definedName>
    <definedName name="OSRRefD22_4x_0" localSheetId="64">'Div 6'!$D$79</definedName>
    <definedName name="OSRRefD22_4x_0" localSheetId="2">Summary!$D$238</definedName>
    <definedName name="OSRRefD22_5x_0" localSheetId="41">'201'!$D$40</definedName>
    <definedName name="OSRRefD22_5x_0" localSheetId="42">'202'!$D$42</definedName>
    <definedName name="OSRRefD22_5x_0" localSheetId="43">'203'!$D$43</definedName>
    <definedName name="OSRRefD22_5x_0" localSheetId="44">'204'!$D$45</definedName>
    <definedName name="OSRRefD22_5x_0" localSheetId="45">'205'!$D$39</definedName>
    <definedName name="OSRRefD22_5x_0" localSheetId="46">'206'!$D$42</definedName>
    <definedName name="OSRRefD22_5x_0" localSheetId="48">'300'!$D$199:$D$200</definedName>
    <definedName name="OSRRefD22_5x_0" localSheetId="49">'300 &amp; 317'!$D$225:$D$226</definedName>
    <definedName name="OSRRefD22_5x_0" localSheetId="50">'301'!$D$45:$D$46</definedName>
    <definedName name="OSRRefD22_5x_0" localSheetId="53">'307'!$D$40</definedName>
    <definedName name="OSRRefD22_5x_0" localSheetId="55">'308'!$D$91</definedName>
    <definedName name="OSRRefD22_5x_0" localSheetId="67">'309'!$D$45</definedName>
    <definedName name="OSRRefD22_5x_0" localSheetId="66">'310'!$D$56:$D$57</definedName>
    <definedName name="OSRRefD22_5x_0" localSheetId="74">'310 &amp; 491'!$D$67:$D$69</definedName>
    <definedName name="OSRRefD22_5x_0" localSheetId="56">'311'!$D$89</definedName>
    <definedName name="OSRRefD22_5x_0" localSheetId="68">'313'!$D$53</definedName>
    <definedName name="OSRRefD22_5x_0" localSheetId="54">'314'!$D$78</definedName>
    <definedName name="OSRRefD22_5x_0" localSheetId="59">'315'!$D$80:$D$81</definedName>
    <definedName name="OSRRefD22_5x_0" localSheetId="62">'316'!$D$55</definedName>
    <definedName name="OSRRefD22_5x_0" localSheetId="65">'317'!$D$81</definedName>
    <definedName name="OSRRefD22_5x_0" localSheetId="63">'320'!$D$54</definedName>
    <definedName name="OSRRefD22_5x_0" localSheetId="69">'321'!$D$44</definedName>
    <definedName name="OSRRefD22_5x_0" localSheetId="70">'322'!$D$45</definedName>
    <definedName name="OSRRefD22_5x_0" localSheetId="71">'325'!$D$46:$D$47</definedName>
    <definedName name="OSRRefD22_5x_0" localSheetId="60">'326'!$D$83</definedName>
    <definedName name="OSRRefD22_5x_0" localSheetId="52">'330'!$D$110</definedName>
    <definedName name="OSRRefD22_5x_0" localSheetId="58">'331'!$D$98:$D$99</definedName>
    <definedName name="OSRRefD22_5x_0" localSheetId="61">'332'!$D$68</definedName>
    <definedName name="OSRRefD22_5x_0" localSheetId="76">'405'!$D$45:$D$46</definedName>
    <definedName name="OSRRefD22_5x_0" localSheetId="77">'406'!$D$46</definedName>
    <definedName name="OSRRefD22_5x_0" localSheetId="78">'411'!$D$45</definedName>
    <definedName name="OSRRefD22_5x_0" localSheetId="79">'412'!$D$47</definedName>
    <definedName name="OSRRefD22_5x_0" localSheetId="81">'413'!$D$46</definedName>
    <definedName name="OSRRefD22_5x_0" localSheetId="82">'414'!$D$46</definedName>
    <definedName name="OSRRefD22_5x_0" localSheetId="83">'415'!$D$46:$D$47</definedName>
    <definedName name="OSRRefD22_5x_0" localSheetId="84">'418'!$D$46:$D$47</definedName>
    <definedName name="OSRRefD22_5x_0" localSheetId="80">'420'!$D$44</definedName>
    <definedName name="OSRRefD22_5x_0" localSheetId="85">'423'!$D$39</definedName>
    <definedName name="OSRRefD22_5x_0" localSheetId="86">'424'!$D$42</definedName>
    <definedName name="OSRRefD22_5x_0" localSheetId="87">'425'!$D$50</definedName>
    <definedName name="OSRRefD22_5x_0" localSheetId="90">'430'!$D$37</definedName>
    <definedName name="OSRRefD22_5x_0" localSheetId="91">'433'!$D$49</definedName>
    <definedName name="OSRRefD22_5x_0" localSheetId="92">'435'!$D$39</definedName>
    <definedName name="OSRRefD22_5x_0" localSheetId="93">'444'!$D$48</definedName>
    <definedName name="OSRRefD22_5x_0" localSheetId="95">'450'!$D$48</definedName>
    <definedName name="OSRRefD22_5x_0" localSheetId="75">'491'!$D$58:$D$60</definedName>
    <definedName name="OSRRefD22_5x_0" localSheetId="89">'492'!$D$52</definedName>
    <definedName name="OSRRefD22_5x_0" localSheetId="97">'501'!$D$43:$D$44</definedName>
    <definedName name="OSRRefD22_5x_0" localSheetId="39">'Div 2'!$D$46:$D$47</definedName>
    <definedName name="OSRRefD22_5x_0" localSheetId="47">'Div 3'!$D$204:$D$205</definedName>
    <definedName name="OSRRefD22_5x_0" localSheetId="73">'Div 4'!$D$59:$D$61</definedName>
    <definedName name="OSRRefD22_5x_0" localSheetId="96">'Div 5'!$D$43:$D$44</definedName>
    <definedName name="OSRRefD22_5x_0" localSheetId="64">'Div 6'!$D$81</definedName>
    <definedName name="OSRRefD22_5x_0" localSheetId="2">Summary!$D$240:$D$242</definedName>
    <definedName name="OSRRefD22_6x_0" localSheetId="41">'201'!$D$42</definedName>
    <definedName name="OSRRefD22_6x_0" localSheetId="42">'202'!$D$44</definedName>
    <definedName name="OSRRefD22_6x_0" localSheetId="43">'203'!$D$45</definedName>
    <definedName name="OSRRefD22_6x_0" localSheetId="44">'204'!$D$47:$D$50</definedName>
    <definedName name="OSRRefD22_6x_0" localSheetId="45">'205'!$D$41:$D$42</definedName>
    <definedName name="OSRRefD22_6x_0" localSheetId="46">'206'!$D$44:$D$45</definedName>
    <definedName name="OSRRefD22_6x_0" localSheetId="48">'300'!$D$202:$D$203</definedName>
    <definedName name="OSRRefD22_6x_0" localSheetId="49">'300 &amp; 317'!$D$228:$D$229</definedName>
    <definedName name="OSRRefD22_6x_0" localSheetId="50">'301'!$D$48:$D$49</definedName>
    <definedName name="OSRRefD22_6x_0" localSheetId="53">'307'!$D$42</definedName>
    <definedName name="OSRRefD22_6x_0" localSheetId="55">'308'!$D$93:$D$94</definedName>
    <definedName name="OSRRefD22_6x_0" localSheetId="67">'309'!$D$47</definedName>
    <definedName name="OSRRefD22_6x_0" localSheetId="66">'310'!$D$59</definedName>
    <definedName name="OSRRefD22_6x_0" localSheetId="74">'310 &amp; 491'!$D$71</definedName>
    <definedName name="OSRRefD22_6x_0" localSheetId="56">'311'!$D$91:$D$92</definedName>
    <definedName name="OSRRefD22_6x_0" localSheetId="68">'313'!$D$55</definedName>
    <definedName name="OSRRefD22_6x_0" localSheetId="54">'314'!$D$80</definedName>
    <definedName name="OSRRefD22_6x_0" localSheetId="59">'315'!$D$83</definedName>
    <definedName name="OSRRefD22_6x_0" localSheetId="62">'316'!$D$57:$D$58</definedName>
    <definedName name="OSRRefD22_6x_0" localSheetId="65">'317'!$D$83</definedName>
    <definedName name="OSRRefD22_6x_0" localSheetId="63">'320'!$D$56</definedName>
    <definedName name="OSRRefD22_6x_0" localSheetId="69">'321'!$D$46</definedName>
    <definedName name="OSRRefD22_6x_0" localSheetId="70">'322'!$D$47</definedName>
    <definedName name="OSRRefD22_6x_0" localSheetId="71">'325'!$D$49</definedName>
    <definedName name="OSRRefD22_6x_0" localSheetId="60">'326'!$D$85</definedName>
    <definedName name="OSRRefD22_6x_0" localSheetId="52">'330'!$D$112</definedName>
    <definedName name="OSRRefD22_6x_0" localSheetId="58">'331'!$D$101</definedName>
    <definedName name="OSRRefD22_6x_0" localSheetId="61">'332'!$D$70:$D$71</definedName>
    <definedName name="OSRRefD22_6x_0" localSheetId="76">'405'!$D$48</definedName>
    <definedName name="OSRRefD22_6x_0" localSheetId="77">'406'!$D$48</definedName>
    <definedName name="OSRRefD22_6x_0" localSheetId="78">'411'!$D$47</definedName>
    <definedName name="OSRRefD22_6x_0" localSheetId="79">'412'!$D$49</definedName>
    <definedName name="OSRRefD22_6x_0" localSheetId="81">'413'!$D$48</definedName>
    <definedName name="OSRRefD22_6x_0" localSheetId="82">'414'!$D$48</definedName>
    <definedName name="OSRRefD22_6x_0" localSheetId="83">'415'!$D$49</definedName>
    <definedName name="OSRRefD22_6x_0" localSheetId="84">'418'!$D$49</definedName>
    <definedName name="OSRRefD22_6x_0" localSheetId="80">'420'!$D$46:$D$47</definedName>
    <definedName name="OSRRefD22_6x_0" localSheetId="85">'423'!$D$41</definedName>
    <definedName name="OSRRefD22_6x_0" localSheetId="86">'424'!$D$44</definedName>
    <definedName name="OSRRefD22_6x_0" localSheetId="87">'425'!$D$52</definedName>
    <definedName name="OSRRefD22_6x_0" localSheetId="90">'430'!$D$39:$D$41</definedName>
    <definedName name="OSRRefD22_6x_0" localSheetId="91">'433'!$D$51</definedName>
    <definedName name="OSRRefD22_6x_0" localSheetId="92">'435'!$D$41</definedName>
    <definedName name="OSRRefD22_6x_0" localSheetId="93">'444'!$D$50</definedName>
    <definedName name="OSRRefD22_6x_0" localSheetId="95">'450'!$D$50</definedName>
    <definedName name="OSRRefD22_6x_0" localSheetId="75">'491'!$D$62</definedName>
    <definedName name="OSRRefD22_6x_0" localSheetId="89">'492'!$D$54</definedName>
    <definedName name="OSRRefD22_6x_0" localSheetId="97">'501'!$D$46</definedName>
    <definedName name="OSRRefD22_6x_0" localSheetId="39">'Div 2'!$D$49</definedName>
    <definedName name="OSRRefD22_6x_0" localSheetId="47">'Div 3'!$D$207:$D$208</definedName>
    <definedName name="OSRRefD22_6x_0" localSheetId="73">'Div 4'!$D$63</definedName>
    <definedName name="OSRRefD22_6x_0" localSheetId="96">'Div 5'!$D$46</definedName>
    <definedName name="OSRRefD22_6x_0" localSheetId="64">'Div 6'!$D$83</definedName>
    <definedName name="OSRRefD22_6x_0" localSheetId="2">Summary!$D$244:$D$245</definedName>
    <definedName name="OSRRefD22_7x_0" localSheetId="41">'201'!$D$44</definedName>
    <definedName name="OSRRefD22_7x_0" localSheetId="42">'202'!$D$46</definedName>
    <definedName name="OSRRefD22_7x_0" localSheetId="43">'203'!$D$47</definedName>
    <definedName name="OSRRefD22_7x_0" localSheetId="44">'204'!$D$52:$D$53</definedName>
    <definedName name="OSRRefD22_7x_0" localSheetId="45">'205'!$D$44</definedName>
    <definedName name="OSRRefD22_7x_0" localSheetId="46">'206'!$D$47</definedName>
    <definedName name="OSRRefD22_7x_0" localSheetId="48">'300'!$D$205</definedName>
    <definedName name="OSRRefD22_7x_0" localSheetId="49">'300 &amp; 317'!$D$231</definedName>
    <definedName name="OSRRefD22_7x_0" localSheetId="50">'301'!$D$51</definedName>
    <definedName name="OSRRefD22_7x_0" localSheetId="53">'307'!$D$44</definedName>
    <definedName name="OSRRefD22_7x_0" localSheetId="55">'308'!$D$96</definedName>
    <definedName name="OSRRefD22_7x_0" localSheetId="67">'309'!$D$49</definedName>
    <definedName name="OSRRefD22_7x_0" localSheetId="66">'310'!$D$61</definedName>
    <definedName name="OSRRefD22_7x_0" localSheetId="74">'310 &amp; 491'!$D$73</definedName>
    <definedName name="OSRRefD22_7x_0" localSheetId="56">'311'!$D$94</definedName>
    <definedName name="OSRRefD22_7x_0" localSheetId="68">'313'!$D$57:$D$58</definedName>
    <definedName name="OSRRefD22_7x_0" localSheetId="54">'314'!$D$82:$D$84</definedName>
    <definedName name="OSRRefD22_7x_0" localSheetId="59">'315'!$D$85</definedName>
    <definedName name="OSRRefD22_7x_0" localSheetId="62">'316'!$D$60</definedName>
    <definedName name="OSRRefD22_7x_0" localSheetId="65">'317'!$D$85:$D$86</definedName>
    <definedName name="OSRRefD22_7x_0" localSheetId="63">'320'!$D$58:$D$60</definedName>
    <definedName name="OSRRefD22_7x_0" localSheetId="69">'321'!$D$48:$D$50</definedName>
    <definedName name="OSRRefD22_7x_0" localSheetId="70">'322'!$D$49</definedName>
    <definedName name="OSRRefD22_7x_0" localSheetId="71">'325'!$D$51</definedName>
    <definedName name="OSRRefD22_7x_0" localSheetId="60">'326'!$D$87</definedName>
    <definedName name="OSRRefD22_7x_0" localSheetId="52">'330'!$D$114</definedName>
    <definedName name="OSRRefD22_7x_0" localSheetId="58">'331'!$D$103</definedName>
    <definedName name="OSRRefD22_7x_0" localSheetId="61">'332'!$D$73</definedName>
    <definedName name="OSRRefD22_7x_0" localSheetId="76">'405'!$D$50</definedName>
    <definedName name="OSRRefD22_7x_0" localSheetId="77">'406'!$D$50</definedName>
    <definedName name="OSRRefD22_7x_0" localSheetId="78">'411'!$D$49</definedName>
    <definedName name="OSRRefD22_7x_0" localSheetId="79">'412'!$D$51</definedName>
    <definedName name="OSRRefD22_7x_0" localSheetId="81">'413'!$D$50</definedName>
    <definedName name="OSRRefD22_7x_0" localSheetId="82">'414'!$D$50</definedName>
    <definedName name="OSRRefD22_7x_0" localSheetId="83">'415'!$D$51</definedName>
    <definedName name="OSRRefD22_7x_0" localSheetId="84">'418'!$D$51</definedName>
    <definedName name="OSRRefD22_7x_0" localSheetId="80">'420'!$D$49</definedName>
    <definedName name="OSRRefD22_7x_0" localSheetId="86">'424'!$D$46</definedName>
    <definedName name="OSRRefD22_7x_0" localSheetId="87">'425'!$D$54</definedName>
    <definedName name="OSRRefD22_7x_0" localSheetId="90">'430'!$D$43</definedName>
    <definedName name="OSRRefD22_7x_0" localSheetId="91">'433'!$D$53</definedName>
    <definedName name="OSRRefD22_7x_0" localSheetId="92">'435'!$D$43</definedName>
    <definedName name="OSRRefD22_7x_0" localSheetId="93">'444'!$D$52</definedName>
    <definedName name="OSRRefD22_7x_0" localSheetId="95">'450'!$D$52</definedName>
    <definedName name="OSRRefD22_7x_0" localSheetId="75">'491'!$D$64</definedName>
    <definedName name="OSRRefD22_7x_0" localSheetId="89">'492'!$D$56</definedName>
    <definedName name="OSRRefD22_7x_0" localSheetId="97">'501'!$D$48</definedName>
    <definedName name="OSRRefD22_7x_0" localSheetId="39">'Div 2'!$D$51</definedName>
    <definedName name="OSRRefD22_7x_0" localSheetId="47">'Div 3'!$D$210</definedName>
    <definedName name="OSRRefD22_7x_0" localSheetId="73">'Div 4'!$D$65</definedName>
    <definedName name="OSRRefD22_7x_0" localSheetId="96">'Div 5'!$D$48</definedName>
    <definedName name="OSRRefD22_7x_0" localSheetId="64">'Div 6'!$D$85:$D$86</definedName>
    <definedName name="OSRRefD22_7x_0" localSheetId="2">Summary!$D$247</definedName>
    <definedName name="OSRRefD22_8x_0" localSheetId="41">'201'!$D$46</definedName>
    <definedName name="OSRRefD22_8x_0" localSheetId="42">'202'!$D$48</definedName>
    <definedName name="OSRRefD22_8x_0" localSheetId="43">'203'!$D$49</definedName>
    <definedName name="OSRRefD22_8x_0" localSheetId="44">'204'!$D$55:$D$56</definedName>
    <definedName name="OSRRefD22_8x_0" localSheetId="45">'205'!$D$46</definedName>
    <definedName name="OSRRefD22_8x_0" localSheetId="46">'206'!$D$49</definedName>
    <definedName name="OSRRefD22_8x_0" localSheetId="48">'300'!$D$207</definedName>
    <definedName name="OSRRefD22_8x_0" localSheetId="49">'300 &amp; 317'!$D$233</definedName>
    <definedName name="OSRRefD22_8x_0" localSheetId="50">'301'!$D$53</definedName>
    <definedName name="OSRRefD22_8x_0" localSheetId="53">'307'!$D$46</definedName>
    <definedName name="OSRRefD22_8x_0" localSheetId="55">'308'!$D$98</definedName>
    <definedName name="OSRRefD22_8x_0" localSheetId="67">'309'!$D$51</definedName>
    <definedName name="OSRRefD22_8x_0" localSheetId="66">'310'!$D$63</definedName>
    <definedName name="OSRRefD22_8x_0" localSheetId="74">'310 &amp; 491'!$D$75</definedName>
    <definedName name="OSRRefD22_8x_0" localSheetId="56">'311'!$D$96</definedName>
    <definedName name="OSRRefD22_8x_0" localSheetId="68">'313'!$D$60</definedName>
    <definedName name="OSRRefD22_8x_0" localSheetId="54">'314'!$D$86</definedName>
    <definedName name="OSRRefD22_8x_0" localSheetId="59">'315'!$D$87</definedName>
    <definedName name="OSRRefD22_8x_0" localSheetId="62">'316'!$D$62:$D$63</definedName>
    <definedName name="OSRRefD22_8x_0" localSheetId="65">'317'!$D$88</definedName>
    <definedName name="OSRRefD22_8x_0" localSheetId="63">'320'!$D$62</definedName>
    <definedName name="OSRRefD22_8x_0" localSheetId="69">'321'!$D$52</definedName>
    <definedName name="OSRRefD22_8x_0" localSheetId="70">'322'!$D$51</definedName>
    <definedName name="OSRRefD22_8x_0" localSheetId="71">'325'!$D$53</definedName>
    <definedName name="OSRRefD22_8x_0" localSheetId="60">'326'!$D$89</definedName>
    <definedName name="OSRRefD22_8x_0" localSheetId="52">'330'!$D$116</definedName>
    <definedName name="OSRRefD22_8x_0" localSheetId="58">'331'!$D$105:$D$106</definedName>
    <definedName name="OSRRefD22_8x_0" localSheetId="61">'332'!$D$75</definedName>
    <definedName name="OSRRefD22_8x_0" localSheetId="76">'405'!$D$52</definedName>
    <definedName name="OSRRefD22_8x_0" localSheetId="77">'406'!$D$52</definedName>
    <definedName name="OSRRefD22_8x_0" localSheetId="78">'411'!$D$51</definedName>
    <definedName name="OSRRefD22_8x_0" localSheetId="79">'412'!$D$53</definedName>
    <definedName name="OSRRefD22_8x_0" localSheetId="81">'413'!$D$52:$D$54</definedName>
    <definedName name="OSRRefD22_8x_0" localSheetId="82">'414'!$D$52</definedName>
    <definedName name="OSRRefD22_8x_0" localSheetId="83">'415'!$D$53</definedName>
    <definedName name="OSRRefD22_8x_0" localSheetId="84">'418'!$D$53</definedName>
    <definedName name="OSRRefD22_8x_0" localSheetId="86">'424'!$D$48</definedName>
    <definedName name="OSRRefD22_8x_0" localSheetId="87">'425'!$D$56</definedName>
    <definedName name="OSRRefD22_8x_0" localSheetId="90">'430'!$D$45</definedName>
    <definedName name="OSRRefD22_8x_0" localSheetId="91">'433'!$D$55</definedName>
    <definedName name="OSRRefD22_8x_0" localSheetId="92">'435'!$D$45:$D$48</definedName>
    <definedName name="OSRRefD22_8x_0" localSheetId="93">'444'!$D$54</definedName>
    <definedName name="OSRRefD22_8x_0" localSheetId="95">'450'!$D$54</definedName>
    <definedName name="OSRRefD22_8x_0" localSheetId="75">'491'!$D$66</definedName>
    <definedName name="OSRRefD22_8x_0" localSheetId="89">'492'!$D$58</definedName>
    <definedName name="OSRRefD22_8x_0" localSheetId="97">'501'!$D$50</definedName>
    <definedName name="OSRRefD22_8x_0" localSheetId="39">'Div 2'!$D$53</definedName>
    <definedName name="OSRRefD22_8x_0" localSheetId="47">'Div 3'!$D$212</definedName>
    <definedName name="OSRRefD22_8x_0" localSheetId="73">'Div 4'!$D$67</definedName>
    <definedName name="OSRRefD22_8x_0" localSheetId="96">'Div 5'!$D$50</definedName>
    <definedName name="OSRRefD22_8x_0" localSheetId="64">'Div 6'!$D$88</definedName>
    <definedName name="OSRRefD22_8x_0" localSheetId="2">Summary!$D$249</definedName>
    <definedName name="OSRRefD22_9x_0" localSheetId="41">'201'!$D$48</definedName>
    <definedName name="OSRRefD22_9x_0" localSheetId="42">'202'!$D$50</definedName>
    <definedName name="OSRRefD22_9x_0" localSheetId="43">'203'!$D$51:$D$53</definedName>
    <definedName name="OSRRefD22_9x_0" localSheetId="44">'204'!$D$58</definedName>
    <definedName name="OSRRefD22_9x_0" localSheetId="48">'300'!$D$209</definedName>
    <definedName name="OSRRefD22_9x_0" localSheetId="49">'300 &amp; 317'!$D$235</definedName>
    <definedName name="OSRRefD22_9x_0" localSheetId="50">'301'!$D$55</definedName>
    <definedName name="OSRRefD22_9x_0" localSheetId="53">'307'!$D$48:$D$49</definedName>
    <definedName name="OSRRefD22_9x_0" localSheetId="55">'308'!$D$100:$D$102</definedName>
    <definedName name="OSRRefD22_9x_0" localSheetId="67">'309'!$D$53:$D$54</definedName>
    <definedName name="OSRRefD22_9x_0" localSheetId="66">'310'!$D$65:$D$66</definedName>
    <definedName name="OSRRefD22_9x_0" localSheetId="74">'310 &amp; 491'!$D$77</definedName>
    <definedName name="OSRRefD22_9x_0" localSheetId="56">'311'!$D$98:$D$100</definedName>
    <definedName name="OSRRefD22_9x_0" localSheetId="68">'313'!$D$62:$D$64</definedName>
    <definedName name="OSRRefD22_9x_0" localSheetId="54">'314'!$D$88</definedName>
    <definedName name="OSRRefD22_9x_0" localSheetId="59">'315'!$D$89:$D$91</definedName>
    <definedName name="OSRRefD22_9x_0" localSheetId="62">'316'!$D$65</definedName>
    <definedName name="OSRRefD22_9x_0" localSheetId="65">'317'!$D$90</definedName>
    <definedName name="OSRRefD22_9x_0" localSheetId="69">'321'!$D$54:$D$56</definedName>
    <definedName name="OSRRefD22_9x_0" localSheetId="70">'322'!$D$53</definedName>
    <definedName name="OSRRefD22_9x_0" localSheetId="71">'325'!$D$55</definedName>
    <definedName name="OSRRefD22_9x_0" localSheetId="60">'326'!$D$91</definedName>
    <definedName name="OSRRefD22_9x_0" localSheetId="52">'330'!$D$118</definedName>
    <definedName name="OSRRefD22_9x_0" localSheetId="58">'331'!$D$108</definedName>
    <definedName name="OSRRefD22_9x_0" localSheetId="61">'332'!$D$77:$D$78</definedName>
    <definedName name="OSRRefD22_9x_0" localSheetId="76">'405'!$D$54</definedName>
    <definedName name="OSRRefD22_9x_0" localSheetId="77">'406'!$D$54:$D$56</definedName>
    <definedName name="OSRRefD22_9x_0" localSheetId="78">'411'!$D$53</definedName>
    <definedName name="OSRRefD22_9x_0" localSheetId="79">'412'!$D$55:$D$57</definedName>
    <definedName name="OSRRefD22_9x_0" localSheetId="81">'413'!$D$56:$D$57</definedName>
    <definedName name="OSRRefD22_9x_0" localSheetId="82">'414'!$D$54:$D$55</definedName>
    <definedName name="OSRRefD22_9x_0" localSheetId="83">'415'!$D$55</definedName>
    <definedName name="OSRRefD22_9x_0" localSheetId="84">'418'!$D$55</definedName>
    <definedName name="OSRRefD22_9x_0" localSheetId="86">'424'!$D$50:$D$51</definedName>
    <definedName name="OSRRefD22_9x_0" localSheetId="87">'425'!$D$58:$D$60</definedName>
    <definedName name="OSRRefD22_9x_0" localSheetId="90">'430'!$D$47</definedName>
    <definedName name="OSRRefD22_9x_0" localSheetId="91">'433'!$D$57</definedName>
    <definedName name="OSRRefD22_9x_0" localSheetId="92">'435'!$D$50</definedName>
    <definedName name="OSRRefD22_9x_0" localSheetId="93">'444'!$D$56</definedName>
    <definedName name="OSRRefD22_9x_0" localSheetId="95">'450'!$D$56</definedName>
    <definedName name="OSRRefD22_9x_0" localSheetId="75">'491'!$D$68</definedName>
    <definedName name="OSRRefD22_9x_0" localSheetId="89">'492'!$D$60</definedName>
    <definedName name="OSRRefD22_9x_0" localSheetId="97">'501'!$D$52</definedName>
    <definedName name="OSRRefD22_9x_0" localSheetId="39">'Div 2'!$D$55</definedName>
    <definedName name="OSRRefD22_9x_0" localSheetId="47">'Div 3'!$D$214</definedName>
    <definedName name="OSRRefD22_9x_0" localSheetId="73">'Div 4'!$D$69</definedName>
    <definedName name="OSRRefD22_9x_0" localSheetId="96">'Div 5'!$D$52</definedName>
    <definedName name="OSRRefD22_9x_0" localSheetId="64">'Div 6'!$D$90</definedName>
    <definedName name="OSRRefD22_9x_0" localSheetId="2">Summary!$D$251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'201'!$D$20:$D$28,'201'!$D$30:$D$32,'201'!$D$34,'201'!$D$36,'201'!$D$38,'201'!$D$40,'201'!$D$42,'201'!$D$44,'201'!$D$46,'201'!$D$48,'201'!$D$50:$D$52,'201'!$D$54:$D$56,'201'!$D$58,'201'!$D$60:$D$63,'201'!$D$65,'201'!$D$67,'201'!$D$69:$D$70</definedName>
    <definedName name="OSRRefD22x_0" localSheetId="42">'202'!$D$20:$D$27,'202'!$D$29:$D$34,'202'!$D$36,'202'!$D$38,'202'!$D$40,'202'!$D$42,'202'!$D$44,'202'!$D$46,'202'!$D$48,'202'!$D$50,'202'!$D$52:$D$54,'202'!$D$56,'202'!$D$58,'202'!$D$60:$D$62,'202'!$D$64,'202'!$D$66,'202'!$D$68</definedName>
    <definedName name="OSRRefD22x_0" localSheetId="43">'203'!$D$20:$D$29,'203'!$D$31:$D$35,'203'!$D$37,'203'!$D$39,'203'!$D$41,'203'!$D$43,'203'!$D$45,'203'!$D$47,'203'!$D$49,'203'!$D$51:$D$53,'203'!$D$55:$D$56,'203'!$D$58:$D$59,'203'!$D$61:$D$63,'203'!$D$65,'203'!$D$67,'203'!$D$69</definedName>
    <definedName name="OSRRefD22x_0" localSheetId="44">'204'!$D$20:$D$29,'204'!$D$31:$D$36,'204'!$D$38,'204'!$D$40:$D$41,'204'!$D$43,'204'!$D$45,'204'!$D$47:$D$50,'204'!$D$52:$D$53,'204'!$D$55:$D$56,'204'!$D$58,'204'!$D$60:$D$61</definedName>
    <definedName name="OSRRefD22x_0" localSheetId="45">'205'!$D$20:$D$27,'205'!$D$29,'205'!$D$31,'205'!$D$33,'205'!$D$35:$D$37,'205'!$D$39,'205'!$D$41:$D$42,'205'!$D$44,'205'!$D$46</definedName>
    <definedName name="OSRRefD22x_0" localSheetId="46">'206'!$D$20:$D$27,'206'!$D$29:$D$34,'206'!$D$36,'206'!$D$38,'206'!$D$40,'206'!$D$42,'206'!$D$44:$D$45,'206'!$D$47,'206'!$D$49</definedName>
    <definedName name="OSRRefD22x_0" localSheetId="48">'300'!$D$174:$D$182,'300'!$D$184:$D$190,'300'!$D$192,'300'!$D$194:$D$195,'300'!$D$197,'300'!$D$199:$D$200,'300'!$D$202:$D$203,'300'!$D$205,'300'!$D$207,'300'!$D$209,'300'!$D$211:$D$212,'300'!$D$214,'300'!$D$216,'300'!$D$218,'300'!$D$220,'300'!$D$222,'300'!$D$224:$D$227,'300'!$D$229:$D$231,'300'!$D$233:$D$236,'300'!$D$238:$D$239,'300'!$D$241:$D$248,'300'!$D$250:$D$251,'300'!$D$253,'300'!$D$255:$D$257,'300'!$D$259</definedName>
    <definedName name="OSRRefD22x_0" localSheetId="49">'300 &amp; 317'!$D$200:$D$208,'300 &amp; 317'!$D$210:$D$216,'300 &amp; 317'!$D$218,'300 &amp; 317'!$D$220:$D$221,'300 &amp; 317'!$D$223,'300 &amp; 317'!$D$225:$D$226,'300 &amp; 317'!$D$228:$D$229,'300 &amp; 317'!$D$231,'300 &amp; 317'!$D$233,'300 &amp; 317'!$D$235,'300 &amp; 317'!$D$237:$D$238,'300 &amp; 317'!$D$240,'300 &amp; 317'!$D$242,'300 &amp; 317'!$D$244,'300 &amp; 317'!$D$246,'300 &amp; 317'!$D$248,'300 &amp; 317'!$D$250:$D$253,'300 &amp; 317'!$D$255:$D$257,'300 &amp; 317'!$D$259:$D$262,'300 &amp; 317'!$D$264:$D$265,'300 &amp; 317'!$D$267:$D$274,'300 &amp; 317'!$D$276:$D$277,'300 &amp; 317'!$D$279,'300 &amp; 317'!$D$281:$D$283,'300 &amp; 317'!$D$285</definedName>
    <definedName name="OSRRefD22x_0" localSheetId="50">'301'!$D$21:$D$28,'301'!$D$30:$D$36,'301'!$D$38,'301'!$D$40:$D$41,'301'!$D$43,'301'!$D$45:$D$46,'301'!$D$48:$D$49,'301'!$D$51,'301'!$D$53,'301'!$D$55,'301'!$D$57,'301'!$D$59,'301'!$D$61,'301'!$D$63,'301'!$D$65,'301'!$D$67:$D$70,'301'!$D$72,'301'!$D$74:$D$76,'301'!$D$78:$D$79,'301'!$D$81:$D$87,'301'!$D$89,'301'!$D$91,'301'!$D$93:$D$95,'301'!$D$97</definedName>
    <definedName name="OSRRefD22x_0" localSheetId="53">'307'!$D$20:$D$27,'307'!$D$29:$D$31,'307'!$D$33,'307'!$D$35:$D$36,'307'!$D$38,'307'!$D$40,'307'!$D$42,'307'!$D$44,'307'!$D$46,'307'!$D$48:$D$49,'307'!$D$51:$D$52,'307'!$D$54</definedName>
    <definedName name="OSRRefD22x_0" localSheetId="55">'308'!$D$68:$D$76,'308'!$D$78:$D$82,'308'!$D$84,'308'!$D$86:$D$87,'308'!$D$89,'308'!$D$91,'308'!$D$93:$D$94,'308'!$D$96,'308'!$D$98,'308'!$D$100:$D$102,'308'!$D$104:$D$105,'308'!$D$107:$D$110,'308'!$D$112:$D$113,'308'!$D$115,'308'!$D$117</definedName>
    <definedName name="OSRRefD22x_0" localSheetId="67">'309'!$D$24:$D$31,'309'!$D$33:$D$37,'309'!$D$39,'309'!$D$41,'309'!$D$43,'309'!$D$45,'309'!$D$47,'309'!$D$49,'309'!$D$51,'309'!$D$53:$D$54,'309'!$D$56:$D$58,'309'!$D$60,'309'!$D$62:$D$68,'309'!$D$70</definedName>
    <definedName name="OSRRefD22x_0" localSheetId="66">'310'!$D$34:$D$41,'310'!$D$43:$D$48,'310'!$D$50,'310'!$D$52,'310'!$D$54,'310'!$D$56:$D$57,'310'!$D$59,'310'!$D$61,'310'!$D$63,'310'!$D$65:$D$66,'310'!$D$68,'310'!$D$70,'310'!$D$72,'310'!$D$74,'310'!$D$76:$D$78,'310'!$D$80,'310'!$D$82:$D$85,'310'!$D$87:$D$88,'310'!$D$90:$D$97,'310'!$D$99,'310'!$D$101,'310'!$D$103,'310'!$D$105</definedName>
    <definedName name="OSRRefD22x_0" localSheetId="74">'310 &amp; 491'!$D$43:$D$51,'310 &amp; 491'!$D$53:$D$59,'310 &amp; 491'!$D$61,'310 &amp; 491'!$D$63,'310 &amp; 491'!$D$65,'310 &amp; 491'!$D$67:$D$69,'310 &amp; 491'!$D$71,'310 &amp; 491'!$D$73,'310 &amp; 491'!$D$75,'310 &amp; 491'!$D$77,'310 &amp; 491'!$D$79:$D$80,'310 &amp; 491'!$D$82:$D$83,'310 &amp; 491'!$D$85,'310 &amp; 491'!$D$87,'310 &amp; 491'!$D$89,'310 &amp; 491'!$D$91,'310 &amp; 491'!$D$93:$D$96,'310 &amp; 491'!$D$98:$D$99,'310 &amp; 491'!$D$101:$D$105,'310 &amp; 491'!$D$107:$D$108,'310 &amp; 491'!$D$110:$D$119,'310 &amp; 491'!$D$121,'310 &amp; 491'!$D$123,'310 &amp; 491'!$D$125:$D$127,'310 &amp; 491'!$D$129</definedName>
    <definedName name="OSRRefD22x_0" localSheetId="56">'311'!$D$66:$D$74,'311'!$D$76:$D$80,'311'!$D$82,'311'!$D$84:$D$85,'311'!$D$87,'311'!$D$89,'311'!$D$91:$D$92,'311'!$D$94,'311'!$D$96,'311'!$D$98:$D$100,'311'!$D$102:$D$103,'311'!$D$105:$D$108,'311'!$D$110:$D$111,'311'!$D$113,'311'!$D$115</definedName>
    <definedName name="OSRRefD22x_0" localSheetId="68">'313'!$D$31:$D$38,'313'!$D$40:$D$45,'313'!$D$47,'313'!$D$49,'313'!$D$51,'313'!$D$53,'313'!$D$55,'313'!$D$57:$D$58,'313'!$D$60,'313'!$D$62:$D$64,'313'!$D$66:$D$67,'313'!$D$69:$D$70,'313'!$D$72:$D$77,'313'!$D$79,'313'!$D$81</definedName>
    <definedName name="OSRRefD22x_0" localSheetId="54">'314'!$D$56:$D$64,'314'!$D$66:$D$69,'314'!$D$71,'314'!$D$73:$D$74,'314'!$D$76,'314'!$D$78,'314'!$D$80,'314'!$D$82:$D$84,'314'!$D$86,'314'!$D$88,'314'!$D$90</definedName>
    <definedName name="OSRRefD22x_0" localSheetId="59">'315'!$D$57:$D$64,'315'!$D$66:$D$71,'315'!$D$73,'315'!$D$75:$D$76,'315'!$D$78,'315'!$D$80:$D$81,'315'!$D$83,'315'!$D$85,'315'!$D$87,'315'!$D$89:$D$91,'315'!$D$93:$D$94,'315'!$D$96:$D$97,'315'!$D$99:$D$103,'315'!$D$105,'315'!$D$107,'315'!$D$109:$D$110</definedName>
    <definedName name="OSRRefD22x_0" localSheetId="62">'316'!$D$35:$D$42,'316'!$D$44:$D$47,'316'!$D$49,'316'!$D$51,'316'!$D$53,'316'!$D$55,'316'!$D$57:$D$58,'316'!$D$60,'316'!$D$62:$D$63,'316'!$D$65,'316'!$D$67:$D$71,'316'!$D$73,'316'!$D$75</definedName>
    <definedName name="OSRRefD22x_0" localSheetId="65">'317'!$D$59:$D$67,'317'!$D$69:$D$73,'317'!$D$75,'317'!$D$77,'317'!$D$79,'317'!$D$81,'317'!$D$83,'317'!$D$85:$D$86,'317'!$D$88,'317'!$D$90,'317'!$D$92,'317'!$D$94,'317'!$D$96:$D$97,'317'!$D$99,'317'!$D$101,'317'!$D$103:$D$104</definedName>
    <definedName name="OSRRefD22x_0" localSheetId="63">'320'!$D$31:$D$38,'320'!$D$40:$D$45,'320'!$D$47,'320'!$D$49,'320'!$D$51:$D$52,'320'!$D$54,'320'!$D$56,'320'!$D$58:$D$60,'320'!$D$62</definedName>
    <definedName name="OSRRefD22x_0" localSheetId="69">'321'!$D$24:$D$30,'321'!$D$32:$D$36,'321'!$D$38,'321'!$D$40,'321'!$D$42,'321'!$D$44,'321'!$D$46,'321'!$D$48:$D$50,'321'!$D$52,'321'!$D$54:$D$56,'321'!$D$58:$D$63,'321'!$D$65,'321'!$D$67,'321'!$D$69</definedName>
    <definedName name="OSRRefD22x_0" localSheetId="70">'322'!$D$24:$D$31,'322'!$D$33:$D$37,'322'!$D$39,'322'!$D$41,'322'!$D$43,'322'!$D$45,'322'!$D$47,'322'!$D$49,'322'!$D$51,'322'!$D$53,'322'!$D$55,'322'!$D$57:$D$58,'322'!$D$60:$D$62,'322'!$D$64,'322'!$D$66:$D$72,'322'!$D$74,'322'!$D$76,'322'!$D$78</definedName>
    <definedName name="OSRRefD22x_0" localSheetId="57">'324'!$D$26</definedName>
    <definedName name="OSRRefD22x_0" localSheetId="71">'325'!$D$24:$D$31,'325'!$D$33:$D$38,'325'!$D$40,'325'!$D$42,'325'!$D$44,'325'!$D$46:$D$47,'325'!$D$49,'325'!$D$51,'325'!$D$53,'325'!$D$55,'325'!$D$57,'325'!$D$59:$D$61,'325'!$D$63:$D$66,'325'!$D$68:$D$69,'325'!$D$71:$D$76,'325'!$D$78,'325'!$D$80,'325'!$D$82</definedName>
    <definedName name="OSRRefD22x_0" localSheetId="60">'326'!$D$62:$D$69,'326'!$D$71:$D$75,'326'!$D$77,'326'!$D$79,'326'!$D$81,'326'!$D$83,'326'!$D$85,'326'!$D$87,'326'!$D$89,'326'!$D$91,'326'!$D$93,'326'!$D$95,'326'!$D$97,'326'!$D$99:$D$100,'326'!$D$102:$D$104,'326'!$D$106:$D$107,'326'!$D$109:$D$113,'326'!$D$115,'326'!$D$117,'326'!$D$119,'326'!$D$121</definedName>
    <definedName name="OSRRefD22x_0" localSheetId="72">'327'!$D$22,'327'!$D$24,'327'!$D$26</definedName>
    <definedName name="OSRRefD22x_0" localSheetId="52">'330'!$D$87:$D$95,'330'!$D$97:$D$101,'330'!$D$103,'330'!$D$105,'330'!$D$107:$D$108,'330'!$D$110,'330'!$D$112,'330'!$D$114,'330'!$D$116,'330'!$D$118,'330'!$D$120,'330'!$D$122:$D$123,'330'!$D$125:$D$126,'330'!$D$128,'330'!$D$130:$D$132,'330'!$D$134,'330'!$D$136,'330'!$D$138</definedName>
    <definedName name="OSRRefD22x_0" localSheetId="58">'331'!$D$76:$D$83,'331'!$D$85:$D$90,'331'!$D$92,'331'!$D$94,'331'!$D$96,'331'!$D$98:$D$99,'331'!$D$101,'331'!$D$103,'331'!$D$105:$D$106,'331'!$D$108,'331'!$D$110,'331'!$D$112,'331'!$D$114,'331'!$D$116,'331'!$D$118:$D$120,'331'!$D$122:$D$123,'331'!$D$125:$D$127,'331'!$D$129:$D$130,'331'!$D$132:$D$137,'331'!$D$139,'331'!$D$141,'331'!$D$143:$D$144,'331'!$D$146</definedName>
    <definedName name="OSRRefD22x_0" localSheetId="61">'332'!$D$46:$D$53,'332'!$D$55:$D$60,'332'!$D$62,'332'!$D$64,'332'!$D$66,'332'!$D$68,'332'!$D$70:$D$71,'332'!$D$73,'332'!$D$75,'332'!$D$77:$D$78,'332'!$D$80,'332'!$D$82:$D$86,'332'!$D$88,'332'!$D$90</definedName>
    <definedName name="OSRRefD22x_0" localSheetId="76">'405'!$D$24:$D$31,'405'!$D$33:$D$37,'405'!$D$39,'405'!$D$41,'405'!$D$43,'405'!$D$45:$D$46,'405'!$D$48,'405'!$D$50,'405'!$D$52,'405'!$D$54,'405'!$D$56:$D$57,'405'!$D$59,'405'!$D$61:$D$63,'405'!$D$65:$D$66,'405'!$D$68:$D$74,'405'!$D$76,'405'!$D$78,'405'!$D$80,'405'!$D$82</definedName>
    <definedName name="OSRRefD22x_0" localSheetId="77">'406'!$D$24:$D$31,'406'!$D$33:$D$38,'406'!$D$40,'406'!$D$42,'406'!$D$44,'406'!$D$46,'406'!$D$48,'406'!$D$50,'406'!$D$52,'406'!$D$54:$D$56,'406'!$D$58:$D$59,'406'!$D$61:$D$66,'406'!$D$68,'406'!$D$70,'406'!$D$72:$D$73</definedName>
    <definedName name="OSRRefD22x_0" localSheetId="78">'411'!$D$20:$D$28,'411'!$D$30:$D$35,'411'!$D$37,'411'!$D$39,'411'!$D$41:$D$43,'411'!$D$45,'411'!$D$47,'411'!$D$49,'411'!$D$51,'411'!$D$53,'411'!$D$55,'411'!$D$57,'411'!$D$59:$D$62,'411'!$D$64:$D$68,'411'!$D$70:$D$71,'411'!$D$73:$D$81,'411'!$D$83,'411'!$D$85,'411'!$D$87:$D$89,'411'!$D$91</definedName>
    <definedName name="OSRRefD22x_0" localSheetId="79">'412'!$D$25:$D$32,'412'!$D$34:$D$39,'412'!$D$41,'412'!$D$43,'412'!$D$45,'412'!$D$47,'412'!$D$49,'412'!$D$51,'412'!$D$53,'412'!$D$55:$D$57,'412'!$D$59,'412'!$D$61:$D$63,'412'!$D$65:$D$72,'412'!$D$74,'412'!$D$76</definedName>
    <definedName name="OSRRefD22x_0" localSheetId="81">'413'!$D$24:$D$31,'413'!$D$33:$D$38,'413'!$D$40,'413'!$D$42,'413'!$D$44,'413'!$D$46,'413'!$D$48,'413'!$D$50,'413'!$D$52:$D$54,'413'!$D$56:$D$57,'413'!$D$59:$D$64,'413'!$D$66,'413'!$D$68,'413'!$D$70</definedName>
    <definedName name="OSRRefD22x_0" localSheetId="82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3">'415'!$D$24:$D$31,'415'!$D$33:$D$38,'415'!$D$40,'415'!$D$42,'415'!$D$44,'415'!$D$46:$D$47,'415'!$D$49,'415'!$D$51,'415'!$D$53,'415'!$D$55,'415'!$D$57,'415'!$D$59:$D$62,'415'!$D$64:$D$68,'415'!$D$70:$D$71,'415'!$D$73:$D$80,'415'!$D$82,'415'!$D$84,'415'!$D$86,'415'!$D$88</definedName>
    <definedName name="OSRRefD22x_0" localSheetId="84">'418'!$D$24:$D$31,'418'!$D$33:$D$38,'418'!$D$40,'418'!$D$42,'418'!$D$44,'418'!$D$46:$D$47,'418'!$D$49,'418'!$D$51,'418'!$D$53,'418'!$D$55,'418'!$D$57:$D$58,'418'!$D$60:$D$62,'418'!$D$64:$D$66,'418'!$D$68:$D$69,'418'!$D$71:$D$78,'418'!$D$80,'418'!$D$82</definedName>
    <definedName name="OSRRefD22x_0" localSheetId="80">'420'!$D$24:$D$31,'420'!$D$33:$D$36,'420'!$D$38,'420'!$D$40,'420'!$D$42,'420'!$D$44,'420'!$D$46:$D$47,'420'!$D$49</definedName>
    <definedName name="OSRRefD22x_0" localSheetId="85">'423'!$D$21:$D$28,'423'!$D$30:$D$31,'423'!$D$33,'423'!$D$35,'423'!$D$37,'423'!$D$39,'423'!$D$41</definedName>
    <definedName name="OSRRefD22x_0" localSheetId="86">'424'!$D$26:$D$28,'424'!$D$30:$D$34,'424'!$D$36,'424'!$D$38,'424'!$D$40,'424'!$D$42,'424'!$D$44,'424'!$D$46,'424'!$D$48,'424'!$D$50:$D$51,'424'!$D$53,'424'!$D$55,'424'!$D$57:$D$63,'424'!$D$65</definedName>
    <definedName name="OSRRefD22x_0" localSheetId="87">'425'!$D$27:$D$35,'425'!$D$37:$D$42,'425'!$D$44,'425'!$D$46,'425'!$D$48,'425'!$D$50,'425'!$D$52,'425'!$D$54,'425'!$D$56,'425'!$D$58:$D$60,'425'!$D$62,'425'!$D$64:$D$66,'425'!$D$68:$D$74,'425'!$D$76,'425'!$D$78,'425'!$D$80</definedName>
    <definedName name="OSRRefD22x_0" localSheetId="90">'430'!$D$20:$D$27,'430'!$D$29,'430'!$D$31,'430'!$D$33,'430'!$D$35,'430'!$D$37,'430'!$D$39:$D$41,'430'!$D$43,'430'!$D$45,'430'!$D$47</definedName>
    <definedName name="OSRRefD22x_0" localSheetId="91">'433'!$D$26:$D$34,'433'!$D$36:$D$41,'433'!$D$43,'433'!$D$45,'433'!$D$47,'433'!$D$49,'433'!$D$51,'433'!$D$53,'433'!$D$55,'433'!$D$57,'433'!$D$59:$D$61,'433'!$D$63:$D$65,'433'!$D$67:$D$74,'433'!$D$76,'433'!$D$78,'433'!$D$80:$D$81</definedName>
    <definedName name="OSRRefD22x_0" localSheetId="92">'435'!$D$25:$D$27,'435'!$D$29:$D$31,'435'!$D$33,'435'!$D$35,'435'!$D$37,'435'!$D$39,'435'!$D$41,'435'!$D$43,'435'!$D$45:$D$48,'435'!$D$50</definedName>
    <definedName name="OSRRefD22x_0" localSheetId="93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4">'445'!$D$20</definedName>
    <definedName name="OSRRefD22x_0" localSheetId="95">'450'!$D$25:$D$33,'450'!$D$35:$D$40,'450'!$D$42,'450'!$D$44,'450'!$D$46,'450'!$D$48,'450'!$D$50,'450'!$D$52,'450'!$D$54,'450'!$D$56,'450'!$D$58,'450'!$D$60,'450'!$D$62:$D$64,'450'!$D$66:$D$68,'450'!$D$70:$D$76,'450'!$D$78,'450'!$D$80,'450'!$D$82:$D$83</definedName>
    <definedName name="OSRRefD22x_0" localSheetId="88">'455'!$D$20:$D$26,'455'!$D$28:$D$29,'455'!$D$31</definedName>
    <definedName name="OSRRefD22x_0" localSheetId="75">'491'!$D$34:$D$42,'491'!$D$44:$D$50,'491'!$D$52,'491'!$D$54,'491'!$D$56,'491'!$D$58:$D$60,'491'!$D$62,'491'!$D$64,'491'!$D$66,'491'!$D$68,'491'!$D$70,'491'!$D$72:$D$73,'491'!$D$75,'491'!$D$77,'491'!$D$79,'491'!$D$81,'491'!$D$83:$D$86,'491'!$D$88:$D$89,'491'!$D$91:$D$95,'491'!$D$97:$D$98,'491'!$D$100:$D$109,'491'!$D$111,'491'!$D$113,'491'!$D$115:$D$117,'491'!$D$119</definedName>
    <definedName name="OSRRefD22x_0" localSheetId="89">'492'!$D$28:$D$36,'492'!$D$38:$D$44,'492'!$D$46,'492'!$D$48,'492'!$D$50,'492'!$D$52,'492'!$D$54,'492'!$D$56,'492'!$D$58,'492'!$D$60,'492'!$D$62,'492'!$D$64,'492'!$D$66,'492'!$D$68:$D$70,'492'!$D$72:$D$74,'492'!$D$76:$D$84,'492'!$D$86,'492'!$D$88,'492'!$D$90:$D$91</definedName>
    <definedName name="OSRRefD22x_0" localSheetId="97">'501'!$D$21:$D$28,'501'!$D$30:$D$35,'501'!$D$37,'501'!$D$39,'501'!$D$41,'501'!$D$43:$D$44,'501'!$D$46,'501'!$D$48,'501'!$D$50,'501'!$D$52,'501'!$D$54:$D$56,'501'!$D$58,'501'!$D$60:$D$63,'501'!$D$65,'501'!$D$67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2'!$D$66:$D$69,'Div 2'!$D$71:$D$72,'Div 2'!$D$74:$D$75,'Div 2'!$D$77:$D$81,'Div 2'!$D$83:$D$84,'Div 2'!$D$86,'Div 2'!$D$88:$D$89</definedName>
    <definedName name="OSRRefD22x_0" localSheetId="47">'Div 3'!$D$179:$D$187,'Div 3'!$D$189:$D$195,'Div 3'!$D$197,'Div 3'!$D$199:$D$200,'Div 3'!$D$202,'Div 3'!$D$204:$D$205,'Div 3'!$D$207:$D$208,'Div 3'!$D$210,'Div 3'!$D$212,'Div 3'!$D$214,'Div 3'!$D$216:$D$217,'Div 3'!$D$219,'Div 3'!$D$221,'Div 3'!$D$223,'Div 3'!$D$225,'Div 3'!$D$227,'Div 3'!$D$229,'Div 3'!$D$231:$D$234,'Div 3'!$D$236:$D$238,'Div 3'!$D$240:$D$244,'Div 3'!$D$246:$D$247,'Div 3'!$D$249:$D$257,'Div 3'!$D$259:$D$260,'Div 3'!$D$262,'Div 3'!$D$264:$D$266,'Div 3'!$D$268</definedName>
    <definedName name="OSRRefD22x_0" localSheetId="73">'Div 4'!$D$35:$D$43,'Div 4'!$D$45:$D$51,'Div 4'!$D$53,'Div 4'!$D$55,'Div 4'!$D$57,'Div 4'!$D$59:$D$61,'Div 4'!$D$63,'Div 4'!$D$65,'Div 4'!$D$67,'Div 4'!$D$69,'Div 4'!$D$71,'Div 4'!$D$73:$D$74,'Div 4'!$D$76,'Div 4'!$D$78,'Div 4'!$D$80,'Div 4'!$D$82,'Div 4'!$D$84,'Div 4'!$D$86:$D$89,'Div 4'!$D$91:$D$92,'Div 4'!$D$94:$D$98,'Div 4'!$D$100:$D$101,'Div 4'!$D$103:$D$112,'Div 4'!$D$114,'Div 4'!$D$116,'Div 4'!$D$118:$D$120,'Div 4'!$D$122</definedName>
    <definedName name="OSRRefD22x_0" localSheetId="96">'Div 5'!$D$21:$D$28,'Div 5'!$D$30:$D$35,'Div 5'!$D$37,'Div 5'!$D$39,'Div 5'!$D$41,'Div 5'!$D$43:$D$44,'Div 5'!$D$46,'Div 5'!$D$48,'Div 5'!$D$50,'Div 5'!$D$52,'Div 5'!$D$54:$D$56,'Div 5'!$D$58,'Div 5'!$D$60:$D$63,'Div 5'!$D$65,'Div 5'!$D$67</definedName>
    <definedName name="OSRRefD22x_0" localSheetId="64">'Div 6'!$D$59:$D$67,'Div 6'!$D$69:$D$73,'Div 6'!$D$75,'Div 6'!$D$77,'Div 6'!$D$79,'Div 6'!$D$81,'Div 6'!$D$83,'Div 6'!$D$85:$D$86,'Div 6'!$D$88,'Div 6'!$D$90,'Div 6'!$D$92,'Div 6'!$D$94,'Div 6'!$D$96:$D$97,'Div 6'!$D$99,'Div 6'!$D$101,'Div 6'!$D$103:$D$104</definedName>
    <definedName name="OSRRefD22x_0" localSheetId="2">Summary!$D$215:$D$223,Summary!$D$225:$D$231,Summary!$D$233,Summary!$D$235:$D$236,Summary!$D$238,Summary!$D$240:$D$242,Summary!$D$244:$D$245,Summary!$D$247,Summary!$D$249,Summary!$D$251,Summary!$D$253:$D$254,Summary!$D$256:$D$257,Summary!$D$259,Summary!$D$261,Summary!$D$263,Summary!$D$265,Summary!$D$267,Summary!$D$269,Summary!$D$271:$D$274,Summary!$D$276:$D$278,Summary!$D$280:$D$284,Summary!$D$286:$D$287,Summary!$D$289:$D$298,Summary!$D$300:$D$301,Summary!$D$303,Summary!$D$305:$D$307,Summary!$D$309</definedName>
    <definedName name="OSRRefD25x_0" localSheetId="48">'300'!$D$262:$D$270</definedName>
    <definedName name="OSRRefD25x_0" localSheetId="49">'300 &amp; 317'!$D$288:$D$299</definedName>
    <definedName name="OSRRefD25x_0" localSheetId="50">'301'!$D$100:$D$102</definedName>
    <definedName name="OSRRefD25x_0" localSheetId="55">'308'!$D$120:$D$122</definedName>
    <definedName name="OSRRefD25x_0" localSheetId="74">'310 &amp; 491'!$D$132:$D$134</definedName>
    <definedName name="OSRRefD25x_0" localSheetId="56">'311'!$D$118:$D$120</definedName>
    <definedName name="OSRRefD25x_0" localSheetId="59">'315'!$D$113</definedName>
    <definedName name="OSRRefD25x_0" localSheetId="62">'316'!$D$78</definedName>
    <definedName name="OSRRefD25x_0" localSheetId="65">'317'!$D$107:$D$110</definedName>
    <definedName name="OSRRefD25x_0" localSheetId="63">'320'!$D$65:$D$69</definedName>
    <definedName name="OSRRefD25x_0" localSheetId="52">'330'!$D$141</definedName>
    <definedName name="OSRRefD25x_0" localSheetId="58">'331'!$D$149</definedName>
    <definedName name="OSRRefD25x_0" localSheetId="61">'332'!$D$93:$D$98</definedName>
    <definedName name="OSRRefD25x_0" localSheetId="78">'411'!$D$94:$D$95</definedName>
    <definedName name="OSRRefD25x_0" localSheetId="81">'413'!$D$73</definedName>
    <definedName name="OSRRefD25x_0" localSheetId="83">'415'!$D$91</definedName>
    <definedName name="OSRRefD25x_0" localSheetId="84">'418'!$D$85</definedName>
    <definedName name="OSRRefD25x_0" localSheetId="85">'423'!$D$44</definedName>
    <definedName name="OSRRefD25x_0" localSheetId="86">'424'!$D$68</definedName>
    <definedName name="OSRRefD25x_0" localSheetId="87">'425'!$D$83</definedName>
    <definedName name="OSRRefD25x_0" localSheetId="88">'455'!$D$34:$D$35</definedName>
    <definedName name="OSRRefD25x_0" localSheetId="75">'491'!$D$122:$D$124</definedName>
    <definedName name="OSRRefD25x_0" localSheetId="97">'501'!$D$70:$D$71</definedName>
    <definedName name="OSRRefD25x_0" localSheetId="47">'Div 3'!$D$271:$D$279</definedName>
    <definedName name="OSRRefD25x_0" localSheetId="73">'Div 4'!$D$125:$D$127</definedName>
    <definedName name="OSRRefD25x_0" localSheetId="96">'Div 5'!$D$70:$D$71</definedName>
    <definedName name="OSRRefD25x_0" localSheetId="64">'Div 6'!$D$107:$D$110</definedName>
    <definedName name="OSRRefD25x_0" localSheetId="2">Summary!$D$312:$D$324</definedName>
    <definedName name="OSRRefH13x_0" localSheetId="48">'300'!$H$13:$H$115</definedName>
    <definedName name="OSRRefH13x_0" localSheetId="49">'300 &amp; 317'!$H$13:$H$133</definedName>
    <definedName name="OSRRefH13x_0" localSheetId="55">'308'!$H$13:$H$44</definedName>
    <definedName name="OSRRefH13x_0" localSheetId="67">'309'!$H$13:$H$14</definedName>
    <definedName name="OSRRefH13x_0" localSheetId="66">'310'!$H$13:$H$24</definedName>
    <definedName name="OSRRefH13x_0" localSheetId="74">'310 &amp; 491'!$H$13:$H$33</definedName>
    <definedName name="OSRRefH13x_0" localSheetId="56">'311'!$H$13:$H$42</definedName>
    <definedName name="OSRRefH13x_0" localSheetId="68">'313'!$H$13:$H$21</definedName>
    <definedName name="OSRRefH13x_0" localSheetId="54">'314'!$H$13:$H$33</definedName>
    <definedName name="OSRRefH13x_0" localSheetId="59">'315'!$H$13:$H$33</definedName>
    <definedName name="OSRRefH13x_0" localSheetId="62">'316'!$H$13:$H$27</definedName>
    <definedName name="OSRRefH13x_0" localSheetId="65">'317'!$H$13:$H$36</definedName>
    <definedName name="OSRRefH13x_0" localSheetId="63">'320'!$H$13:$H$18</definedName>
    <definedName name="OSRRefH13x_0" localSheetId="69">'321'!$H$13:$H$14</definedName>
    <definedName name="OSRRefH13x_0" localSheetId="70">'322'!$H$13:$H$14</definedName>
    <definedName name="OSRRefH13x_0" localSheetId="57">'324'!$H$13:$H$16</definedName>
    <definedName name="OSRRefH13x_0" localSheetId="71">'325'!$H$13:$H$14</definedName>
    <definedName name="OSRRefH13x_0" localSheetId="60">'326'!$H$13:$H$36</definedName>
    <definedName name="OSRRefH13x_0" localSheetId="72">'327'!$H$13</definedName>
    <definedName name="OSRRefH13x_0" localSheetId="52">'330'!$H$13:$H$55</definedName>
    <definedName name="OSRRefH13x_0" localSheetId="58">'331'!$H$13:$H$44</definedName>
    <definedName name="OSRRefH13x_0" localSheetId="61">'332'!$H$13:$H$33</definedName>
    <definedName name="OSRRefH13x_0" localSheetId="76">'405'!$H$13:$H$14</definedName>
    <definedName name="OSRRefH13x_0" localSheetId="77">'406'!$H$13:$H$14</definedName>
    <definedName name="OSRRefH13x_0" localSheetId="79">'412'!$H$13:$H$15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0">'420'!$H$13:$H$14</definedName>
    <definedName name="OSRRefH13x_0" localSheetId="86">'424'!$H$13:$H$16</definedName>
    <definedName name="OSRRefH13x_0" localSheetId="87">'425'!$H$13:$H$17</definedName>
    <definedName name="OSRRefH13x_0" localSheetId="91">'433'!$H$13:$H$16</definedName>
    <definedName name="OSRRefH13x_0" localSheetId="92">'435'!$H$13:$H$15</definedName>
    <definedName name="OSRRefH13x_0" localSheetId="93">'444'!$H$13:$H$15</definedName>
    <definedName name="OSRRefH13x_0" localSheetId="95">'450'!$H$13:$H$15</definedName>
    <definedName name="OSRRefH13x_0" localSheetId="75">'491'!$H$13:$H$24</definedName>
    <definedName name="OSRRefH13x_0" localSheetId="89">'492'!$H$13:$H$18</definedName>
    <definedName name="OSRRefH13x_0" localSheetId="97">'501'!$H$13</definedName>
    <definedName name="OSRRefH13x_0" localSheetId="47">'Div 3'!$H$13:$H$118</definedName>
    <definedName name="OSRRefH13x_0" localSheetId="73">'Div 4'!$H$13:$H$25</definedName>
    <definedName name="OSRRefH13x_0" localSheetId="96">'Div 5'!$H$13</definedName>
    <definedName name="OSRRefH13x_0" localSheetId="64">'Div 6'!$H$13:$H$36</definedName>
    <definedName name="OSRRefH13x_0" localSheetId="2">Summary!$H$13:$H$146</definedName>
    <definedName name="OSRRefH16x_0" localSheetId="48">'300'!$H$118:$H$168</definedName>
    <definedName name="OSRRefH16x_0" localSheetId="49">'300 &amp; 317'!$H$136:$H$194</definedName>
    <definedName name="OSRRefH16x_0" localSheetId="50">'301'!$H$15</definedName>
    <definedName name="OSRRefH16x_0" localSheetId="55">'308'!$H$47:$H$62</definedName>
    <definedName name="OSRRefH16x_0" localSheetId="67">'309'!$H$17:$H$18</definedName>
    <definedName name="OSRRefH16x_0" localSheetId="66">'310'!$H$27:$H$28</definedName>
    <definedName name="OSRRefH16x_0" localSheetId="74">'310 &amp; 491'!$H$36:$H$37</definedName>
    <definedName name="OSRRefH16x_0" localSheetId="56">'311'!$H$45:$H$60</definedName>
    <definedName name="OSRRefH16x_0" localSheetId="68">'313'!$H$24:$H$25</definedName>
    <definedName name="OSRRefH16x_0" localSheetId="54">'314'!$H$36:$H$50</definedName>
    <definedName name="OSRRefH16x_0" localSheetId="59">'315'!$H$36:$H$51</definedName>
    <definedName name="OSRRefH16x_0" localSheetId="65">'317'!$H$39:$H$53</definedName>
    <definedName name="OSRRefH16x_0" localSheetId="63">'320'!$H$21:$H$25</definedName>
    <definedName name="OSRRefH16x_0" localSheetId="69">'321'!$H$17:$H$18</definedName>
    <definedName name="OSRRefH16x_0" localSheetId="70">'322'!$H$17:$H$18</definedName>
    <definedName name="OSRRefH16x_0" localSheetId="57">'324'!$H$19:$H$20</definedName>
    <definedName name="OSRRefH16x_0" localSheetId="71">'325'!$H$17:$H$18</definedName>
    <definedName name="OSRRefH16x_0" localSheetId="60">'326'!$H$39:$H$56</definedName>
    <definedName name="OSRRefH16x_0" localSheetId="72">'327'!$H$16</definedName>
    <definedName name="OSRRefH16x_0" localSheetId="52">'330'!$H$58:$H$81</definedName>
    <definedName name="OSRRefH16x_0" localSheetId="58">'331'!$H$47:$H$70</definedName>
    <definedName name="OSRRefH16x_0" localSheetId="61">'332'!$H$36:$H$40</definedName>
    <definedName name="OSRRefH16x_0" localSheetId="76">'405'!$H$17:$H$18</definedName>
    <definedName name="OSRRefH16x_0" localSheetId="77">'406'!$H$17:$H$18</definedName>
    <definedName name="OSRRefH16x_0" localSheetId="79">'412'!$H$18:$H$19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0">'420'!$H$17:$H$18</definedName>
    <definedName name="OSRRefH16x_0" localSheetId="85">'423'!$H$15</definedName>
    <definedName name="OSRRefH16x_0" localSheetId="86">'424'!$H$19:$H$20</definedName>
    <definedName name="OSRRefH16x_0" localSheetId="87">'425'!$H$20:$H$21</definedName>
    <definedName name="OSRRefH16x_0" localSheetId="91">'433'!$H$19:$H$20</definedName>
    <definedName name="OSRRefH16x_0" localSheetId="92">'435'!$H$18:$H$19</definedName>
    <definedName name="OSRRefH16x_0" localSheetId="93">'444'!$H$18:$H$19</definedName>
    <definedName name="OSRRefH16x_0" localSheetId="95">'450'!$H$18:$H$19</definedName>
    <definedName name="OSRRefH16x_0" localSheetId="75">'491'!$H$27:$H$28</definedName>
    <definedName name="OSRRefH16x_0" localSheetId="89">'492'!$H$21:$H$22</definedName>
    <definedName name="OSRRefH16x_0" localSheetId="47">'Div 3'!$H$121:$H$173</definedName>
    <definedName name="OSRRefH16x_0" localSheetId="73">'Div 4'!$H$28:$H$29</definedName>
    <definedName name="OSRRefH16x_0" localSheetId="64">'Div 6'!$H$39:$H$53</definedName>
    <definedName name="OSRRefH16x_0" localSheetId="2">Summary!$H$149:$H$209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'206'!$H$20:$H$27</definedName>
    <definedName name="OSRRefH22_0x_0" localSheetId="48">'300'!$H$174:$H$182</definedName>
    <definedName name="OSRRefH22_0x_0" localSheetId="49">'300 &amp; 317'!$H$200:$H$208</definedName>
    <definedName name="OSRRefH22_0x_0" localSheetId="50">'301'!$H$21:$H$28</definedName>
    <definedName name="OSRRefH22_0x_0" localSheetId="53">'307'!$H$20:$H$27</definedName>
    <definedName name="OSRRefH22_0x_0" localSheetId="55">'308'!$H$68:$H$76</definedName>
    <definedName name="OSRRefH22_0x_0" localSheetId="67">'309'!$H$24:$H$31</definedName>
    <definedName name="OSRRefH22_0x_0" localSheetId="66">'310'!$H$34:$H$41</definedName>
    <definedName name="OSRRefH22_0x_0" localSheetId="74">'310 &amp; 491'!$H$43:$H$51</definedName>
    <definedName name="OSRRefH22_0x_0" localSheetId="56">'311'!$H$66:$H$74</definedName>
    <definedName name="OSRRefH22_0x_0" localSheetId="68">'313'!$H$31:$H$38</definedName>
    <definedName name="OSRRefH22_0x_0" localSheetId="54">'314'!$H$56:$H$64</definedName>
    <definedName name="OSRRefH22_0x_0" localSheetId="59">'315'!$H$57:$H$64</definedName>
    <definedName name="OSRRefH22_0x_0" localSheetId="62">'316'!$H$35:$H$42</definedName>
    <definedName name="OSRRefH22_0x_0" localSheetId="65">'317'!$H$59:$H$67</definedName>
    <definedName name="OSRRefH22_0x_0" localSheetId="63">'320'!$H$31:$H$38</definedName>
    <definedName name="OSRRefH22_0x_0" localSheetId="69">'321'!$H$24:$H$30</definedName>
    <definedName name="OSRRefH22_0x_0" localSheetId="70">'322'!$H$24:$H$31</definedName>
    <definedName name="OSRRefH22_0x_0" localSheetId="57">'324'!$H$26</definedName>
    <definedName name="OSRRefH22_0x_0" localSheetId="71">'325'!$H$24:$H$31</definedName>
    <definedName name="OSRRefH22_0x_0" localSheetId="60">'326'!$H$62:$H$69</definedName>
    <definedName name="OSRRefH22_0x_0" localSheetId="72">'327'!$H$22</definedName>
    <definedName name="OSRRefH22_0x_0" localSheetId="52">'330'!$H$87:$H$95</definedName>
    <definedName name="OSRRefH22_0x_0" localSheetId="58">'331'!$H$76:$H$83</definedName>
    <definedName name="OSRRefH22_0x_0" localSheetId="61">'332'!$H$46:$H$53</definedName>
    <definedName name="OSRRefH22_0x_0" localSheetId="76">'405'!$H$24:$H$31</definedName>
    <definedName name="OSRRefH22_0x_0" localSheetId="77">'406'!$H$24:$H$31</definedName>
    <definedName name="OSRRefH22_0x_0" localSheetId="78">'411'!$H$20:$H$28</definedName>
    <definedName name="OSRRefH22_0x_0" localSheetId="79">'412'!$H$25:$H$32</definedName>
    <definedName name="OSRRefH22_0x_0" localSheetId="81">'413'!$H$24:$H$31</definedName>
    <definedName name="OSRRefH22_0x_0" localSheetId="82">'414'!$H$24:$H$31</definedName>
    <definedName name="OSRRefH22_0x_0" localSheetId="83">'415'!$H$24:$H$31</definedName>
    <definedName name="OSRRefH22_0x_0" localSheetId="84">'418'!$H$24:$H$31</definedName>
    <definedName name="OSRRefH22_0x_0" localSheetId="80">'420'!$H$24:$H$31</definedName>
    <definedName name="OSRRefH22_0x_0" localSheetId="85">'423'!$H$21:$H$28</definedName>
    <definedName name="OSRRefH22_0x_0" localSheetId="86">'424'!$H$26:$H$28</definedName>
    <definedName name="OSRRefH22_0x_0" localSheetId="87">'425'!$H$27:$H$35</definedName>
    <definedName name="OSRRefH22_0x_0" localSheetId="90">'430'!$H$20:$H$27</definedName>
    <definedName name="OSRRefH22_0x_0" localSheetId="91">'433'!$H$26:$H$34</definedName>
    <definedName name="OSRRefH22_0x_0" localSheetId="92">'435'!$H$25:$H$27</definedName>
    <definedName name="OSRRefH22_0x_0" localSheetId="93">'444'!$H$25:$H$33</definedName>
    <definedName name="OSRRefH22_0x_0" localSheetId="94">'445'!$H$20</definedName>
    <definedName name="OSRRefH22_0x_0" localSheetId="95">'450'!$H$25:$H$33</definedName>
    <definedName name="OSRRefH22_0x_0" localSheetId="88">'455'!$H$20:$H$26</definedName>
    <definedName name="OSRRefH22_0x_0" localSheetId="75">'491'!$H$34:$H$42</definedName>
    <definedName name="OSRRefH22_0x_0" localSheetId="89">'492'!$H$28:$H$36</definedName>
    <definedName name="OSRRefH22_0x_0" localSheetId="97">'501'!$H$21:$H$28</definedName>
    <definedName name="OSRRefH22_0x_0" localSheetId="39">'Div 2'!$H$20:$H$30</definedName>
    <definedName name="OSRRefH22_0x_0" localSheetId="47">'Div 3'!$H$179:$H$187</definedName>
    <definedName name="OSRRefH22_0x_0" localSheetId="73">'Div 4'!$H$35:$H$43</definedName>
    <definedName name="OSRRefH22_0x_0" localSheetId="96">'Div 5'!$H$21:$H$28</definedName>
    <definedName name="OSRRefH22_0x_0" localSheetId="64">'Div 6'!$H$59:$H$67</definedName>
    <definedName name="OSRRefH22_0x_0" localSheetId="2">Summary!$H$215:$H$223</definedName>
    <definedName name="OSRRefH22_10x_0" localSheetId="41">'201'!$H$50:$H$52</definedName>
    <definedName name="OSRRefH22_10x_0" localSheetId="42">'202'!$H$52:$H$54</definedName>
    <definedName name="OSRRefH22_10x_0" localSheetId="43">'203'!$H$55:$H$56</definedName>
    <definedName name="OSRRefH22_10x_0" localSheetId="44">'204'!$H$60:$H$61</definedName>
    <definedName name="OSRRefH22_10x_0" localSheetId="48">'300'!$H$211:$H$212</definedName>
    <definedName name="OSRRefH22_10x_0" localSheetId="49">'300 &amp; 317'!$H$237:$H$238</definedName>
    <definedName name="OSRRefH22_10x_0" localSheetId="50">'301'!$H$57</definedName>
    <definedName name="OSRRefH22_10x_0" localSheetId="53">'307'!$H$51:$H$52</definedName>
    <definedName name="OSRRefH22_10x_0" localSheetId="55">'308'!$H$104:$H$105</definedName>
    <definedName name="OSRRefH22_10x_0" localSheetId="67">'309'!$H$56:$H$58</definedName>
    <definedName name="OSRRefH22_10x_0" localSheetId="66">'310'!$H$68</definedName>
    <definedName name="OSRRefH22_10x_0" localSheetId="74">'310 &amp; 491'!$H$79:$H$80</definedName>
    <definedName name="OSRRefH22_10x_0" localSheetId="56">'311'!$H$102:$H$103</definedName>
    <definedName name="OSRRefH22_10x_0" localSheetId="68">'313'!$H$66:$H$67</definedName>
    <definedName name="OSRRefH22_10x_0" localSheetId="54">'314'!$H$90</definedName>
    <definedName name="OSRRefH22_10x_0" localSheetId="59">'315'!$H$93:$H$94</definedName>
    <definedName name="OSRRefH22_10x_0" localSheetId="62">'316'!$H$67:$H$71</definedName>
    <definedName name="OSRRefH22_10x_0" localSheetId="65">'317'!$H$92</definedName>
    <definedName name="OSRRefH22_10x_0" localSheetId="69">'321'!$H$58:$H$63</definedName>
    <definedName name="OSRRefH22_10x_0" localSheetId="70">'322'!$H$55</definedName>
    <definedName name="OSRRefH22_10x_0" localSheetId="71">'325'!$H$57</definedName>
    <definedName name="OSRRefH22_10x_0" localSheetId="60">'326'!$H$93</definedName>
    <definedName name="OSRRefH22_10x_0" localSheetId="52">'330'!$H$120</definedName>
    <definedName name="OSRRefH22_10x_0" localSheetId="58">'331'!$H$110</definedName>
    <definedName name="OSRRefH22_10x_0" localSheetId="61">'332'!$H$80</definedName>
    <definedName name="OSRRefH22_10x_0" localSheetId="76">'405'!$H$56:$H$57</definedName>
    <definedName name="OSRRefH22_10x_0" localSheetId="77">'406'!$H$58:$H$59</definedName>
    <definedName name="OSRRefH22_10x_0" localSheetId="78">'411'!$H$55</definedName>
    <definedName name="OSRRefH22_10x_0" localSheetId="79">'412'!$H$59</definedName>
    <definedName name="OSRRefH22_10x_0" localSheetId="81">'413'!$H$59:$H$64</definedName>
    <definedName name="OSRRefH22_10x_0" localSheetId="82">'414'!$H$57</definedName>
    <definedName name="OSRRefH22_10x_0" localSheetId="83">'415'!$H$57</definedName>
    <definedName name="OSRRefH22_10x_0" localSheetId="84">'418'!$H$57:$H$58</definedName>
    <definedName name="OSRRefH22_10x_0" localSheetId="86">'424'!$H$53</definedName>
    <definedName name="OSRRefH22_10x_0" localSheetId="87">'425'!$H$62</definedName>
    <definedName name="OSRRefH22_10x_0" localSheetId="91">'433'!$H$59:$H$61</definedName>
    <definedName name="OSRRefH22_10x_0" localSheetId="93">'444'!$H$58</definedName>
    <definedName name="OSRRefH22_10x_0" localSheetId="95">'450'!$H$58</definedName>
    <definedName name="OSRRefH22_10x_0" localSheetId="75">'491'!$H$70</definedName>
    <definedName name="OSRRefH22_10x_0" localSheetId="89">'492'!$H$62</definedName>
    <definedName name="OSRRefH22_10x_0" localSheetId="97">'501'!$H$54:$H$56</definedName>
    <definedName name="OSRRefH22_10x_0" localSheetId="39">'Div 2'!$H$57</definedName>
    <definedName name="OSRRefH22_10x_0" localSheetId="47">'Div 3'!$H$216:$H$217</definedName>
    <definedName name="OSRRefH22_10x_0" localSheetId="73">'Div 4'!$H$71</definedName>
    <definedName name="OSRRefH22_10x_0" localSheetId="96">'Div 5'!$H$54:$H$56</definedName>
    <definedName name="OSRRefH22_10x_0" localSheetId="64">'Div 6'!$H$92</definedName>
    <definedName name="OSRRefH22_10x_0" localSheetId="2">Summary!$H$253:$H$254</definedName>
    <definedName name="OSRRefH22_11x_0" localSheetId="41">'201'!$H$54:$H$56</definedName>
    <definedName name="OSRRefH22_11x_0" localSheetId="42">'202'!$H$56</definedName>
    <definedName name="OSRRefH22_11x_0" localSheetId="43">'203'!$H$58:$H$59</definedName>
    <definedName name="OSRRefH22_11x_0" localSheetId="48">'300'!$H$214</definedName>
    <definedName name="OSRRefH22_11x_0" localSheetId="49">'300 &amp; 317'!$H$240</definedName>
    <definedName name="OSRRefH22_11x_0" localSheetId="50">'301'!$H$59</definedName>
    <definedName name="OSRRefH22_11x_0" localSheetId="53">'307'!$H$54</definedName>
    <definedName name="OSRRefH22_11x_0" localSheetId="55">'308'!$H$107:$H$110</definedName>
    <definedName name="OSRRefH22_11x_0" localSheetId="67">'309'!$H$60</definedName>
    <definedName name="OSRRefH22_11x_0" localSheetId="66">'310'!$H$70</definedName>
    <definedName name="OSRRefH22_11x_0" localSheetId="74">'310 &amp; 491'!$H$82:$H$83</definedName>
    <definedName name="OSRRefH22_11x_0" localSheetId="56">'311'!$H$105:$H$108</definedName>
    <definedName name="OSRRefH22_11x_0" localSheetId="68">'313'!$H$69:$H$70</definedName>
    <definedName name="OSRRefH22_11x_0" localSheetId="59">'315'!$H$96:$H$97</definedName>
    <definedName name="OSRRefH22_11x_0" localSheetId="62">'316'!$H$73</definedName>
    <definedName name="OSRRefH22_11x_0" localSheetId="65">'317'!$H$94</definedName>
    <definedName name="OSRRefH22_11x_0" localSheetId="69">'321'!$H$65</definedName>
    <definedName name="OSRRefH22_11x_0" localSheetId="70">'322'!$H$57:$H$58</definedName>
    <definedName name="OSRRefH22_11x_0" localSheetId="71">'325'!$H$59:$H$61</definedName>
    <definedName name="OSRRefH22_11x_0" localSheetId="60">'326'!$H$95</definedName>
    <definedName name="OSRRefH22_11x_0" localSheetId="52">'330'!$H$122:$H$123</definedName>
    <definedName name="OSRRefH22_11x_0" localSheetId="58">'331'!$H$112</definedName>
    <definedName name="OSRRefH22_11x_0" localSheetId="61">'332'!$H$82:$H$86</definedName>
    <definedName name="OSRRefH22_11x_0" localSheetId="76">'405'!$H$59</definedName>
    <definedName name="OSRRefH22_11x_0" localSheetId="77">'406'!$H$61:$H$66</definedName>
    <definedName name="OSRRefH22_11x_0" localSheetId="78">'411'!$H$57</definedName>
    <definedName name="OSRRefH22_11x_0" localSheetId="79">'412'!$H$61:$H$63</definedName>
    <definedName name="OSRRefH22_11x_0" localSheetId="81">'413'!$H$66</definedName>
    <definedName name="OSRRefH22_11x_0" localSheetId="82">'414'!$H$59</definedName>
    <definedName name="OSRRefH22_11x_0" localSheetId="83">'415'!$H$59:$H$62</definedName>
    <definedName name="OSRRefH22_11x_0" localSheetId="84">'418'!$H$60:$H$62</definedName>
    <definedName name="OSRRefH22_11x_0" localSheetId="86">'424'!$H$55</definedName>
    <definedName name="OSRRefH22_11x_0" localSheetId="87">'425'!$H$64:$H$66</definedName>
    <definedName name="OSRRefH22_11x_0" localSheetId="91">'433'!$H$63:$H$65</definedName>
    <definedName name="OSRRefH22_11x_0" localSheetId="93">'444'!$H$60:$H$62</definedName>
    <definedName name="OSRRefH22_11x_0" localSheetId="95">'450'!$H$60</definedName>
    <definedName name="OSRRefH22_11x_0" localSheetId="75">'491'!$H$72:$H$73</definedName>
    <definedName name="OSRRefH22_11x_0" localSheetId="89">'492'!$H$64</definedName>
    <definedName name="OSRRefH22_11x_0" localSheetId="97">'501'!$H$58</definedName>
    <definedName name="OSRRefH22_11x_0" localSheetId="39">'Div 2'!$H$59</definedName>
    <definedName name="OSRRefH22_11x_0" localSheetId="47">'Div 3'!$H$219</definedName>
    <definedName name="OSRRefH22_11x_0" localSheetId="73">'Div 4'!$H$73:$H$74</definedName>
    <definedName name="OSRRefH22_11x_0" localSheetId="96">'Div 5'!$H$58</definedName>
    <definedName name="OSRRefH22_11x_0" localSheetId="64">'Div 6'!$H$94</definedName>
    <definedName name="OSRRefH22_11x_0" localSheetId="2">Summary!$H$256:$H$257</definedName>
    <definedName name="OSRRefH22_12x_0" localSheetId="41">'201'!$H$58</definedName>
    <definedName name="OSRRefH22_12x_0" localSheetId="42">'202'!$H$58</definedName>
    <definedName name="OSRRefH22_12x_0" localSheetId="43">'203'!$H$61:$H$63</definedName>
    <definedName name="OSRRefH22_12x_0" localSheetId="48">'300'!$H$216</definedName>
    <definedName name="OSRRefH22_12x_0" localSheetId="49">'300 &amp; 317'!$H$242</definedName>
    <definedName name="OSRRefH22_12x_0" localSheetId="50">'301'!$H$61</definedName>
    <definedName name="OSRRefH22_12x_0" localSheetId="55">'308'!$H$112:$H$113</definedName>
    <definedName name="OSRRefH22_12x_0" localSheetId="67">'309'!$H$62:$H$68</definedName>
    <definedName name="OSRRefH22_12x_0" localSheetId="66">'310'!$H$72</definedName>
    <definedName name="OSRRefH22_12x_0" localSheetId="74">'310 &amp; 491'!$H$85</definedName>
    <definedName name="OSRRefH22_12x_0" localSheetId="56">'311'!$H$110:$H$111</definedName>
    <definedName name="OSRRefH22_12x_0" localSheetId="68">'313'!$H$72:$H$77</definedName>
    <definedName name="OSRRefH22_12x_0" localSheetId="59">'315'!$H$99:$H$103</definedName>
    <definedName name="OSRRefH22_12x_0" localSheetId="62">'316'!$H$75</definedName>
    <definedName name="OSRRefH22_12x_0" localSheetId="65">'317'!$H$96:$H$97</definedName>
    <definedName name="OSRRefH22_12x_0" localSheetId="69">'321'!$H$67</definedName>
    <definedName name="OSRRefH22_12x_0" localSheetId="70">'322'!$H$60:$H$62</definedName>
    <definedName name="OSRRefH22_12x_0" localSheetId="71">'325'!$H$63:$H$66</definedName>
    <definedName name="OSRRefH22_12x_0" localSheetId="60">'326'!$H$97</definedName>
    <definedName name="OSRRefH22_12x_0" localSheetId="52">'330'!$H$125:$H$126</definedName>
    <definedName name="OSRRefH22_12x_0" localSheetId="58">'331'!$H$114</definedName>
    <definedName name="OSRRefH22_12x_0" localSheetId="61">'332'!$H$88</definedName>
    <definedName name="OSRRefH22_12x_0" localSheetId="76">'405'!$H$61:$H$63</definedName>
    <definedName name="OSRRefH22_12x_0" localSheetId="77">'406'!$H$68</definedName>
    <definedName name="OSRRefH22_12x_0" localSheetId="78">'411'!$H$59:$H$62</definedName>
    <definedName name="OSRRefH22_12x_0" localSheetId="79">'412'!$H$65:$H$72</definedName>
    <definedName name="OSRRefH22_12x_0" localSheetId="81">'413'!$H$68</definedName>
    <definedName name="OSRRefH22_12x_0" localSheetId="82">'414'!$H$61</definedName>
    <definedName name="OSRRefH22_12x_0" localSheetId="83">'415'!$H$64:$H$68</definedName>
    <definedName name="OSRRefH22_12x_0" localSheetId="84">'418'!$H$64:$H$66</definedName>
    <definedName name="OSRRefH22_12x_0" localSheetId="86">'424'!$H$57:$H$63</definedName>
    <definedName name="OSRRefH22_12x_0" localSheetId="87">'425'!$H$68:$H$74</definedName>
    <definedName name="OSRRefH22_12x_0" localSheetId="91">'433'!$H$67:$H$74</definedName>
    <definedName name="OSRRefH22_12x_0" localSheetId="93">'444'!$H$64:$H$66</definedName>
    <definedName name="OSRRefH22_12x_0" localSheetId="95">'450'!$H$62:$H$64</definedName>
    <definedName name="OSRRefH22_12x_0" localSheetId="75">'491'!$H$75</definedName>
    <definedName name="OSRRefH22_12x_0" localSheetId="89">'492'!$H$66</definedName>
    <definedName name="OSRRefH22_12x_0" localSheetId="97">'501'!$H$60:$H$63</definedName>
    <definedName name="OSRRefH22_12x_0" localSheetId="39">'Div 2'!$H$61:$H$64</definedName>
    <definedName name="OSRRefH22_12x_0" localSheetId="47">'Div 3'!$H$221</definedName>
    <definedName name="OSRRefH22_12x_0" localSheetId="73">'Div 4'!$H$76</definedName>
    <definedName name="OSRRefH22_12x_0" localSheetId="96">'Div 5'!$H$60:$H$63</definedName>
    <definedName name="OSRRefH22_12x_0" localSheetId="64">'Div 6'!$H$96:$H$97</definedName>
    <definedName name="OSRRefH22_12x_0" localSheetId="2">Summary!$H$259</definedName>
    <definedName name="OSRRefH22_13x_0" localSheetId="41">'201'!$H$60:$H$63</definedName>
    <definedName name="OSRRefH22_13x_0" localSheetId="42">'202'!$H$60:$H$62</definedName>
    <definedName name="OSRRefH22_13x_0" localSheetId="43">'203'!$H$65</definedName>
    <definedName name="OSRRefH22_13x_0" localSheetId="48">'300'!$H$218</definedName>
    <definedName name="OSRRefH22_13x_0" localSheetId="49">'300 &amp; 317'!$H$244</definedName>
    <definedName name="OSRRefH22_13x_0" localSheetId="50">'301'!$H$63</definedName>
    <definedName name="OSRRefH22_13x_0" localSheetId="55">'308'!$H$115</definedName>
    <definedName name="OSRRefH22_13x_0" localSheetId="67">'309'!$H$70</definedName>
    <definedName name="OSRRefH22_13x_0" localSheetId="66">'310'!$H$74</definedName>
    <definedName name="OSRRefH22_13x_0" localSheetId="74">'310 &amp; 491'!$H$87</definedName>
    <definedName name="OSRRefH22_13x_0" localSheetId="56">'311'!$H$113</definedName>
    <definedName name="OSRRefH22_13x_0" localSheetId="68">'313'!$H$79</definedName>
    <definedName name="OSRRefH22_13x_0" localSheetId="59">'315'!$H$105</definedName>
    <definedName name="OSRRefH22_13x_0" localSheetId="65">'317'!$H$99</definedName>
    <definedName name="OSRRefH22_13x_0" localSheetId="69">'321'!$H$69</definedName>
    <definedName name="OSRRefH22_13x_0" localSheetId="70">'322'!$H$64</definedName>
    <definedName name="OSRRefH22_13x_0" localSheetId="71">'325'!$H$68:$H$69</definedName>
    <definedName name="OSRRefH22_13x_0" localSheetId="60">'326'!$H$99:$H$100</definedName>
    <definedName name="OSRRefH22_13x_0" localSheetId="52">'330'!$H$128</definedName>
    <definedName name="OSRRefH22_13x_0" localSheetId="58">'331'!$H$116</definedName>
    <definedName name="OSRRefH22_13x_0" localSheetId="61">'332'!$H$90</definedName>
    <definedName name="OSRRefH22_13x_0" localSheetId="76">'405'!$H$65:$H$66</definedName>
    <definedName name="OSRRefH22_13x_0" localSheetId="77">'406'!$H$70</definedName>
    <definedName name="OSRRefH22_13x_0" localSheetId="78">'411'!$H$64:$H$68</definedName>
    <definedName name="OSRRefH22_13x_0" localSheetId="79">'412'!$H$74</definedName>
    <definedName name="OSRRefH22_13x_0" localSheetId="81">'413'!$H$70</definedName>
    <definedName name="OSRRefH22_13x_0" localSheetId="82">'414'!$H$63:$H$69</definedName>
    <definedName name="OSRRefH22_13x_0" localSheetId="83">'415'!$H$70:$H$71</definedName>
    <definedName name="OSRRefH22_13x_0" localSheetId="84">'418'!$H$68:$H$69</definedName>
    <definedName name="OSRRefH22_13x_0" localSheetId="86">'424'!$H$65</definedName>
    <definedName name="OSRRefH22_13x_0" localSheetId="87">'425'!$H$76</definedName>
    <definedName name="OSRRefH22_13x_0" localSheetId="91">'433'!$H$76</definedName>
    <definedName name="OSRRefH22_13x_0" localSheetId="93">'444'!$H$68:$H$75</definedName>
    <definedName name="OSRRefH22_13x_0" localSheetId="95">'450'!$H$66:$H$68</definedName>
    <definedName name="OSRRefH22_13x_0" localSheetId="75">'491'!$H$77</definedName>
    <definedName name="OSRRefH22_13x_0" localSheetId="89">'492'!$H$68:$H$70</definedName>
    <definedName name="OSRRefH22_13x_0" localSheetId="97">'501'!$H$65</definedName>
    <definedName name="OSRRefH22_13x_0" localSheetId="39">'Div 2'!$H$66:$H$69</definedName>
    <definedName name="OSRRefH22_13x_0" localSheetId="47">'Div 3'!$H$223</definedName>
    <definedName name="OSRRefH22_13x_0" localSheetId="73">'Div 4'!$H$78</definedName>
    <definedName name="OSRRefH22_13x_0" localSheetId="96">'Div 5'!$H$65</definedName>
    <definedName name="OSRRefH22_13x_0" localSheetId="64">'Div 6'!$H$99</definedName>
    <definedName name="OSRRefH22_13x_0" localSheetId="2">Summary!$H$261</definedName>
    <definedName name="OSRRefH22_14x_0" localSheetId="41">'201'!$H$65</definedName>
    <definedName name="OSRRefH22_14x_0" localSheetId="42">'202'!$H$64</definedName>
    <definedName name="OSRRefH22_14x_0" localSheetId="43">'203'!$H$67</definedName>
    <definedName name="OSRRefH22_14x_0" localSheetId="48">'300'!$H$220</definedName>
    <definedName name="OSRRefH22_14x_0" localSheetId="49">'300 &amp; 317'!$H$246</definedName>
    <definedName name="OSRRefH22_14x_0" localSheetId="50">'301'!$H$65</definedName>
    <definedName name="OSRRefH22_14x_0" localSheetId="55">'308'!$H$117</definedName>
    <definedName name="OSRRefH22_14x_0" localSheetId="66">'310'!$H$76:$H$78</definedName>
    <definedName name="OSRRefH22_14x_0" localSheetId="74">'310 &amp; 491'!$H$89</definedName>
    <definedName name="OSRRefH22_14x_0" localSheetId="56">'311'!$H$115</definedName>
    <definedName name="OSRRefH22_14x_0" localSheetId="68">'313'!$H$81</definedName>
    <definedName name="OSRRefH22_14x_0" localSheetId="59">'315'!$H$107</definedName>
    <definedName name="OSRRefH22_14x_0" localSheetId="65">'317'!$H$101</definedName>
    <definedName name="OSRRefH22_14x_0" localSheetId="70">'322'!$H$66:$H$72</definedName>
    <definedName name="OSRRefH22_14x_0" localSheetId="71">'325'!$H$71:$H$76</definedName>
    <definedName name="OSRRefH22_14x_0" localSheetId="60">'326'!$H$102:$H$104</definedName>
    <definedName name="OSRRefH22_14x_0" localSheetId="52">'330'!$H$130:$H$132</definedName>
    <definedName name="OSRRefH22_14x_0" localSheetId="58">'331'!$H$118:$H$120</definedName>
    <definedName name="OSRRefH22_14x_0" localSheetId="76">'405'!$H$68:$H$74</definedName>
    <definedName name="OSRRefH22_14x_0" localSheetId="77">'406'!$H$72:$H$73</definedName>
    <definedName name="OSRRefH22_14x_0" localSheetId="78">'411'!$H$70:$H$71</definedName>
    <definedName name="OSRRefH22_14x_0" localSheetId="79">'412'!$H$76</definedName>
    <definedName name="OSRRefH22_14x_0" localSheetId="82">'414'!$H$71</definedName>
    <definedName name="OSRRefH22_14x_0" localSheetId="83">'415'!$H$73:$H$80</definedName>
    <definedName name="OSRRefH22_14x_0" localSheetId="84">'418'!$H$71:$H$78</definedName>
    <definedName name="OSRRefH22_14x_0" localSheetId="87">'425'!$H$78</definedName>
    <definedName name="OSRRefH22_14x_0" localSheetId="91">'433'!$H$78</definedName>
    <definedName name="OSRRefH22_14x_0" localSheetId="93">'444'!$H$77</definedName>
    <definedName name="OSRRefH22_14x_0" localSheetId="95">'450'!$H$70:$H$76</definedName>
    <definedName name="OSRRefH22_14x_0" localSheetId="75">'491'!$H$79</definedName>
    <definedName name="OSRRefH22_14x_0" localSheetId="89">'492'!$H$72:$H$74</definedName>
    <definedName name="OSRRefH22_14x_0" localSheetId="97">'501'!$H$67</definedName>
    <definedName name="OSRRefH22_14x_0" localSheetId="39">'Div 2'!$H$71:$H$72</definedName>
    <definedName name="OSRRefH22_14x_0" localSheetId="47">'Div 3'!$H$225</definedName>
    <definedName name="OSRRefH22_14x_0" localSheetId="73">'Div 4'!$H$80</definedName>
    <definedName name="OSRRefH22_14x_0" localSheetId="96">'Div 5'!$H$67</definedName>
    <definedName name="OSRRefH22_14x_0" localSheetId="64">'Div 6'!$H$101</definedName>
    <definedName name="OSRRefH22_14x_0" localSheetId="2">Summary!$H$263</definedName>
    <definedName name="OSRRefH22_15x_0" localSheetId="41">'201'!$H$67</definedName>
    <definedName name="OSRRefH22_15x_0" localSheetId="42">'202'!$H$66</definedName>
    <definedName name="OSRRefH22_15x_0" localSheetId="43">'203'!$H$69</definedName>
    <definedName name="OSRRefH22_15x_0" localSheetId="48">'300'!$H$222</definedName>
    <definedName name="OSRRefH22_15x_0" localSheetId="49">'300 &amp; 317'!$H$248</definedName>
    <definedName name="OSRRefH22_15x_0" localSheetId="50">'301'!$H$67:$H$70</definedName>
    <definedName name="OSRRefH22_15x_0" localSheetId="66">'310'!$H$80</definedName>
    <definedName name="OSRRefH22_15x_0" localSheetId="74">'310 &amp; 491'!$H$91</definedName>
    <definedName name="OSRRefH22_15x_0" localSheetId="59">'315'!$H$109:$H$110</definedName>
    <definedName name="OSRRefH22_15x_0" localSheetId="65">'317'!$H$103:$H$104</definedName>
    <definedName name="OSRRefH22_15x_0" localSheetId="70">'322'!$H$74</definedName>
    <definedName name="OSRRefH22_15x_0" localSheetId="71">'325'!$H$78</definedName>
    <definedName name="OSRRefH22_15x_0" localSheetId="60">'326'!$H$106:$H$107</definedName>
    <definedName name="OSRRefH22_15x_0" localSheetId="52">'330'!$H$134</definedName>
    <definedName name="OSRRefH22_15x_0" localSheetId="58">'331'!$H$122:$H$123</definedName>
    <definedName name="OSRRefH22_15x_0" localSheetId="76">'405'!$H$76</definedName>
    <definedName name="OSRRefH22_15x_0" localSheetId="78">'411'!$H$73:$H$81</definedName>
    <definedName name="OSRRefH22_15x_0" localSheetId="82">'414'!$H$73</definedName>
    <definedName name="OSRRefH22_15x_0" localSheetId="83">'415'!$H$82</definedName>
    <definedName name="OSRRefH22_15x_0" localSheetId="84">'418'!$H$80</definedName>
    <definedName name="OSRRefH22_15x_0" localSheetId="87">'425'!$H$80</definedName>
    <definedName name="OSRRefH22_15x_0" localSheetId="91">'433'!$H$80:$H$81</definedName>
    <definedName name="OSRRefH22_15x_0" localSheetId="93">'444'!$H$79</definedName>
    <definedName name="OSRRefH22_15x_0" localSheetId="95">'450'!$H$78</definedName>
    <definedName name="OSRRefH22_15x_0" localSheetId="75">'491'!$H$81</definedName>
    <definedName name="OSRRefH22_15x_0" localSheetId="89">'492'!$H$76:$H$84</definedName>
    <definedName name="OSRRefH22_15x_0" localSheetId="39">'Div 2'!$H$74:$H$75</definedName>
    <definedName name="OSRRefH22_15x_0" localSheetId="47">'Div 3'!$H$227</definedName>
    <definedName name="OSRRefH22_15x_0" localSheetId="73">'Div 4'!$H$82</definedName>
    <definedName name="OSRRefH22_15x_0" localSheetId="64">'Div 6'!$H$103:$H$104</definedName>
    <definedName name="OSRRefH22_15x_0" localSheetId="2">Summary!$H$265</definedName>
    <definedName name="OSRRefH22_16x_0" localSheetId="41">'201'!$H$69:$H$70</definedName>
    <definedName name="OSRRefH22_16x_0" localSheetId="42">'202'!$H$68</definedName>
    <definedName name="OSRRefH22_16x_0" localSheetId="48">'300'!$H$224:$H$227</definedName>
    <definedName name="OSRRefH22_16x_0" localSheetId="49">'300 &amp; 317'!$H$250:$H$253</definedName>
    <definedName name="OSRRefH22_16x_0" localSheetId="50">'301'!$H$72</definedName>
    <definedName name="OSRRefH22_16x_0" localSheetId="66">'310'!$H$82:$H$85</definedName>
    <definedName name="OSRRefH22_16x_0" localSheetId="74">'310 &amp; 491'!$H$93:$H$96</definedName>
    <definedName name="OSRRefH22_16x_0" localSheetId="70">'322'!$H$76</definedName>
    <definedName name="OSRRefH22_16x_0" localSheetId="71">'325'!$H$80</definedName>
    <definedName name="OSRRefH22_16x_0" localSheetId="60">'326'!$H$109:$H$113</definedName>
    <definedName name="OSRRefH22_16x_0" localSheetId="52">'330'!$H$136</definedName>
    <definedName name="OSRRefH22_16x_0" localSheetId="58">'331'!$H$125:$H$127</definedName>
    <definedName name="OSRRefH22_16x_0" localSheetId="76">'405'!$H$78</definedName>
    <definedName name="OSRRefH22_16x_0" localSheetId="78">'411'!$H$83</definedName>
    <definedName name="OSRRefH22_16x_0" localSheetId="83">'415'!$H$84</definedName>
    <definedName name="OSRRefH22_16x_0" localSheetId="84">'418'!$H$82</definedName>
    <definedName name="OSRRefH22_16x_0" localSheetId="93">'444'!$H$81</definedName>
    <definedName name="OSRRefH22_16x_0" localSheetId="95">'450'!$H$80</definedName>
    <definedName name="OSRRefH22_16x_0" localSheetId="75">'491'!$H$83:$H$86</definedName>
    <definedName name="OSRRefH22_16x_0" localSheetId="89">'492'!$H$86</definedName>
    <definedName name="OSRRefH22_16x_0" localSheetId="39">'Div 2'!$H$77:$H$81</definedName>
    <definedName name="OSRRefH22_16x_0" localSheetId="47">'Div 3'!$H$229</definedName>
    <definedName name="OSRRefH22_16x_0" localSheetId="73">'Div 4'!$H$84</definedName>
    <definedName name="OSRRefH22_16x_0" localSheetId="2">Summary!$H$267</definedName>
    <definedName name="OSRRefH22_17x_0" localSheetId="48">'300'!$H$229:$H$231</definedName>
    <definedName name="OSRRefH22_17x_0" localSheetId="49">'300 &amp; 317'!$H$255:$H$257</definedName>
    <definedName name="OSRRefH22_17x_0" localSheetId="50">'301'!$H$74:$H$76</definedName>
    <definedName name="OSRRefH22_17x_0" localSheetId="66">'310'!$H$87:$H$88</definedName>
    <definedName name="OSRRefH22_17x_0" localSheetId="74">'310 &amp; 491'!$H$98:$H$99</definedName>
    <definedName name="OSRRefH22_17x_0" localSheetId="70">'322'!$H$78</definedName>
    <definedName name="OSRRefH22_17x_0" localSheetId="71">'325'!$H$82</definedName>
    <definedName name="OSRRefH22_17x_0" localSheetId="60">'326'!$H$115</definedName>
    <definedName name="OSRRefH22_17x_0" localSheetId="52">'330'!$H$138</definedName>
    <definedName name="OSRRefH22_17x_0" localSheetId="58">'331'!$H$129:$H$130</definedName>
    <definedName name="OSRRefH22_17x_0" localSheetId="76">'405'!$H$80</definedName>
    <definedName name="OSRRefH22_17x_0" localSheetId="78">'411'!$H$85</definedName>
    <definedName name="OSRRefH22_17x_0" localSheetId="83">'415'!$H$86</definedName>
    <definedName name="OSRRefH22_17x_0" localSheetId="95">'450'!$H$82:$H$83</definedName>
    <definedName name="OSRRefH22_17x_0" localSheetId="75">'491'!$H$88:$H$89</definedName>
    <definedName name="OSRRefH22_17x_0" localSheetId="89">'492'!$H$88</definedName>
    <definedName name="OSRRefH22_17x_0" localSheetId="39">'Div 2'!$H$83:$H$84</definedName>
    <definedName name="OSRRefH22_17x_0" localSheetId="47">'Div 3'!$H$231:$H$234</definedName>
    <definedName name="OSRRefH22_17x_0" localSheetId="73">'Div 4'!$H$86:$H$89</definedName>
    <definedName name="OSRRefH22_17x_0" localSheetId="2">Summary!$H$269</definedName>
    <definedName name="OSRRefH22_18x_0" localSheetId="48">'300'!$H$233:$H$236</definedName>
    <definedName name="OSRRefH22_18x_0" localSheetId="49">'300 &amp; 317'!$H$259:$H$262</definedName>
    <definedName name="OSRRefH22_18x_0" localSheetId="50">'301'!$H$78:$H$79</definedName>
    <definedName name="OSRRefH22_18x_0" localSheetId="66">'310'!$H$90:$H$97</definedName>
    <definedName name="OSRRefH22_18x_0" localSheetId="74">'310 &amp; 491'!$H$101:$H$105</definedName>
    <definedName name="OSRRefH22_18x_0" localSheetId="60">'326'!$H$117</definedName>
    <definedName name="OSRRefH22_18x_0" localSheetId="58">'331'!$H$132:$H$137</definedName>
    <definedName name="OSRRefH22_18x_0" localSheetId="76">'405'!$H$82</definedName>
    <definedName name="OSRRefH22_18x_0" localSheetId="78">'411'!$H$87:$H$89</definedName>
    <definedName name="OSRRefH22_18x_0" localSheetId="83">'415'!$H$88</definedName>
    <definedName name="OSRRefH22_18x_0" localSheetId="75">'491'!$H$91:$H$95</definedName>
    <definedName name="OSRRefH22_18x_0" localSheetId="89">'492'!$H$90:$H$91</definedName>
    <definedName name="OSRRefH22_18x_0" localSheetId="39">'Div 2'!$H$86</definedName>
    <definedName name="OSRRefH22_18x_0" localSheetId="47">'Div 3'!$H$236:$H$238</definedName>
    <definedName name="OSRRefH22_18x_0" localSheetId="73">'Div 4'!$H$91:$H$92</definedName>
    <definedName name="OSRRefH22_18x_0" localSheetId="2">Summary!$H$271:$H$274</definedName>
    <definedName name="OSRRefH22_19x_0" localSheetId="48">'300'!$H$238:$H$239</definedName>
    <definedName name="OSRRefH22_19x_0" localSheetId="49">'300 &amp; 317'!$H$264:$H$265</definedName>
    <definedName name="OSRRefH22_19x_0" localSheetId="50">'301'!$H$81:$H$87</definedName>
    <definedName name="OSRRefH22_19x_0" localSheetId="66">'310'!$H$99</definedName>
    <definedName name="OSRRefH22_19x_0" localSheetId="74">'310 &amp; 491'!$H$107:$H$108</definedName>
    <definedName name="OSRRefH22_19x_0" localSheetId="60">'326'!$H$119</definedName>
    <definedName name="OSRRefH22_19x_0" localSheetId="58">'331'!$H$139</definedName>
    <definedName name="OSRRefH22_19x_0" localSheetId="78">'411'!$H$91</definedName>
    <definedName name="OSRRefH22_19x_0" localSheetId="75">'491'!$H$97:$H$98</definedName>
    <definedName name="OSRRefH22_19x_0" localSheetId="39">'Div 2'!$H$88:$H$89</definedName>
    <definedName name="OSRRefH22_19x_0" localSheetId="47">'Div 3'!$H$240:$H$244</definedName>
    <definedName name="OSRRefH22_19x_0" localSheetId="73">'Div 4'!$H$94:$H$98</definedName>
    <definedName name="OSRRefH22_19x_0" localSheetId="2">Summary!$H$276:$H$278</definedName>
    <definedName name="OSRRefH22_1x_0" localSheetId="40">'200'!$H$22</definedName>
    <definedName name="OSRRefH22_1x_0" localSheetId="41">'201'!$H$30:$H$32</definedName>
    <definedName name="OSRRefH22_1x_0" localSheetId="42">'202'!$H$29:$H$34</definedName>
    <definedName name="OSRRefH22_1x_0" localSheetId="43">'203'!$H$31:$H$35</definedName>
    <definedName name="OSRRefH22_1x_0" localSheetId="44">'204'!$H$31:$H$36</definedName>
    <definedName name="OSRRefH22_1x_0" localSheetId="45">'205'!$H$29</definedName>
    <definedName name="OSRRefH22_1x_0" localSheetId="46">'206'!$H$29:$H$34</definedName>
    <definedName name="OSRRefH22_1x_0" localSheetId="48">'300'!$H$184:$H$190</definedName>
    <definedName name="OSRRefH22_1x_0" localSheetId="49">'300 &amp; 317'!$H$210:$H$216</definedName>
    <definedName name="OSRRefH22_1x_0" localSheetId="50">'301'!$H$30:$H$36</definedName>
    <definedName name="OSRRefH22_1x_0" localSheetId="53">'307'!$H$29:$H$31</definedName>
    <definedName name="OSRRefH22_1x_0" localSheetId="55">'308'!$H$78:$H$82</definedName>
    <definedName name="OSRRefH22_1x_0" localSheetId="67">'309'!$H$33:$H$37</definedName>
    <definedName name="OSRRefH22_1x_0" localSheetId="66">'310'!$H$43:$H$48</definedName>
    <definedName name="OSRRefH22_1x_0" localSheetId="74">'310 &amp; 491'!$H$53:$H$59</definedName>
    <definedName name="OSRRefH22_1x_0" localSheetId="56">'311'!$H$76:$H$80</definedName>
    <definedName name="OSRRefH22_1x_0" localSheetId="68">'313'!$H$40:$H$45</definedName>
    <definedName name="OSRRefH22_1x_0" localSheetId="54">'314'!$H$66:$H$69</definedName>
    <definedName name="OSRRefH22_1x_0" localSheetId="59">'315'!$H$66:$H$71</definedName>
    <definedName name="OSRRefH22_1x_0" localSheetId="62">'316'!$H$44:$H$47</definedName>
    <definedName name="OSRRefH22_1x_0" localSheetId="65">'317'!$H$69:$H$73</definedName>
    <definedName name="OSRRefH22_1x_0" localSheetId="63">'320'!$H$40:$H$45</definedName>
    <definedName name="OSRRefH22_1x_0" localSheetId="69">'321'!$H$32:$H$36</definedName>
    <definedName name="OSRRefH22_1x_0" localSheetId="70">'322'!$H$33:$H$37</definedName>
    <definedName name="OSRRefH22_1x_0" localSheetId="71">'325'!$H$33:$H$38</definedName>
    <definedName name="OSRRefH22_1x_0" localSheetId="60">'326'!$H$71:$H$75</definedName>
    <definedName name="OSRRefH22_1x_0" localSheetId="72">'327'!$H$24</definedName>
    <definedName name="OSRRefH22_1x_0" localSheetId="52">'330'!$H$97:$H$101</definedName>
    <definedName name="OSRRefH22_1x_0" localSheetId="58">'331'!$H$85:$H$90</definedName>
    <definedName name="OSRRefH22_1x_0" localSheetId="61">'332'!$H$55:$H$60</definedName>
    <definedName name="OSRRefH22_1x_0" localSheetId="76">'405'!$H$33:$H$37</definedName>
    <definedName name="OSRRefH22_1x_0" localSheetId="77">'406'!$H$33:$H$38</definedName>
    <definedName name="OSRRefH22_1x_0" localSheetId="78">'411'!$H$30:$H$35</definedName>
    <definedName name="OSRRefH22_1x_0" localSheetId="79">'412'!$H$34:$H$39</definedName>
    <definedName name="OSRRefH22_1x_0" localSheetId="81">'413'!$H$33:$H$38</definedName>
    <definedName name="OSRRefH22_1x_0" localSheetId="82">'414'!$H$33:$H$38</definedName>
    <definedName name="OSRRefH22_1x_0" localSheetId="83">'415'!$H$33:$H$38</definedName>
    <definedName name="OSRRefH22_1x_0" localSheetId="84">'418'!$H$33:$H$38</definedName>
    <definedName name="OSRRefH22_1x_0" localSheetId="80">'420'!$H$33:$H$36</definedName>
    <definedName name="OSRRefH22_1x_0" localSheetId="85">'423'!$H$30:$H$31</definedName>
    <definedName name="OSRRefH22_1x_0" localSheetId="86">'424'!$H$30:$H$34</definedName>
    <definedName name="OSRRefH22_1x_0" localSheetId="87">'425'!$H$37:$H$42</definedName>
    <definedName name="OSRRefH22_1x_0" localSheetId="90">'430'!$H$29</definedName>
    <definedName name="OSRRefH22_1x_0" localSheetId="91">'433'!$H$36:$H$41</definedName>
    <definedName name="OSRRefH22_1x_0" localSheetId="92">'435'!$H$29:$H$31</definedName>
    <definedName name="OSRRefH22_1x_0" localSheetId="93">'444'!$H$35:$H$40</definedName>
    <definedName name="OSRRefH22_1x_0" localSheetId="95">'450'!$H$35:$H$40</definedName>
    <definedName name="OSRRefH22_1x_0" localSheetId="88">'455'!$H$28:$H$29</definedName>
    <definedName name="OSRRefH22_1x_0" localSheetId="75">'491'!$H$44:$H$50</definedName>
    <definedName name="OSRRefH22_1x_0" localSheetId="89">'492'!$H$38:$H$44</definedName>
    <definedName name="OSRRefH22_1x_0" localSheetId="97">'501'!$H$30:$H$35</definedName>
    <definedName name="OSRRefH22_1x_0" localSheetId="39">'Div 2'!$H$32:$H$38</definedName>
    <definedName name="OSRRefH22_1x_0" localSheetId="47">'Div 3'!$H$189:$H$195</definedName>
    <definedName name="OSRRefH22_1x_0" localSheetId="73">'Div 4'!$H$45:$H$51</definedName>
    <definedName name="OSRRefH22_1x_0" localSheetId="96">'Div 5'!$H$30:$H$35</definedName>
    <definedName name="OSRRefH22_1x_0" localSheetId="64">'Div 6'!$H$69:$H$73</definedName>
    <definedName name="OSRRefH22_1x_0" localSheetId="2">Summary!$H$225:$H$231</definedName>
    <definedName name="OSRRefH22_20x_0" localSheetId="48">'300'!$H$241:$H$248</definedName>
    <definedName name="OSRRefH22_20x_0" localSheetId="49">'300 &amp; 317'!$H$267:$H$274</definedName>
    <definedName name="OSRRefH22_20x_0" localSheetId="50">'301'!$H$89</definedName>
    <definedName name="OSRRefH22_20x_0" localSheetId="66">'310'!$H$101</definedName>
    <definedName name="OSRRefH22_20x_0" localSheetId="74">'310 &amp; 491'!$H$110:$H$119</definedName>
    <definedName name="OSRRefH22_20x_0" localSheetId="60">'326'!$H$121</definedName>
    <definedName name="OSRRefH22_20x_0" localSheetId="58">'331'!$H$141</definedName>
    <definedName name="OSRRefH22_20x_0" localSheetId="75">'491'!$H$100:$H$109</definedName>
    <definedName name="OSRRefH22_20x_0" localSheetId="47">'Div 3'!$H$246:$H$247</definedName>
    <definedName name="OSRRefH22_20x_0" localSheetId="73">'Div 4'!$H$100:$H$101</definedName>
    <definedName name="OSRRefH22_20x_0" localSheetId="2">Summary!$H$280:$H$284</definedName>
    <definedName name="OSRRefH22_21x_0" localSheetId="48">'300'!$H$250:$H$251</definedName>
    <definedName name="OSRRefH22_21x_0" localSheetId="49">'300 &amp; 317'!$H$276:$H$277</definedName>
    <definedName name="OSRRefH22_21x_0" localSheetId="50">'301'!$H$91</definedName>
    <definedName name="OSRRefH22_21x_0" localSheetId="66">'310'!$H$103</definedName>
    <definedName name="OSRRefH22_21x_0" localSheetId="74">'310 &amp; 491'!$H$121</definedName>
    <definedName name="OSRRefH22_21x_0" localSheetId="58">'331'!$H$143:$H$144</definedName>
    <definedName name="OSRRefH22_21x_0" localSheetId="75">'491'!$H$111</definedName>
    <definedName name="OSRRefH22_21x_0" localSheetId="47">'Div 3'!$H$249:$H$257</definedName>
    <definedName name="OSRRefH22_21x_0" localSheetId="73">'Div 4'!$H$103:$H$112</definedName>
    <definedName name="OSRRefH22_21x_0" localSheetId="2">Summary!$H$286:$H$287</definedName>
    <definedName name="OSRRefH22_22x_0" localSheetId="48">'300'!$H$253</definedName>
    <definedName name="OSRRefH22_22x_0" localSheetId="49">'300 &amp; 317'!$H$279</definedName>
    <definedName name="OSRRefH22_22x_0" localSheetId="50">'301'!$H$93:$H$95</definedName>
    <definedName name="OSRRefH22_22x_0" localSheetId="66">'310'!$H$105</definedName>
    <definedName name="OSRRefH22_22x_0" localSheetId="74">'310 &amp; 491'!$H$123</definedName>
    <definedName name="OSRRefH22_22x_0" localSheetId="58">'331'!$H$146</definedName>
    <definedName name="OSRRefH22_22x_0" localSheetId="75">'491'!$H$113</definedName>
    <definedName name="OSRRefH22_22x_0" localSheetId="47">'Div 3'!$H$259:$H$260</definedName>
    <definedName name="OSRRefH22_22x_0" localSheetId="73">'Div 4'!$H$114</definedName>
    <definedName name="OSRRefH22_22x_0" localSheetId="2">Summary!$H$289:$H$298</definedName>
    <definedName name="OSRRefH22_23x_0" localSheetId="48">'300'!$H$255:$H$257</definedName>
    <definedName name="OSRRefH22_23x_0" localSheetId="49">'300 &amp; 317'!$H$281:$H$283</definedName>
    <definedName name="OSRRefH22_23x_0" localSheetId="50">'301'!$H$97</definedName>
    <definedName name="OSRRefH22_23x_0" localSheetId="74">'310 &amp; 491'!$H$125:$H$127</definedName>
    <definedName name="OSRRefH22_23x_0" localSheetId="75">'491'!$H$115:$H$117</definedName>
    <definedName name="OSRRefH22_23x_0" localSheetId="47">'Div 3'!$H$262</definedName>
    <definedName name="OSRRefH22_23x_0" localSheetId="73">'Div 4'!$H$116</definedName>
    <definedName name="OSRRefH22_23x_0" localSheetId="2">Summary!$H$300:$H$301</definedName>
    <definedName name="OSRRefH22_24x_0" localSheetId="48">'300'!$H$259</definedName>
    <definedName name="OSRRefH22_24x_0" localSheetId="49">'300 &amp; 317'!$H$285</definedName>
    <definedName name="OSRRefH22_24x_0" localSheetId="74">'310 &amp; 491'!$H$129</definedName>
    <definedName name="OSRRefH22_24x_0" localSheetId="75">'491'!$H$119</definedName>
    <definedName name="OSRRefH22_24x_0" localSheetId="47">'Div 3'!$H$264:$H$266</definedName>
    <definedName name="OSRRefH22_24x_0" localSheetId="73">'Div 4'!$H$118:$H$120</definedName>
    <definedName name="OSRRefH22_24x_0" localSheetId="2">Summary!$H$303</definedName>
    <definedName name="OSRRefH22_25x_0" localSheetId="47">'Div 3'!$H$268</definedName>
    <definedName name="OSRRefH22_25x_0" localSheetId="73">'Div 4'!$H$122</definedName>
    <definedName name="OSRRefH22_25x_0" localSheetId="2">Summary!$H$305:$H$307</definedName>
    <definedName name="OSRRefH22_26x_0" localSheetId="2">Summary!$H$309</definedName>
    <definedName name="OSRRefH22_2x_0" localSheetId="40">'200'!$H$24</definedName>
    <definedName name="OSRRefH22_2x_0" localSheetId="41">'201'!$H$34</definedName>
    <definedName name="OSRRefH22_2x_0" localSheetId="42">'202'!$H$36</definedName>
    <definedName name="OSRRefH22_2x_0" localSheetId="43">'203'!$H$37</definedName>
    <definedName name="OSRRefH22_2x_0" localSheetId="44">'204'!$H$38</definedName>
    <definedName name="OSRRefH22_2x_0" localSheetId="45">'205'!$H$31</definedName>
    <definedName name="OSRRefH22_2x_0" localSheetId="46">'206'!$H$36</definedName>
    <definedName name="OSRRefH22_2x_0" localSheetId="48">'300'!$H$192</definedName>
    <definedName name="OSRRefH22_2x_0" localSheetId="49">'300 &amp; 317'!$H$218</definedName>
    <definedName name="OSRRefH22_2x_0" localSheetId="50">'301'!$H$38</definedName>
    <definedName name="OSRRefH22_2x_0" localSheetId="53">'307'!$H$33</definedName>
    <definedName name="OSRRefH22_2x_0" localSheetId="55">'308'!$H$84</definedName>
    <definedName name="OSRRefH22_2x_0" localSheetId="67">'309'!$H$39</definedName>
    <definedName name="OSRRefH22_2x_0" localSheetId="66">'310'!$H$50</definedName>
    <definedName name="OSRRefH22_2x_0" localSheetId="74">'310 &amp; 491'!$H$61</definedName>
    <definedName name="OSRRefH22_2x_0" localSheetId="56">'311'!$H$82</definedName>
    <definedName name="OSRRefH22_2x_0" localSheetId="68">'313'!$H$47</definedName>
    <definedName name="OSRRefH22_2x_0" localSheetId="54">'314'!$H$71</definedName>
    <definedName name="OSRRefH22_2x_0" localSheetId="59">'315'!$H$73</definedName>
    <definedName name="OSRRefH22_2x_0" localSheetId="62">'316'!$H$49</definedName>
    <definedName name="OSRRefH22_2x_0" localSheetId="65">'317'!$H$75</definedName>
    <definedName name="OSRRefH22_2x_0" localSheetId="63">'320'!$H$47</definedName>
    <definedName name="OSRRefH22_2x_0" localSheetId="69">'321'!$H$38</definedName>
    <definedName name="OSRRefH22_2x_0" localSheetId="70">'322'!$H$39</definedName>
    <definedName name="OSRRefH22_2x_0" localSheetId="71">'325'!$H$40</definedName>
    <definedName name="OSRRefH22_2x_0" localSheetId="60">'326'!$H$77</definedName>
    <definedName name="OSRRefH22_2x_0" localSheetId="72">'327'!$H$26</definedName>
    <definedName name="OSRRefH22_2x_0" localSheetId="52">'330'!$H$103</definedName>
    <definedName name="OSRRefH22_2x_0" localSheetId="58">'331'!$H$92</definedName>
    <definedName name="OSRRefH22_2x_0" localSheetId="61">'332'!$H$62</definedName>
    <definedName name="OSRRefH22_2x_0" localSheetId="76">'405'!$H$39</definedName>
    <definedName name="OSRRefH22_2x_0" localSheetId="77">'406'!$H$40</definedName>
    <definedName name="OSRRefH22_2x_0" localSheetId="78">'411'!$H$37</definedName>
    <definedName name="OSRRefH22_2x_0" localSheetId="79">'412'!$H$41</definedName>
    <definedName name="OSRRefH22_2x_0" localSheetId="81">'413'!$H$40</definedName>
    <definedName name="OSRRefH22_2x_0" localSheetId="82">'414'!$H$40</definedName>
    <definedName name="OSRRefH22_2x_0" localSheetId="83">'415'!$H$40</definedName>
    <definedName name="OSRRefH22_2x_0" localSheetId="84">'418'!$H$40</definedName>
    <definedName name="OSRRefH22_2x_0" localSheetId="80">'420'!$H$38</definedName>
    <definedName name="OSRRefH22_2x_0" localSheetId="85">'423'!$H$33</definedName>
    <definedName name="OSRRefH22_2x_0" localSheetId="86">'424'!$H$36</definedName>
    <definedName name="OSRRefH22_2x_0" localSheetId="87">'425'!$H$44</definedName>
    <definedName name="OSRRefH22_2x_0" localSheetId="90">'430'!$H$31</definedName>
    <definedName name="OSRRefH22_2x_0" localSheetId="91">'433'!$H$43</definedName>
    <definedName name="OSRRefH22_2x_0" localSheetId="92">'435'!$H$33</definedName>
    <definedName name="OSRRefH22_2x_0" localSheetId="93">'444'!$H$42</definedName>
    <definedName name="OSRRefH22_2x_0" localSheetId="95">'450'!$H$42</definedName>
    <definedName name="OSRRefH22_2x_0" localSheetId="88">'455'!$H$31</definedName>
    <definedName name="OSRRefH22_2x_0" localSheetId="75">'491'!$H$52</definedName>
    <definedName name="OSRRefH22_2x_0" localSheetId="89">'492'!$H$46</definedName>
    <definedName name="OSRRefH22_2x_0" localSheetId="97">'501'!$H$37</definedName>
    <definedName name="OSRRefH22_2x_0" localSheetId="39">'Div 2'!$H$40</definedName>
    <definedName name="OSRRefH22_2x_0" localSheetId="47">'Div 3'!$H$197</definedName>
    <definedName name="OSRRefH22_2x_0" localSheetId="73">'Div 4'!$H$53</definedName>
    <definedName name="OSRRefH22_2x_0" localSheetId="96">'Div 5'!$H$37</definedName>
    <definedName name="OSRRefH22_2x_0" localSheetId="64">'Div 6'!$H$75</definedName>
    <definedName name="OSRRefH22_2x_0" localSheetId="2">Summary!$H$233</definedName>
    <definedName name="OSRRefH22_3x_0" localSheetId="40">'200'!$H$26</definedName>
    <definedName name="OSRRefH22_3x_0" localSheetId="41">'201'!$H$36</definedName>
    <definedName name="OSRRefH22_3x_0" localSheetId="42">'202'!$H$38</definedName>
    <definedName name="OSRRefH22_3x_0" localSheetId="43">'203'!$H$39</definedName>
    <definedName name="OSRRefH22_3x_0" localSheetId="44">'204'!$H$40:$H$41</definedName>
    <definedName name="OSRRefH22_3x_0" localSheetId="45">'205'!$H$33</definedName>
    <definedName name="OSRRefH22_3x_0" localSheetId="46">'206'!$H$38</definedName>
    <definedName name="OSRRefH22_3x_0" localSheetId="48">'300'!$H$194:$H$195</definedName>
    <definedName name="OSRRefH22_3x_0" localSheetId="49">'300 &amp; 317'!$H$220:$H$221</definedName>
    <definedName name="OSRRefH22_3x_0" localSheetId="50">'301'!$H$40:$H$41</definedName>
    <definedName name="OSRRefH22_3x_0" localSheetId="53">'307'!$H$35:$H$36</definedName>
    <definedName name="OSRRefH22_3x_0" localSheetId="55">'308'!$H$86:$H$87</definedName>
    <definedName name="OSRRefH22_3x_0" localSheetId="67">'309'!$H$41</definedName>
    <definedName name="OSRRefH22_3x_0" localSheetId="66">'310'!$H$52</definedName>
    <definedName name="OSRRefH22_3x_0" localSheetId="74">'310 &amp; 491'!$H$63</definedName>
    <definedName name="OSRRefH22_3x_0" localSheetId="56">'311'!$H$84:$H$85</definedName>
    <definedName name="OSRRefH22_3x_0" localSheetId="68">'313'!$H$49</definedName>
    <definedName name="OSRRefH22_3x_0" localSheetId="54">'314'!$H$73:$H$74</definedName>
    <definedName name="OSRRefH22_3x_0" localSheetId="59">'315'!$H$75:$H$76</definedName>
    <definedName name="OSRRefH22_3x_0" localSheetId="62">'316'!$H$51</definedName>
    <definedName name="OSRRefH22_3x_0" localSheetId="65">'317'!$H$77</definedName>
    <definedName name="OSRRefH22_3x_0" localSheetId="63">'320'!$H$49</definedName>
    <definedName name="OSRRefH22_3x_0" localSheetId="69">'321'!$H$40</definedName>
    <definedName name="OSRRefH22_3x_0" localSheetId="70">'322'!$H$41</definedName>
    <definedName name="OSRRefH22_3x_0" localSheetId="71">'325'!$H$42</definedName>
    <definedName name="OSRRefH22_3x_0" localSheetId="60">'326'!$H$79</definedName>
    <definedName name="OSRRefH22_3x_0" localSheetId="52">'330'!$H$105</definedName>
    <definedName name="OSRRefH22_3x_0" localSheetId="58">'331'!$H$94</definedName>
    <definedName name="OSRRefH22_3x_0" localSheetId="61">'332'!$H$64</definedName>
    <definedName name="OSRRefH22_3x_0" localSheetId="76">'405'!$H$41</definedName>
    <definedName name="OSRRefH22_3x_0" localSheetId="77">'406'!$H$42</definedName>
    <definedName name="OSRRefH22_3x_0" localSheetId="78">'411'!$H$39</definedName>
    <definedName name="OSRRefH22_3x_0" localSheetId="79">'412'!$H$43</definedName>
    <definedName name="OSRRefH22_3x_0" localSheetId="81">'413'!$H$42</definedName>
    <definedName name="OSRRefH22_3x_0" localSheetId="82">'414'!$H$42</definedName>
    <definedName name="OSRRefH22_3x_0" localSheetId="83">'415'!$H$42</definedName>
    <definedName name="OSRRefH22_3x_0" localSheetId="84">'418'!$H$42</definedName>
    <definedName name="OSRRefH22_3x_0" localSheetId="80">'420'!$H$40</definedName>
    <definedName name="OSRRefH22_3x_0" localSheetId="85">'423'!$H$35</definedName>
    <definedName name="OSRRefH22_3x_0" localSheetId="86">'424'!$H$38</definedName>
    <definedName name="OSRRefH22_3x_0" localSheetId="87">'425'!$H$46</definedName>
    <definedName name="OSRRefH22_3x_0" localSheetId="90">'430'!$H$33</definedName>
    <definedName name="OSRRefH22_3x_0" localSheetId="91">'433'!$H$45</definedName>
    <definedName name="OSRRefH22_3x_0" localSheetId="92">'435'!$H$35</definedName>
    <definedName name="OSRRefH22_3x_0" localSheetId="93">'444'!$H$44</definedName>
    <definedName name="OSRRefH22_3x_0" localSheetId="95">'450'!$H$44</definedName>
    <definedName name="OSRRefH22_3x_0" localSheetId="75">'491'!$H$54</definedName>
    <definedName name="OSRRefH22_3x_0" localSheetId="89">'492'!$H$48</definedName>
    <definedName name="OSRRefH22_3x_0" localSheetId="97">'501'!$H$39</definedName>
    <definedName name="OSRRefH22_3x_0" localSheetId="39">'Div 2'!$H$42</definedName>
    <definedName name="OSRRefH22_3x_0" localSheetId="47">'Div 3'!$H$199:$H$200</definedName>
    <definedName name="OSRRefH22_3x_0" localSheetId="73">'Div 4'!$H$55</definedName>
    <definedName name="OSRRefH22_3x_0" localSheetId="96">'Div 5'!$H$39</definedName>
    <definedName name="OSRRefH22_3x_0" localSheetId="64">'Div 6'!$H$77</definedName>
    <definedName name="OSRRefH22_3x_0" localSheetId="2">Summary!$H$235:$H$236</definedName>
    <definedName name="OSRRefH22_4x_0" localSheetId="40">'200'!$H$28:$H$29</definedName>
    <definedName name="OSRRefH22_4x_0" localSheetId="41">'201'!$H$38</definedName>
    <definedName name="OSRRefH22_4x_0" localSheetId="42">'202'!$H$40</definedName>
    <definedName name="OSRRefH22_4x_0" localSheetId="43">'203'!$H$41</definedName>
    <definedName name="OSRRefH22_4x_0" localSheetId="44">'204'!$H$43</definedName>
    <definedName name="OSRRefH22_4x_0" localSheetId="45">'205'!$H$35:$H$37</definedName>
    <definedName name="OSRRefH22_4x_0" localSheetId="46">'206'!$H$40</definedName>
    <definedName name="OSRRefH22_4x_0" localSheetId="48">'300'!$H$197</definedName>
    <definedName name="OSRRefH22_4x_0" localSheetId="49">'300 &amp; 317'!$H$223</definedName>
    <definedName name="OSRRefH22_4x_0" localSheetId="50">'301'!$H$43</definedName>
    <definedName name="OSRRefH22_4x_0" localSheetId="53">'307'!$H$38</definedName>
    <definedName name="OSRRefH22_4x_0" localSheetId="55">'308'!$H$89</definedName>
    <definedName name="OSRRefH22_4x_0" localSheetId="67">'309'!$H$43</definedName>
    <definedName name="OSRRefH22_4x_0" localSheetId="66">'310'!$H$54</definedName>
    <definedName name="OSRRefH22_4x_0" localSheetId="74">'310 &amp; 491'!$H$65</definedName>
    <definedName name="OSRRefH22_4x_0" localSheetId="56">'311'!$H$87</definedName>
    <definedName name="OSRRefH22_4x_0" localSheetId="68">'313'!$H$51</definedName>
    <definedName name="OSRRefH22_4x_0" localSheetId="54">'314'!$H$76</definedName>
    <definedName name="OSRRefH22_4x_0" localSheetId="59">'315'!$H$78</definedName>
    <definedName name="OSRRefH22_4x_0" localSheetId="62">'316'!$H$53</definedName>
    <definedName name="OSRRefH22_4x_0" localSheetId="65">'317'!$H$79</definedName>
    <definedName name="OSRRefH22_4x_0" localSheetId="63">'320'!$H$51:$H$52</definedName>
    <definedName name="OSRRefH22_4x_0" localSheetId="69">'321'!$H$42</definedName>
    <definedName name="OSRRefH22_4x_0" localSheetId="70">'322'!$H$43</definedName>
    <definedName name="OSRRefH22_4x_0" localSheetId="71">'325'!$H$44</definedName>
    <definedName name="OSRRefH22_4x_0" localSheetId="60">'326'!$H$81</definedName>
    <definedName name="OSRRefH22_4x_0" localSheetId="52">'330'!$H$107:$H$108</definedName>
    <definedName name="OSRRefH22_4x_0" localSheetId="58">'331'!$H$96</definedName>
    <definedName name="OSRRefH22_4x_0" localSheetId="61">'332'!$H$66</definedName>
    <definedName name="OSRRefH22_4x_0" localSheetId="76">'405'!$H$43</definedName>
    <definedName name="OSRRefH22_4x_0" localSheetId="77">'406'!$H$44</definedName>
    <definedName name="OSRRefH22_4x_0" localSheetId="78">'411'!$H$41:$H$43</definedName>
    <definedName name="OSRRefH22_4x_0" localSheetId="79">'412'!$H$45</definedName>
    <definedName name="OSRRefH22_4x_0" localSheetId="81">'413'!$H$44</definedName>
    <definedName name="OSRRefH22_4x_0" localSheetId="82">'414'!$H$44</definedName>
    <definedName name="OSRRefH22_4x_0" localSheetId="83">'415'!$H$44</definedName>
    <definedName name="OSRRefH22_4x_0" localSheetId="84">'418'!$H$44</definedName>
    <definedName name="OSRRefH22_4x_0" localSheetId="80">'420'!$H$42</definedName>
    <definedName name="OSRRefH22_4x_0" localSheetId="85">'423'!$H$37</definedName>
    <definedName name="OSRRefH22_4x_0" localSheetId="86">'424'!$H$40</definedName>
    <definedName name="OSRRefH22_4x_0" localSheetId="87">'425'!$H$48</definedName>
    <definedName name="OSRRefH22_4x_0" localSheetId="90">'430'!$H$35</definedName>
    <definedName name="OSRRefH22_4x_0" localSheetId="91">'433'!$H$47</definedName>
    <definedName name="OSRRefH22_4x_0" localSheetId="92">'435'!$H$37</definedName>
    <definedName name="OSRRefH22_4x_0" localSheetId="93">'444'!$H$46</definedName>
    <definedName name="OSRRefH22_4x_0" localSheetId="95">'450'!$H$46</definedName>
    <definedName name="OSRRefH22_4x_0" localSheetId="75">'491'!$H$56</definedName>
    <definedName name="OSRRefH22_4x_0" localSheetId="89">'492'!$H$50</definedName>
    <definedName name="OSRRefH22_4x_0" localSheetId="97">'501'!$H$41</definedName>
    <definedName name="OSRRefH22_4x_0" localSheetId="39">'Div 2'!$H$44</definedName>
    <definedName name="OSRRefH22_4x_0" localSheetId="47">'Div 3'!$H$202</definedName>
    <definedName name="OSRRefH22_4x_0" localSheetId="73">'Div 4'!$H$57</definedName>
    <definedName name="OSRRefH22_4x_0" localSheetId="96">'Div 5'!$H$41</definedName>
    <definedName name="OSRRefH22_4x_0" localSheetId="64">'Div 6'!$H$79</definedName>
    <definedName name="OSRRefH22_4x_0" localSheetId="2">Summary!$H$238</definedName>
    <definedName name="OSRRefH22_5x_0" localSheetId="41">'201'!$H$40</definedName>
    <definedName name="OSRRefH22_5x_0" localSheetId="42">'202'!$H$42</definedName>
    <definedName name="OSRRefH22_5x_0" localSheetId="43">'203'!$H$43</definedName>
    <definedName name="OSRRefH22_5x_0" localSheetId="44">'204'!$H$45</definedName>
    <definedName name="OSRRefH22_5x_0" localSheetId="45">'205'!$H$39</definedName>
    <definedName name="OSRRefH22_5x_0" localSheetId="46">'206'!$H$42</definedName>
    <definedName name="OSRRefH22_5x_0" localSheetId="48">'300'!$H$199:$H$200</definedName>
    <definedName name="OSRRefH22_5x_0" localSheetId="49">'300 &amp; 317'!$H$225:$H$226</definedName>
    <definedName name="OSRRefH22_5x_0" localSheetId="50">'301'!$H$45:$H$46</definedName>
    <definedName name="OSRRefH22_5x_0" localSheetId="53">'307'!$H$40</definedName>
    <definedName name="OSRRefH22_5x_0" localSheetId="55">'308'!$H$91</definedName>
    <definedName name="OSRRefH22_5x_0" localSheetId="67">'309'!$H$45</definedName>
    <definedName name="OSRRefH22_5x_0" localSheetId="66">'310'!$H$56:$H$57</definedName>
    <definedName name="OSRRefH22_5x_0" localSheetId="74">'310 &amp; 491'!$H$67:$H$69</definedName>
    <definedName name="OSRRefH22_5x_0" localSheetId="56">'311'!$H$89</definedName>
    <definedName name="OSRRefH22_5x_0" localSheetId="68">'313'!$H$53</definedName>
    <definedName name="OSRRefH22_5x_0" localSheetId="54">'314'!$H$78</definedName>
    <definedName name="OSRRefH22_5x_0" localSheetId="59">'315'!$H$80:$H$81</definedName>
    <definedName name="OSRRefH22_5x_0" localSheetId="62">'316'!$H$55</definedName>
    <definedName name="OSRRefH22_5x_0" localSheetId="65">'317'!$H$81</definedName>
    <definedName name="OSRRefH22_5x_0" localSheetId="63">'320'!$H$54</definedName>
    <definedName name="OSRRefH22_5x_0" localSheetId="69">'321'!$H$44</definedName>
    <definedName name="OSRRefH22_5x_0" localSheetId="70">'322'!$H$45</definedName>
    <definedName name="OSRRefH22_5x_0" localSheetId="71">'325'!$H$46:$H$47</definedName>
    <definedName name="OSRRefH22_5x_0" localSheetId="60">'326'!$H$83</definedName>
    <definedName name="OSRRefH22_5x_0" localSheetId="52">'330'!$H$110</definedName>
    <definedName name="OSRRefH22_5x_0" localSheetId="58">'331'!$H$98:$H$99</definedName>
    <definedName name="OSRRefH22_5x_0" localSheetId="61">'332'!$H$68</definedName>
    <definedName name="OSRRefH22_5x_0" localSheetId="76">'405'!$H$45:$H$46</definedName>
    <definedName name="OSRRefH22_5x_0" localSheetId="77">'406'!$H$46</definedName>
    <definedName name="OSRRefH22_5x_0" localSheetId="78">'411'!$H$45</definedName>
    <definedName name="OSRRefH22_5x_0" localSheetId="79">'412'!$H$47</definedName>
    <definedName name="OSRRefH22_5x_0" localSheetId="81">'413'!$H$46</definedName>
    <definedName name="OSRRefH22_5x_0" localSheetId="82">'414'!$H$46</definedName>
    <definedName name="OSRRefH22_5x_0" localSheetId="83">'415'!$H$46:$H$47</definedName>
    <definedName name="OSRRefH22_5x_0" localSheetId="84">'418'!$H$46:$H$47</definedName>
    <definedName name="OSRRefH22_5x_0" localSheetId="80">'420'!$H$44</definedName>
    <definedName name="OSRRefH22_5x_0" localSheetId="85">'423'!$H$39</definedName>
    <definedName name="OSRRefH22_5x_0" localSheetId="86">'424'!$H$42</definedName>
    <definedName name="OSRRefH22_5x_0" localSheetId="87">'425'!$H$50</definedName>
    <definedName name="OSRRefH22_5x_0" localSheetId="90">'430'!$H$37</definedName>
    <definedName name="OSRRefH22_5x_0" localSheetId="91">'433'!$H$49</definedName>
    <definedName name="OSRRefH22_5x_0" localSheetId="92">'435'!$H$39</definedName>
    <definedName name="OSRRefH22_5x_0" localSheetId="93">'444'!$H$48</definedName>
    <definedName name="OSRRefH22_5x_0" localSheetId="95">'450'!$H$48</definedName>
    <definedName name="OSRRefH22_5x_0" localSheetId="75">'491'!$H$58:$H$60</definedName>
    <definedName name="OSRRefH22_5x_0" localSheetId="89">'492'!$H$52</definedName>
    <definedName name="OSRRefH22_5x_0" localSheetId="97">'501'!$H$43:$H$44</definedName>
    <definedName name="OSRRefH22_5x_0" localSheetId="39">'Div 2'!$H$46:$H$47</definedName>
    <definedName name="OSRRefH22_5x_0" localSheetId="47">'Div 3'!$H$204:$H$205</definedName>
    <definedName name="OSRRefH22_5x_0" localSheetId="73">'Div 4'!$H$59:$H$61</definedName>
    <definedName name="OSRRefH22_5x_0" localSheetId="96">'Div 5'!$H$43:$H$44</definedName>
    <definedName name="OSRRefH22_5x_0" localSheetId="64">'Div 6'!$H$81</definedName>
    <definedName name="OSRRefH22_5x_0" localSheetId="2">Summary!$H$240:$H$242</definedName>
    <definedName name="OSRRefH22_6x_0" localSheetId="41">'201'!$H$42</definedName>
    <definedName name="OSRRefH22_6x_0" localSheetId="42">'202'!$H$44</definedName>
    <definedName name="OSRRefH22_6x_0" localSheetId="43">'203'!$H$45</definedName>
    <definedName name="OSRRefH22_6x_0" localSheetId="44">'204'!$H$47:$H$50</definedName>
    <definedName name="OSRRefH22_6x_0" localSheetId="45">'205'!$H$41:$H$42</definedName>
    <definedName name="OSRRefH22_6x_0" localSheetId="46">'206'!$H$44:$H$45</definedName>
    <definedName name="OSRRefH22_6x_0" localSheetId="48">'300'!$H$202:$H$203</definedName>
    <definedName name="OSRRefH22_6x_0" localSheetId="49">'300 &amp; 317'!$H$228:$H$229</definedName>
    <definedName name="OSRRefH22_6x_0" localSheetId="50">'301'!$H$48:$H$49</definedName>
    <definedName name="OSRRefH22_6x_0" localSheetId="53">'307'!$H$42</definedName>
    <definedName name="OSRRefH22_6x_0" localSheetId="55">'308'!$H$93:$H$94</definedName>
    <definedName name="OSRRefH22_6x_0" localSheetId="67">'309'!$H$47</definedName>
    <definedName name="OSRRefH22_6x_0" localSheetId="66">'310'!$H$59</definedName>
    <definedName name="OSRRefH22_6x_0" localSheetId="74">'310 &amp; 491'!$H$71</definedName>
    <definedName name="OSRRefH22_6x_0" localSheetId="56">'311'!$H$91:$H$92</definedName>
    <definedName name="OSRRefH22_6x_0" localSheetId="68">'313'!$H$55</definedName>
    <definedName name="OSRRefH22_6x_0" localSheetId="54">'314'!$H$80</definedName>
    <definedName name="OSRRefH22_6x_0" localSheetId="59">'315'!$H$83</definedName>
    <definedName name="OSRRefH22_6x_0" localSheetId="62">'316'!$H$57:$H$58</definedName>
    <definedName name="OSRRefH22_6x_0" localSheetId="65">'317'!$H$83</definedName>
    <definedName name="OSRRefH22_6x_0" localSheetId="63">'320'!$H$56</definedName>
    <definedName name="OSRRefH22_6x_0" localSheetId="69">'321'!$H$46</definedName>
    <definedName name="OSRRefH22_6x_0" localSheetId="70">'322'!$H$47</definedName>
    <definedName name="OSRRefH22_6x_0" localSheetId="71">'325'!$H$49</definedName>
    <definedName name="OSRRefH22_6x_0" localSheetId="60">'326'!$H$85</definedName>
    <definedName name="OSRRefH22_6x_0" localSheetId="52">'330'!$H$112</definedName>
    <definedName name="OSRRefH22_6x_0" localSheetId="58">'331'!$H$101</definedName>
    <definedName name="OSRRefH22_6x_0" localSheetId="61">'332'!$H$70:$H$71</definedName>
    <definedName name="OSRRefH22_6x_0" localSheetId="76">'405'!$H$48</definedName>
    <definedName name="OSRRefH22_6x_0" localSheetId="77">'406'!$H$48</definedName>
    <definedName name="OSRRefH22_6x_0" localSheetId="78">'411'!$H$47</definedName>
    <definedName name="OSRRefH22_6x_0" localSheetId="79">'412'!$H$49</definedName>
    <definedName name="OSRRefH22_6x_0" localSheetId="81">'413'!$H$48</definedName>
    <definedName name="OSRRefH22_6x_0" localSheetId="82">'414'!$H$48</definedName>
    <definedName name="OSRRefH22_6x_0" localSheetId="83">'415'!$H$49</definedName>
    <definedName name="OSRRefH22_6x_0" localSheetId="84">'418'!$H$49</definedName>
    <definedName name="OSRRefH22_6x_0" localSheetId="80">'420'!$H$46:$H$47</definedName>
    <definedName name="OSRRefH22_6x_0" localSheetId="85">'423'!$H$41</definedName>
    <definedName name="OSRRefH22_6x_0" localSheetId="86">'424'!$H$44</definedName>
    <definedName name="OSRRefH22_6x_0" localSheetId="87">'425'!$H$52</definedName>
    <definedName name="OSRRefH22_6x_0" localSheetId="90">'430'!$H$39:$H$41</definedName>
    <definedName name="OSRRefH22_6x_0" localSheetId="91">'433'!$H$51</definedName>
    <definedName name="OSRRefH22_6x_0" localSheetId="92">'435'!$H$41</definedName>
    <definedName name="OSRRefH22_6x_0" localSheetId="93">'444'!$H$50</definedName>
    <definedName name="OSRRefH22_6x_0" localSheetId="95">'450'!$H$50</definedName>
    <definedName name="OSRRefH22_6x_0" localSheetId="75">'491'!$H$62</definedName>
    <definedName name="OSRRefH22_6x_0" localSheetId="89">'492'!$H$54</definedName>
    <definedName name="OSRRefH22_6x_0" localSheetId="97">'501'!$H$46</definedName>
    <definedName name="OSRRefH22_6x_0" localSheetId="39">'Div 2'!$H$49</definedName>
    <definedName name="OSRRefH22_6x_0" localSheetId="47">'Div 3'!$H$207:$H$208</definedName>
    <definedName name="OSRRefH22_6x_0" localSheetId="73">'Div 4'!$H$63</definedName>
    <definedName name="OSRRefH22_6x_0" localSheetId="96">'Div 5'!$H$46</definedName>
    <definedName name="OSRRefH22_6x_0" localSheetId="64">'Div 6'!$H$83</definedName>
    <definedName name="OSRRefH22_6x_0" localSheetId="2">Summary!$H$244:$H$245</definedName>
    <definedName name="OSRRefH22_7x_0" localSheetId="41">'201'!$H$44</definedName>
    <definedName name="OSRRefH22_7x_0" localSheetId="42">'202'!$H$46</definedName>
    <definedName name="OSRRefH22_7x_0" localSheetId="43">'203'!$H$47</definedName>
    <definedName name="OSRRefH22_7x_0" localSheetId="44">'204'!$H$52:$H$53</definedName>
    <definedName name="OSRRefH22_7x_0" localSheetId="45">'205'!$H$44</definedName>
    <definedName name="OSRRefH22_7x_0" localSheetId="46">'206'!$H$47</definedName>
    <definedName name="OSRRefH22_7x_0" localSheetId="48">'300'!$H$205</definedName>
    <definedName name="OSRRefH22_7x_0" localSheetId="49">'300 &amp; 317'!$H$231</definedName>
    <definedName name="OSRRefH22_7x_0" localSheetId="50">'301'!$H$51</definedName>
    <definedName name="OSRRefH22_7x_0" localSheetId="53">'307'!$H$44</definedName>
    <definedName name="OSRRefH22_7x_0" localSheetId="55">'308'!$H$96</definedName>
    <definedName name="OSRRefH22_7x_0" localSheetId="67">'309'!$H$49</definedName>
    <definedName name="OSRRefH22_7x_0" localSheetId="66">'310'!$H$61</definedName>
    <definedName name="OSRRefH22_7x_0" localSheetId="74">'310 &amp; 491'!$H$73</definedName>
    <definedName name="OSRRefH22_7x_0" localSheetId="56">'311'!$H$94</definedName>
    <definedName name="OSRRefH22_7x_0" localSheetId="68">'313'!$H$57:$H$58</definedName>
    <definedName name="OSRRefH22_7x_0" localSheetId="54">'314'!$H$82:$H$84</definedName>
    <definedName name="OSRRefH22_7x_0" localSheetId="59">'315'!$H$85</definedName>
    <definedName name="OSRRefH22_7x_0" localSheetId="62">'316'!$H$60</definedName>
    <definedName name="OSRRefH22_7x_0" localSheetId="65">'317'!$H$85:$H$86</definedName>
    <definedName name="OSRRefH22_7x_0" localSheetId="63">'320'!$H$58:$H$60</definedName>
    <definedName name="OSRRefH22_7x_0" localSheetId="69">'321'!$H$48:$H$50</definedName>
    <definedName name="OSRRefH22_7x_0" localSheetId="70">'322'!$H$49</definedName>
    <definedName name="OSRRefH22_7x_0" localSheetId="71">'325'!$H$51</definedName>
    <definedName name="OSRRefH22_7x_0" localSheetId="60">'326'!$H$87</definedName>
    <definedName name="OSRRefH22_7x_0" localSheetId="52">'330'!$H$114</definedName>
    <definedName name="OSRRefH22_7x_0" localSheetId="58">'331'!$H$103</definedName>
    <definedName name="OSRRefH22_7x_0" localSheetId="61">'332'!$H$73</definedName>
    <definedName name="OSRRefH22_7x_0" localSheetId="76">'405'!$H$50</definedName>
    <definedName name="OSRRefH22_7x_0" localSheetId="77">'406'!$H$50</definedName>
    <definedName name="OSRRefH22_7x_0" localSheetId="78">'411'!$H$49</definedName>
    <definedName name="OSRRefH22_7x_0" localSheetId="79">'412'!$H$51</definedName>
    <definedName name="OSRRefH22_7x_0" localSheetId="81">'413'!$H$50</definedName>
    <definedName name="OSRRefH22_7x_0" localSheetId="82">'414'!$H$50</definedName>
    <definedName name="OSRRefH22_7x_0" localSheetId="83">'415'!$H$51</definedName>
    <definedName name="OSRRefH22_7x_0" localSheetId="84">'418'!$H$51</definedName>
    <definedName name="OSRRefH22_7x_0" localSheetId="80">'420'!$H$49</definedName>
    <definedName name="OSRRefH22_7x_0" localSheetId="86">'424'!$H$46</definedName>
    <definedName name="OSRRefH22_7x_0" localSheetId="87">'425'!$H$54</definedName>
    <definedName name="OSRRefH22_7x_0" localSheetId="90">'430'!$H$43</definedName>
    <definedName name="OSRRefH22_7x_0" localSheetId="91">'433'!$H$53</definedName>
    <definedName name="OSRRefH22_7x_0" localSheetId="92">'435'!$H$43</definedName>
    <definedName name="OSRRefH22_7x_0" localSheetId="93">'444'!$H$52</definedName>
    <definedName name="OSRRefH22_7x_0" localSheetId="95">'450'!$H$52</definedName>
    <definedName name="OSRRefH22_7x_0" localSheetId="75">'491'!$H$64</definedName>
    <definedName name="OSRRefH22_7x_0" localSheetId="89">'492'!$H$56</definedName>
    <definedName name="OSRRefH22_7x_0" localSheetId="97">'501'!$H$48</definedName>
    <definedName name="OSRRefH22_7x_0" localSheetId="39">'Div 2'!$H$51</definedName>
    <definedName name="OSRRefH22_7x_0" localSheetId="47">'Div 3'!$H$210</definedName>
    <definedName name="OSRRefH22_7x_0" localSheetId="73">'Div 4'!$H$65</definedName>
    <definedName name="OSRRefH22_7x_0" localSheetId="96">'Div 5'!$H$48</definedName>
    <definedName name="OSRRefH22_7x_0" localSheetId="64">'Div 6'!$H$85:$H$86</definedName>
    <definedName name="OSRRefH22_7x_0" localSheetId="2">Summary!$H$247</definedName>
    <definedName name="OSRRefH22_8x_0" localSheetId="41">'201'!$H$46</definedName>
    <definedName name="OSRRefH22_8x_0" localSheetId="42">'202'!$H$48</definedName>
    <definedName name="OSRRefH22_8x_0" localSheetId="43">'203'!$H$49</definedName>
    <definedName name="OSRRefH22_8x_0" localSheetId="44">'204'!$H$55:$H$56</definedName>
    <definedName name="OSRRefH22_8x_0" localSheetId="45">'205'!$H$46</definedName>
    <definedName name="OSRRefH22_8x_0" localSheetId="46">'206'!$H$49</definedName>
    <definedName name="OSRRefH22_8x_0" localSheetId="48">'300'!$H$207</definedName>
    <definedName name="OSRRefH22_8x_0" localSheetId="49">'300 &amp; 317'!$H$233</definedName>
    <definedName name="OSRRefH22_8x_0" localSheetId="50">'301'!$H$53</definedName>
    <definedName name="OSRRefH22_8x_0" localSheetId="53">'307'!$H$46</definedName>
    <definedName name="OSRRefH22_8x_0" localSheetId="55">'308'!$H$98</definedName>
    <definedName name="OSRRefH22_8x_0" localSheetId="67">'309'!$H$51</definedName>
    <definedName name="OSRRefH22_8x_0" localSheetId="66">'310'!$H$63</definedName>
    <definedName name="OSRRefH22_8x_0" localSheetId="74">'310 &amp; 491'!$H$75</definedName>
    <definedName name="OSRRefH22_8x_0" localSheetId="56">'311'!$H$96</definedName>
    <definedName name="OSRRefH22_8x_0" localSheetId="68">'313'!$H$60</definedName>
    <definedName name="OSRRefH22_8x_0" localSheetId="54">'314'!$H$86</definedName>
    <definedName name="OSRRefH22_8x_0" localSheetId="59">'315'!$H$87</definedName>
    <definedName name="OSRRefH22_8x_0" localSheetId="62">'316'!$H$62:$H$63</definedName>
    <definedName name="OSRRefH22_8x_0" localSheetId="65">'317'!$H$88</definedName>
    <definedName name="OSRRefH22_8x_0" localSheetId="63">'320'!$H$62</definedName>
    <definedName name="OSRRefH22_8x_0" localSheetId="69">'321'!$H$52</definedName>
    <definedName name="OSRRefH22_8x_0" localSheetId="70">'322'!$H$51</definedName>
    <definedName name="OSRRefH22_8x_0" localSheetId="71">'325'!$H$53</definedName>
    <definedName name="OSRRefH22_8x_0" localSheetId="60">'326'!$H$89</definedName>
    <definedName name="OSRRefH22_8x_0" localSheetId="52">'330'!$H$116</definedName>
    <definedName name="OSRRefH22_8x_0" localSheetId="58">'331'!$H$105:$H$106</definedName>
    <definedName name="OSRRefH22_8x_0" localSheetId="61">'332'!$H$75</definedName>
    <definedName name="OSRRefH22_8x_0" localSheetId="76">'405'!$H$52</definedName>
    <definedName name="OSRRefH22_8x_0" localSheetId="77">'406'!$H$52</definedName>
    <definedName name="OSRRefH22_8x_0" localSheetId="78">'411'!$H$51</definedName>
    <definedName name="OSRRefH22_8x_0" localSheetId="79">'412'!$H$53</definedName>
    <definedName name="OSRRefH22_8x_0" localSheetId="81">'413'!$H$52:$H$54</definedName>
    <definedName name="OSRRefH22_8x_0" localSheetId="82">'414'!$H$52</definedName>
    <definedName name="OSRRefH22_8x_0" localSheetId="83">'415'!$H$53</definedName>
    <definedName name="OSRRefH22_8x_0" localSheetId="84">'418'!$H$53</definedName>
    <definedName name="OSRRefH22_8x_0" localSheetId="86">'424'!$H$48</definedName>
    <definedName name="OSRRefH22_8x_0" localSheetId="87">'425'!$H$56</definedName>
    <definedName name="OSRRefH22_8x_0" localSheetId="90">'430'!$H$45</definedName>
    <definedName name="OSRRefH22_8x_0" localSheetId="91">'433'!$H$55</definedName>
    <definedName name="OSRRefH22_8x_0" localSheetId="92">'435'!$H$45:$H$48</definedName>
    <definedName name="OSRRefH22_8x_0" localSheetId="93">'444'!$H$54</definedName>
    <definedName name="OSRRefH22_8x_0" localSheetId="95">'450'!$H$54</definedName>
    <definedName name="OSRRefH22_8x_0" localSheetId="75">'491'!$H$66</definedName>
    <definedName name="OSRRefH22_8x_0" localSheetId="89">'492'!$H$58</definedName>
    <definedName name="OSRRefH22_8x_0" localSheetId="97">'501'!$H$50</definedName>
    <definedName name="OSRRefH22_8x_0" localSheetId="39">'Div 2'!$H$53</definedName>
    <definedName name="OSRRefH22_8x_0" localSheetId="47">'Div 3'!$H$212</definedName>
    <definedName name="OSRRefH22_8x_0" localSheetId="73">'Div 4'!$H$67</definedName>
    <definedName name="OSRRefH22_8x_0" localSheetId="96">'Div 5'!$H$50</definedName>
    <definedName name="OSRRefH22_8x_0" localSheetId="64">'Div 6'!$H$88</definedName>
    <definedName name="OSRRefH22_8x_0" localSheetId="2">Summary!$H$249</definedName>
    <definedName name="OSRRefH22_9x_0" localSheetId="41">'201'!$H$48</definedName>
    <definedName name="OSRRefH22_9x_0" localSheetId="42">'202'!$H$50</definedName>
    <definedName name="OSRRefH22_9x_0" localSheetId="43">'203'!$H$51:$H$53</definedName>
    <definedName name="OSRRefH22_9x_0" localSheetId="44">'204'!$H$58</definedName>
    <definedName name="OSRRefH22_9x_0" localSheetId="48">'300'!$H$209</definedName>
    <definedName name="OSRRefH22_9x_0" localSheetId="49">'300 &amp; 317'!$H$235</definedName>
    <definedName name="OSRRefH22_9x_0" localSheetId="50">'301'!$H$55</definedName>
    <definedName name="OSRRefH22_9x_0" localSheetId="53">'307'!$H$48:$H$49</definedName>
    <definedName name="OSRRefH22_9x_0" localSheetId="55">'308'!$H$100:$H$102</definedName>
    <definedName name="OSRRefH22_9x_0" localSheetId="67">'309'!$H$53:$H$54</definedName>
    <definedName name="OSRRefH22_9x_0" localSheetId="66">'310'!$H$65:$H$66</definedName>
    <definedName name="OSRRefH22_9x_0" localSheetId="74">'310 &amp; 491'!$H$77</definedName>
    <definedName name="OSRRefH22_9x_0" localSheetId="56">'311'!$H$98:$H$100</definedName>
    <definedName name="OSRRefH22_9x_0" localSheetId="68">'313'!$H$62:$H$64</definedName>
    <definedName name="OSRRefH22_9x_0" localSheetId="54">'314'!$H$88</definedName>
    <definedName name="OSRRefH22_9x_0" localSheetId="59">'315'!$H$89:$H$91</definedName>
    <definedName name="OSRRefH22_9x_0" localSheetId="62">'316'!$H$65</definedName>
    <definedName name="OSRRefH22_9x_0" localSheetId="65">'317'!$H$90</definedName>
    <definedName name="OSRRefH22_9x_0" localSheetId="69">'321'!$H$54:$H$56</definedName>
    <definedName name="OSRRefH22_9x_0" localSheetId="70">'322'!$H$53</definedName>
    <definedName name="OSRRefH22_9x_0" localSheetId="71">'325'!$H$55</definedName>
    <definedName name="OSRRefH22_9x_0" localSheetId="60">'326'!$H$91</definedName>
    <definedName name="OSRRefH22_9x_0" localSheetId="52">'330'!$H$118</definedName>
    <definedName name="OSRRefH22_9x_0" localSheetId="58">'331'!$H$108</definedName>
    <definedName name="OSRRefH22_9x_0" localSheetId="61">'332'!$H$77:$H$78</definedName>
    <definedName name="OSRRefH22_9x_0" localSheetId="76">'405'!$H$54</definedName>
    <definedName name="OSRRefH22_9x_0" localSheetId="77">'406'!$H$54:$H$56</definedName>
    <definedName name="OSRRefH22_9x_0" localSheetId="78">'411'!$H$53</definedName>
    <definedName name="OSRRefH22_9x_0" localSheetId="79">'412'!$H$55:$H$57</definedName>
    <definedName name="OSRRefH22_9x_0" localSheetId="81">'413'!$H$56:$H$57</definedName>
    <definedName name="OSRRefH22_9x_0" localSheetId="82">'414'!$H$54:$H$55</definedName>
    <definedName name="OSRRefH22_9x_0" localSheetId="83">'415'!$H$55</definedName>
    <definedName name="OSRRefH22_9x_0" localSheetId="84">'418'!$H$55</definedName>
    <definedName name="OSRRefH22_9x_0" localSheetId="86">'424'!$H$50:$H$51</definedName>
    <definedName name="OSRRefH22_9x_0" localSheetId="87">'425'!$H$58:$H$60</definedName>
    <definedName name="OSRRefH22_9x_0" localSheetId="90">'430'!$H$47</definedName>
    <definedName name="OSRRefH22_9x_0" localSheetId="91">'433'!$H$57</definedName>
    <definedName name="OSRRefH22_9x_0" localSheetId="92">'435'!$H$50</definedName>
    <definedName name="OSRRefH22_9x_0" localSheetId="93">'444'!$H$56</definedName>
    <definedName name="OSRRefH22_9x_0" localSheetId="95">'450'!$H$56</definedName>
    <definedName name="OSRRefH22_9x_0" localSheetId="75">'491'!$H$68</definedName>
    <definedName name="OSRRefH22_9x_0" localSheetId="89">'492'!$H$60</definedName>
    <definedName name="OSRRefH22_9x_0" localSheetId="97">'501'!$H$52</definedName>
    <definedName name="OSRRefH22_9x_0" localSheetId="39">'Div 2'!$H$55</definedName>
    <definedName name="OSRRefH22_9x_0" localSheetId="47">'Div 3'!$H$214</definedName>
    <definedName name="OSRRefH22_9x_0" localSheetId="73">'Div 4'!$H$69</definedName>
    <definedName name="OSRRefH22_9x_0" localSheetId="96">'Div 5'!$H$52</definedName>
    <definedName name="OSRRefH22_9x_0" localSheetId="64">'Div 6'!$H$90</definedName>
    <definedName name="OSRRefH22_9x_0" localSheetId="2">Summary!$H$251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'201'!$H$20:$H$28,'201'!$H$30:$H$32,'201'!$H$34,'201'!$H$36,'201'!$H$38,'201'!$H$40,'201'!$H$42,'201'!$H$44,'201'!$H$46,'201'!$H$48,'201'!$H$50:$H$52,'201'!$H$54:$H$56,'201'!$H$58,'201'!$H$60:$H$63,'201'!$H$65,'201'!$H$67,'201'!$H$69:$H$70</definedName>
    <definedName name="OSRRefH22x_0" localSheetId="42">'202'!$H$20:$H$27,'202'!$H$29:$H$34,'202'!$H$36,'202'!$H$38,'202'!$H$40,'202'!$H$42,'202'!$H$44,'202'!$H$46,'202'!$H$48,'202'!$H$50,'202'!$H$52:$H$54,'202'!$H$56,'202'!$H$58,'202'!$H$60:$H$62,'202'!$H$64,'202'!$H$66,'202'!$H$68</definedName>
    <definedName name="OSRRefH22x_0" localSheetId="43">'203'!$H$20:$H$29,'203'!$H$31:$H$35,'203'!$H$37,'203'!$H$39,'203'!$H$41,'203'!$H$43,'203'!$H$45,'203'!$H$47,'203'!$H$49,'203'!$H$51:$H$53,'203'!$H$55:$H$56,'203'!$H$58:$H$59,'203'!$H$61:$H$63,'203'!$H$65,'203'!$H$67,'203'!$H$69</definedName>
    <definedName name="OSRRefH22x_0" localSheetId="44">'204'!$H$20:$H$29,'204'!$H$31:$H$36,'204'!$H$38,'204'!$H$40:$H$41,'204'!$H$43,'204'!$H$45,'204'!$H$47:$H$50,'204'!$H$52:$H$53,'204'!$H$55:$H$56,'204'!$H$58,'204'!$H$60:$H$61</definedName>
    <definedName name="OSRRefH22x_0" localSheetId="45">'205'!$H$20:$H$27,'205'!$H$29,'205'!$H$31,'205'!$H$33,'205'!$H$35:$H$37,'205'!$H$39,'205'!$H$41:$H$42,'205'!$H$44,'205'!$H$46</definedName>
    <definedName name="OSRRefH22x_0" localSheetId="46">'206'!$H$20:$H$27,'206'!$H$29:$H$34,'206'!$H$36,'206'!$H$38,'206'!$H$40,'206'!$H$42,'206'!$H$44:$H$45,'206'!$H$47,'206'!$H$49</definedName>
    <definedName name="OSRRefH22x_0" localSheetId="48">'300'!$H$174:$H$182,'300'!$H$184:$H$190,'300'!$H$192,'300'!$H$194:$H$195,'300'!$H$197,'300'!$H$199:$H$200,'300'!$H$202:$H$203,'300'!$H$205,'300'!$H$207,'300'!$H$209,'300'!$H$211:$H$212,'300'!$H$214,'300'!$H$216,'300'!$H$218,'300'!$H$220,'300'!$H$222,'300'!$H$224:$H$227,'300'!$H$229:$H$231,'300'!$H$233:$H$236,'300'!$H$238:$H$239,'300'!$H$241:$H$248,'300'!$H$250:$H$251,'300'!$H$253,'300'!$H$255:$H$257,'300'!$H$259</definedName>
    <definedName name="OSRRefH22x_0" localSheetId="49">'300 &amp; 317'!$H$200:$H$208,'300 &amp; 317'!$H$210:$H$216,'300 &amp; 317'!$H$218,'300 &amp; 317'!$H$220:$H$221,'300 &amp; 317'!$H$223,'300 &amp; 317'!$H$225:$H$226,'300 &amp; 317'!$H$228:$H$229,'300 &amp; 317'!$H$231,'300 &amp; 317'!$H$233,'300 &amp; 317'!$H$235,'300 &amp; 317'!$H$237:$H$238,'300 &amp; 317'!$H$240,'300 &amp; 317'!$H$242,'300 &amp; 317'!$H$244,'300 &amp; 317'!$H$246,'300 &amp; 317'!$H$248,'300 &amp; 317'!$H$250:$H$253,'300 &amp; 317'!$H$255:$H$257,'300 &amp; 317'!$H$259:$H$262,'300 &amp; 317'!$H$264:$H$265,'300 &amp; 317'!$H$267:$H$274,'300 &amp; 317'!$H$276:$H$277,'300 &amp; 317'!$H$279,'300 &amp; 317'!$H$281:$H$283,'300 &amp; 317'!$H$285</definedName>
    <definedName name="OSRRefH22x_0" localSheetId="50">'301'!$H$21:$H$28,'301'!$H$30:$H$36,'301'!$H$38,'301'!$H$40:$H$41,'301'!$H$43,'301'!$H$45:$H$46,'301'!$H$48:$H$49,'301'!$H$51,'301'!$H$53,'301'!$H$55,'301'!$H$57,'301'!$H$59,'301'!$H$61,'301'!$H$63,'301'!$H$65,'301'!$H$67:$H$70,'301'!$H$72,'301'!$H$74:$H$76,'301'!$H$78:$H$79,'301'!$H$81:$H$87,'301'!$H$89,'301'!$H$91,'301'!$H$93:$H$95,'301'!$H$97</definedName>
    <definedName name="OSRRefH22x_0" localSheetId="53">'307'!$H$20:$H$27,'307'!$H$29:$H$31,'307'!$H$33,'307'!$H$35:$H$36,'307'!$H$38,'307'!$H$40,'307'!$H$42,'307'!$H$44,'307'!$H$46,'307'!$H$48:$H$49,'307'!$H$51:$H$52,'307'!$H$54</definedName>
    <definedName name="OSRRefH22x_0" localSheetId="55">'308'!$H$68:$H$76,'308'!$H$78:$H$82,'308'!$H$84,'308'!$H$86:$H$87,'308'!$H$89,'308'!$H$91,'308'!$H$93:$H$94,'308'!$H$96,'308'!$H$98,'308'!$H$100:$H$102,'308'!$H$104:$H$105,'308'!$H$107:$H$110,'308'!$H$112:$H$113,'308'!$H$115,'308'!$H$117</definedName>
    <definedName name="OSRRefH22x_0" localSheetId="67">'309'!$H$24:$H$31,'309'!$H$33:$H$37,'309'!$H$39,'309'!$H$41,'309'!$H$43,'309'!$H$45,'309'!$H$47,'309'!$H$49,'309'!$H$51,'309'!$H$53:$H$54,'309'!$H$56:$H$58,'309'!$H$60,'309'!$H$62:$H$68,'309'!$H$70</definedName>
    <definedName name="OSRRefH22x_0" localSheetId="66">'310'!$H$34:$H$41,'310'!$H$43:$H$48,'310'!$H$50,'310'!$H$52,'310'!$H$54,'310'!$H$56:$H$57,'310'!$H$59,'310'!$H$61,'310'!$H$63,'310'!$H$65:$H$66,'310'!$H$68,'310'!$H$70,'310'!$H$72,'310'!$H$74,'310'!$H$76:$H$78,'310'!$H$80,'310'!$H$82:$H$85,'310'!$H$87:$H$88,'310'!$H$90:$H$97,'310'!$H$99,'310'!$H$101,'310'!$H$103,'310'!$H$105</definedName>
    <definedName name="OSRRefH22x_0" localSheetId="74">'310 &amp; 491'!$H$43:$H$51,'310 &amp; 491'!$H$53:$H$59,'310 &amp; 491'!$H$61,'310 &amp; 491'!$H$63,'310 &amp; 491'!$H$65,'310 &amp; 491'!$H$67:$H$69,'310 &amp; 491'!$H$71,'310 &amp; 491'!$H$73,'310 &amp; 491'!$H$75,'310 &amp; 491'!$H$77,'310 &amp; 491'!$H$79:$H$80,'310 &amp; 491'!$H$82:$H$83,'310 &amp; 491'!$H$85,'310 &amp; 491'!$H$87,'310 &amp; 491'!$H$89,'310 &amp; 491'!$H$91,'310 &amp; 491'!$H$93:$H$96,'310 &amp; 491'!$H$98:$H$99,'310 &amp; 491'!$H$101:$H$105,'310 &amp; 491'!$H$107:$H$108,'310 &amp; 491'!$H$110:$H$119,'310 &amp; 491'!$H$121,'310 &amp; 491'!$H$123,'310 &amp; 491'!$H$125:$H$127,'310 &amp; 491'!$H$129</definedName>
    <definedName name="OSRRefH22x_0" localSheetId="56">'311'!$H$66:$H$74,'311'!$H$76:$H$80,'311'!$H$82,'311'!$H$84:$H$85,'311'!$H$87,'311'!$H$89,'311'!$H$91:$H$92,'311'!$H$94,'311'!$H$96,'311'!$H$98:$H$100,'311'!$H$102:$H$103,'311'!$H$105:$H$108,'311'!$H$110:$H$111,'311'!$H$113,'311'!$H$115</definedName>
    <definedName name="OSRRefH22x_0" localSheetId="68">'313'!$H$31:$H$38,'313'!$H$40:$H$45,'313'!$H$47,'313'!$H$49,'313'!$H$51,'313'!$H$53,'313'!$H$55,'313'!$H$57:$H$58,'313'!$H$60,'313'!$H$62:$H$64,'313'!$H$66:$H$67,'313'!$H$69:$H$70,'313'!$H$72:$H$77,'313'!$H$79,'313'!$H$81</definedName>
    <definedName name="OSRRefH22x_0" localSheetId="54">'314'!$H$56:$H$64,'314'!$H$66:$H$69,'314'!$H$71,'314'!$H$73:$H$74,'314'!$H$76,'314'!$H$78,'314'!$H$80,'314'!$H$82:$H$84,'314'!$H$86,'314'!$H$88,'314'!$H$90</definedName>
    <definedName name="OSRRefH22x_0" localSheetId="59">'315'!$H$57:$H$64,'315'!$H$66:$H$71,'315'!$H$73,'315'!$H$75:$H$76,'315'!$H$78,'315'!$H$80:$H$81,'315'!$H$83,'315'!$H$85,'315'!$H$87,'315'!$H$89:$H$91,'315'!$H$93:$H$94,'315'!$H$96:$H$97,'315'!$H$99:$H$103,'315'!$H$105,'315'!$H$107,'315'!$H$109:$H$110</definedName>
    <definedName name="OSRRefH22x_0" localSheetId="62">'316'!$H$35:$H$42,'316'!$H$44:$H$47,'316'!$H$49,'316'!$H$51,'316'!$H$53,'316'!$H$55,'316'!$H$57:$H$58,'316'!$H$60,'316'!$H$62:$H$63,'316'!$H$65,'316'!$H$67:$H$71,'316'!$H$73,'316'!$H$75</definedName>
    <definedName name="OSRRefH22x_0" localSheetId="65">'317'!$H$59:$H$67,'317'!$H$69:$H$73,'317'!$H$75,'317'!$H$77,'317'!$H$79,'317'!$H$81,'317'!$H$83,'317'!$H$85:$H$86,'317'!$H$88,'317'!$H$90,'317'!$H$92,'317'!$H$94,'317'!$H$96:$H$97,'317'!$H$99,'317'!$H$101,'317'!$H$103:$H$104</definedName>
    <definedName name="OSRRefH22x_0" localSheetId="63">'320'!$H$31:$H$38,'320'!$H$40:$H$45,'320'!$H$47,'320'!$H$49,'320'!$H$51:$H$52,'320'!$H$54,'320'!$H$56,'320'!$H$58:$H$60,'320'!$H$62</definedName>
    <definedName name="OSRRefH22x_0" localSheetId="69">'321'!$H$24:$H$30,'321'!$H$32:$H$36,'321'!$H$38,'321'!$H$40,'321'!$H$42,'321'!$H$44,'321'!$H$46,'321'!$H$48:$H$50,'321'!$H$52,'321'!$H$54:$H$56,'321'!$H$58:$H$63,'321'!$H$65,'321'!$H$67,'321'!$H$69</definedName>
    <definedName name="OSRRefH22x_0" localSheetId="70">'322'!$H$24:$H$31,'322'!$H$33:$H$37,'322'!$H$39,'322'!$H$41,'322'!$H$43,'322'!$H$45,'322'!$H$47,'322'!$H$49,'322'!$H$51,'322'!$H$53,'322'!$H$55,'322'!$H$57:$H$58,'322'!$H$60:$H$62,'322'!$H$64,'322'!$H$66:$H$72,'322'!$H$74,'322'!$H$76,'322'!$H$78</definedName>
    <definedName name="OSRRefH22x_0" localSheetId="57">'324'!$H$26</definedName>
    <definedName name="OSRRefH22x_0" localSheetId="71">'325'!$H$24:$H$31,'325'!$H$33:$H$38,'325'!$H$40,'325'!$H$42,'325'!$H$44,'325'!$H$46:$H$47,'325'!$H$49,'325'!$H$51,'325'!$H$53,'325'!$H$55,'325'!$H$57,'325'!$H$59:$H$61,'325'!$H$63:$H$66,'325'!$H$68:$H$69,'325'!$H$71:$H$76,'325'!$H$78,'325'!$H$80,'325'!$H$82</definedName>
    <definedName name="OSRRefH22x_0" localSheetId="60">'326'!$H$62:$H$69,'326'!$H$71:$H$75,'326'!$H$77,'326'!$H$79,'326'!$H$81,'326'!$H$83,'326'!$H$85,'326'!$H$87,'326'!$H$89,'326'!$H$91,'326'!$H$93,'326'!$H$95,'326'!$H$97,'326'!$H$99:$H$100,'326'!$H$102:$H$104,'326'!$H$106:$H$107,'326'!$H$109:$H$113,'326'!$H$115,'326'!$H$117,'326'!$H$119,'326'!$H$121</definedName>
    <definedName name="OSRRefH22x_0" localSheetId="72">'327'!$H$22,'327'!$H$24,'327'!$H$26</definedName>
    <definedName name="OSRRefH22x_0" localSheetId="52">'330'!$H$87:$H$95,'330'!$H$97:$H$101,'330'!$H$103,'330'!$H$105,'330'!$H$107:$H$108,'330'!$H$110,'330'!$H$112,'330'!$H$114,'330'!$H$116,'330'!$H$118,'330'!$H$120,'330'!$H$122:$H$123,'330'!$H$125:$H$126,'330'!$H$128,'330'!$H$130:$H$132,'330'!$H$134,'330'!$H$136,'330'!$H$138</definedName>
    <definedName name="OSRRefH22x_0" localSheetId="58">'331'!$H$76:$H$83,'331'!$H$85:$H$90,'331'!$H$92,'331'!$H$94,'331'!$H$96,'331'!$H$98:$H$99,'331'!$H$101,'331'!$H$103,'331'!$H$105:$H$106,'331'!$H$108,'331'!$H$110,'331'!$H$112,'331'!$H$114,'331'!$H$116,'331'!$H$118:$H$120,'331'!$H$122:$H$123,'331'!$H$125:$H$127,'331'!$H$129:$H$130,'331'!$H$132:$H$137,'331'!$H$139,'331'!$H$141,'331'!$H$143:$H$144,'331'!$H$146</definedName>
    <definedName name="OSRRefH22x_0" localSheetId="61">'332'!$H$46:$H$53,'332'!$H$55:$H$60,'332'!$H$62,'332'!$H$64,'332'!$H$66,'332'!$H$68,'332'!$H$70:$H$71,'332'!$H$73,'332'!$H$75,'332'!$H$77:$H$78,'332'!$H$80,'332'!$H$82:$H$86,'332'!$H$88,'332'!$H$90</definedName>
    <definedName name="OSRRefH22x_0" localSheetId="76">'405'!$H$24:$H$31,'405'!$H$33:$H$37,'405'!$H$39,'405'!$H$41,'405'!$H$43,'405'!$H$45:$H$46,'405'!$H$48,'405'!$H$50,'405'!$H$52,'405'!$H$54,'405'!$H$56:$H$57,'405'!$H$59,'405'!$H$61:$H$63,'405'!$H$65:$H$66,'405'!$H$68:$H$74,'405'!$H$76,'405'!$H$78,'405'!$H$80,'405'!$H$82</definedName>
    <definedName name="OSRRefH22x_0" localSheetId="77">'406'!$H$24:$H$31,'406'!$H$33:$H$38,'406'!$H$40,'406'!$H$42,'406'!$H$44,'406'!$H$46,'406'!$H$48,'406'!$H$50,'406'!$H$52,'406'!$H$54:$H$56,'406'!$H$58:$H$59,'406'!$H$61:$H$66,'406'!$H$68,'406'!$H$70,'406'!$H$72:$H$73</definedName>
    <definedName name="OSRRefH22x_0" localSheetId="78">'411'!$H$20:$H$28,'411'!$H$30:$H$35,'411'!$H$37,'411'!$H$39,'411'!$H$41:$H$43,'411'!$H$45,'411'!$H$47,'411'!$H$49,'411'!$H$51,'411'!$H$53,'411'!$H$55,'411'!$H$57,'411'!$H$59:$H$62,'411'!$H$64:$H$68,'411'!$H$70:$H$71,'411'!$H$73:$H$81,'411'!$H$83,'411'!$H$85,'411'!$H$87:$H$89,'411'!$H$91</definedName>
    <definedName name="OSRRefH22x_0" localSheetId="79">'412'!$H$25:$H$32,'412'!$H$34:$H$39,'412'!$H$41,'412'!$H$43,'412'!$H$45,'412'!$H$47,'412'!$H$49,'412'!$H$51,'412'!$H$53,'412'!$H$55:$H$57,'412'!$H$59,'412'!$H$61:$H$63,'412'!$H$65:$H$72,'412'!$H$74,'412'!$H$76</definedName>
    <definedName name="OSRRefH22x_0" localSheetId="81">'413'!$H$24:$H$31,'413'!$H$33:$H$38,'413'!$H$40,'413'!$H$42,'413'!$H$44,'413'!$H$46,'413'!$H$48,'413'!$H$50,'413'!$H$52:$H$54,'413'!$H$56:$H$57,'413'!$H$59:$H$64,'413'!$H$66,'413'!$H$68,'413'!$H$70</definedName>
    <definedName name="OSRRefH22x_0" localSheetId="82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3">'415'!$H$24:$H$31,'415'!$H$33:$H$38,'415'!$H$40,'415'!$H$42,'415'!$H$44,'415'!$H$46:$H$47,'415'!$H$49,'415'!$H$51,'415'!$H$53,'415'!$H$55,'415'!$H$57,'415'!$H$59:$H$62,'415'!$H$64:$H$68,'415'!$H$70:$H$71,'415'!$H$73:$H$80,'415'!$H$82,'415'!$H$84,'415'!$H$86,'415'!$H$88</definedName>
    <definedName name="OSRRefH22x_0" localSheetId="84">'418'!$H$24:$H$31,'418'!$H$33:$H$38,'418'!$H$40,'418'!$H$42,'418'!$H$44,'418'!$H$46:$H$47,'418'!$H$49,'418'!$H$51,'418'!$H$53,'418'!$H$55,'418'!$H$57:$H$58,'418'!$H$60:$H$62,'418'!$H$64:$H$66,'418'!$H$68:$H$69,'418'!$H$71:$H$78,'418'!$H$80,'418'!$H$82</definedName>
    <definedName name="OSRRefH22x_0" localSheetId="80">'420'!$H$24:$H$31,'420'!$H$33:$H$36,'420'!$H$38,'420'!$H$40,'420'!$H$42,'420'!$H$44,'420'!$H$46:$H$47,'420'!$H$49</definedName>
    <definedName name="OSRRefH22x_0" localSheetId="85">'423'!$H$21:$H$28,'423'!$H$30:$H$31,'423'!$H$33,'423'!$H$35,'423'!$H$37,'423'!$H$39,'423'!$H$41</definedName>
    <definedName name="OSRRefH22x_0" localSheetId="86">'424'!$H$26:$H$28,'424'!$H$30:$H$34,'424'!$H$36,'424'!$H$38,'424'!$H$40,'424'!$H$42,'424'!$H$44,'424'!$H$46,'424'!$H$48,'424'!$H$50:$H$51,'424'!$H$53,'424'!$H$55,'424'!$H$57:$H$63,'424'!$H$65</definedName>
    <definedName name="OSRRefH22x_0" localSheetId="87">'425'!$H$27:$H$35,'425'!$H$37:$H$42,'425'!$H$44,'425'!$H$46,'425'!$H$48,'425'!$H$50,'425'!$H$52,'425'!$H$54,'425'!$H$56,'425'!$H$58:$H$60,'425'!$H$62,'425'!$H$64:$H$66,'425'!$H$68:$H$74,'425'!$H$76,'425'!$H$78,'425'!$H$80</definedName>
    <definedName name="OSRRefH22x_0" localSheetId="90">'430'!$H$20:$H$27,'430'!$H$29,'430'!$H$31,'430'!$H$33,'430'!$H$35,'430'!$H$37,'430'!$H$39:$H$41,'430'!$H$43,'430'!$H$45,'430'!$H$47</definedName>
    <definedName name="OSRRefH22x_0" localSheetId="91">'433'!$H$26:$H$34,'433'!$H$36:$H$41,'433'!$H$43,'433'!$H$45,'433'!$H$47,'433'!$H$49,'433'!$H$51,'433'!$H$53,'433'!$H$55,'433'!$H$57,'433'!$H$59:$H$61,'433'!$H$63:$H$65,'433'!$H$67:$H$74,'433'!$H$76,'433'!$H$78,'433'!$H$80:$H$81</definedName>
    <definedName name="OSRRefH22x_0" localSheetId="92">'435'!$H$25:$H$27,'435'!$H$29:$H$31,'435'!$H$33,'435'!$H$35,'435'!$H$37,'435'!$H$39,'435'!$H$41,'435'!$H$43,'435'!$H$45:$H$48,'435'!$H$50</definedName>
    <definedName name="OSRRefH22x_0" localSheetId="93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4">'445'!$H$20</definedName>
    <definedName name="OSRRefH22x_0" localSheetId="95">'450'!$H$25:$H$33,'450'!$H$35:$H$40,'450'!$H$42,'450'!$H$44,'450'!$H$46,'450'!$H$48,'450'!$H$50,'450'!$H$52,'450'!$H$54,'450'!$H$56,'450'!$H$58,'450'!$H$60,'450'!$H$62:$H$64,'450'!$H$66:$H$68,'450'!$H$70:$H$76,'450'!$H$78,'450'!$H$80,'450'!$H$82:$H$83</definedName>
    <definedName name="OSRRefH22x_0" localSheetId="88">'455'!$H$20:$H$26,'455'!$H$28:$H$29,'455'!$H$31</definedName>
    <definedName name="OSRRefH22x_0" localSheetId="75">'491'!$H$34:$H$42,'491'!$H$44:$H$50,'491'!$H$52,'491'!$H$54,'491'!$H$56,'491'!$H$58:$H$60,'491'!$H$62,'491'!$H$64,'491'!$H$66,'491'!$H$68,'491'!$H$70,'491'!$H$72:$H$73,'491'!$H$75,'491'!$H$77,'491'!$H$79,'491'!$H$81,'491'!$H$83:$H$86,'491'!$H$88:$H$89,'491'!$H$91:$H$95,'491'!$H$97:$H$98,'491'!$H$100:$H$109,'491'!$H$111,'491'!$H$113,'491'!$H$115:$H$117,'491'!$H$119</definedName>
    <definedName name="OSRRefH22x_0" localSheetId="89">'492'!$H$28:$H$36,'492'!$H$38:$H$44,'492'!$H$46,'492'!$H$48,'492'!$H$50,'492'!$H$52,'492'!$H$54,'492'!$H$56,'492'!$H$58,'492'!$H$60,'492'!$H$62,'492'!$H$64,'492'!$H$66,'492'!$H$68:$H$70,'492'!$H$72:$H$74,'492'!$H$76:$H$84,'492'!$H$86,'492'!$H$88,'492'!$H$90:$H$91</definedName>
    <definedName name="OSRRefH22x_0" localSheetId="97">'501'!$H$21:$H$28,'501'!$H$30:$H$35,'501'!$H$37,'501'!$H$39,'501'!$H$41,'501'!$H$43:$H$44,'501'!$H$46,'501'!$H$48,'501'!$H$50,'501'!$H$52,'501'!$H$54:$H$56,'501'!$H$58,'501'!$H$60:$H$63,'501'!$H$65,'501'!$H$67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2'!$H$66:$H$69,'Div 2'!$H$71:$H$72,'Div 2'!$H$74:$H$75,'Div 2'!$H$77:$H$81,'Div 2'!$H$83:$H$84,'Div 2'!$H$86,'Div 2'!$H$88:$H$89</definedName>
    <definedName name="OSRRefH22x_0" localSheetId="47">'Div 3'!$H$179:$H$187,'Div 3'!$H$189:$H$195,'Div 3'!$H$197,'Div 3'!$H$199:$H$200,'Div 3'!$H$202,'Div 3'!$H$204:$H$205,'Div 3'!$H$207:$H$208,'Div 3'!$H$210,'Div 3'!$H$212,'Div 3'!$H$214,'Div 3'!$H$216:$H$217,'Div 3'!$H$219,'Div 3'!$H$221,'Div 3'!$H$223,'Div 3'!$H$225,'Div 3'!$H$227,'Div 3'!$H$229,'Div 3'!$H$231:$H$234,'Div 3'!$H$236:$H$238,'Div 3'!$H$240:$H$244,'Div 3'!$H$246:$H$247,'Div 3'!$H$249:$H$257,'Div 3'!$H$259:$H$260,'Div 3'!$H$262,'Div 3'!$H$264:$H$266,'Div 3'!$H$268</definedName>
    <definedName name="OSRRefH22x_0" localSheetId="73">'Div 4'!$H$35:$H$43,'Div 4'!$H$45:$H$51,'Div 4'!$H$53,'Div 4'!$H$55,'Div 4'!$H$57,'Div 4'!$H$59:$H$61,'Div 4'!$H$63,'Div 4'!$H$65,'Div 4'!$H$67,'Div 4'!$H$69,'Div 4'!$H$71,'Div 4'!$H$73:$H$74,'Div 4'!$H$76,'Div 4'!$H$78,'Div 4'!$H$80,'Div 4'!$H$82,'Div 4'!$H$84,'Div 4'!$H$86:$H$89,'Div 4'!$H$91:$H$92,'Div 4'!$H$94:$H$98,'Div 4'!$H$100:$H$101,'Div 4'!$H$103:$H$112,'Div 4'!$H$114,'Div 4'!$H$116,'Div 4'!$H$118:$H$120,'Div 4'!$H$122</definedName>
    <definedName name="OSRRefH22x_0" localSheetId="96">'Div 5'!$H$21:$H$28,'Div 5'!$H$30:$H$35,'Div 5'!$H$37,'Div 5'!$H$39,'Div 5'!$H$41,'Div 5'!$H$43:$H$44,'Div 5'!$H$46,'Div 5'!$H$48,'Div 5'!$H$50,'Div 5'!$H$52,'Div 5'!$H$54:$H$56,'Div 5'!$H$58,'Div 5'!$H$60:$H$63,'Div 5'!$H$65,'Div 5'!$H$67</definedName>
    <definedName name="OSRRefH22x_0" localSheetId="64">'Div 6'!$H$59:$H$67,'Div 6'!$H$69:$H$73,'Div 6'!$H$75,'Div 6'!$H$77,'Div 6'!$H$79,'Div 6'!$H$81,'Div 6'!$H$83,'Div 6'!$H$85:$H$86,'Div 6'!$H$88,'Div 6'!$H$90,'Div 6'!$H$92,'Div 6'!$H$94,'Div 6'!$H$96:$H$97,'Div 6'!$H$99,'Div 6'!$H$101,'Div 6'!$H$103:$H$104</definedName>
    <definedName name="OSRRefH22x_0" localSheetId="2">Summary!$H$215:$H$223,Summary!$H$225:$H$231,Summary!$H$233,Summary!$H$235:$H$236,Summary!$H$238,Summary!$H$240:$H$242,Summary!$H$244:$H$245,Summary!$H$247,Summary!$H$249,Summary!$H$251,Summary!$H$253:$H$254,Summary!$H$256:$H$257,Summary!$H$259,Summary!$H$261,Summary!$H$263,Summary!$H$265,Summary!$H$267,Summary!$H$269,Summary!$H$271:$H$274,Summary!$H$276:$H$278,Summary!$H$280:$H$284,Summary!$H$286:$H$287,Summary!$H$289:$H$298,Summary!$H$300:$H$301,Summary!$H$303,Summary!$H$305:$H$307,Summary!$H$309</definedName>
    <definedName name="OSRRefH25x_0" localSheetId="48">'300'!$H$262:$H$270</definedName>
    <definedName name="OSRRefH25x_0" localSheetId="49">'300 &amp; 317'!$H$288:$H$299</definedName>
    <definedName name="OSRRefH25x_0" localSheetId="50">'301'!$H$100:$H$102</definedName>
    <definedName name="OSRRefH25x_0" localSheetId="55">'308'!$H$120:$H$122</definedName>
    <definedName name="OSRRefH25x_0" localSheetId="74">'310 &amp; 491'!$H$132:$H$134</definedName>
    <definedName name="OSRRefH25x_0" localSheetId="56">'311'!$H$118:$H$120</definedName>
    <definedName name="OSRRefH25x_0" localSheetId="59">'315'!$H$113</definedName>
    <definedName name="OSRRefH25x_0" localSheetId="62">'316'!$H$78</definedName>
    <definedName name="OSRRefH25x_0" localSheetId="65">'317'!$H$107:$H$110</definedName>
    <definedName name="OSRRefH25x_0" localSheetId="63">'320'!$H$65:$H$69</definedName>
    <definedName name="OSRRefH25x_0" localSheetId="52">'330'!$H$141</definedName>
    <definedName name="OSRRefH25x_0" localSheetId="58">'331'!$H$149</definedName>
    <definedName name="OSRRefH25x_0" localSheetId="61">'332'!$H$93:$H$98</definedName>
    <definedName name="OSRRefH25x_0" localSheetId="78">'411'!$H$94:$H$95</definedName>
    <definedName name="OSRRefH25x_0" localSheetId="81">'413'!$H$73</definedName>
    <definedName name="OSRRefH25x_0" localSheetId="83">'415'!$H$91</definedName>
    <definedName name="OSRRefH25x_0" localSheetId="84">'418'!$H$85</definedName>
    <definedName name="OSRRefH25x_0" localSheetId="85">'423'!$H$44</definedName>
    <definedName name="OSRRefH25x_0" localSheetId="86">'424'!$H$68</definedName>
    <definedName name="OSRRefH25x_0" localSheetId="87">'425'!$H$83</definedName>
    <definedName name="OSRRefH25x_0" localSheetId="88">'455'!$H$34:$H$35</definedName>
    <definedName name="OSRRefH25x_0" localSheetId="75">'491'!$H$122:$H$124</definedName>
    <definedName name="OSRRefH25x_0" localSheetId="97">'501'!$H$70:$H$71</definedName>
    <definedName name="OSRRefH25x_0" localSheetId="47">'Div 3'!$H$271:$H$279</definedName>
    <definedName name="OSRRefH25x_0" localSheetId="73">'Div 4'!$H$125:$H$127</definedName>
    <definedName name="OSRRefH25x_0" localSheetId="96">'Div 5'!$H$70:$H$71</definedName>
    <definedName name="OSRRefH25x_0" localSheetId="64">'Div 6'!$H$107:$H$110</definedName>
    <definedName name="OSRRefH25x_0" localSheetId="2">Summary!$H$312:$H$324</definedName>
    <definedName name="OSRRefP13x_0" localSheetId="48">'300'!$P$13:$P$115</definedName>
    <definedName name="OSRRefP13x_0" localSheetId="49">'300 &amp; 317'!$P$13:$P$133</definedName>
    <definedName name="OSRRefP13x_0" localSheetId="55">'308'!$P$13:$P$44</definedName>
    <definedName name="OSRRefP13x_0" localSheetId="67">'309'!$P$13:$P$14</definedName>
    <definedName name="OSRRefP13x_0" localSheetId="66">'310'!$P$13:$P$24</definedName>
    <definedName name="OSRRefP13x_0" localSheetId="74">'310 &amp; 491'!$P$13:$P$33</definedName>
    <definedName name="OSRRefP13x_0" localSheetId="56">'311'!$P$13:$P$42</definedName>
    <definedName name="OSRRefP13x_0" localSheetId="68">'313'!$P$13:$P$21</definedName>
    <definedName name="OSRRefP13x_0" localSheetId="54">'314'!$P$13:$P$33</definedName>
    <definedName name="OSRRefP13x_0" localSheetId="59">'315'!$P$13:$P$33</definedName>
    <definedName name="OSRRefP13x_0" localSheetId="62">'316'!$P$13:$P$27</definedName>
    <definedName name="OSRRefP13x_0" localSheetId="65">'317'!$P$13:$P$36</definedName>
    <definedName name="OSRRefP13x_0" localSheetId="63">'320'!$P$13:$P$18</definedName>
    <definedName name="OSRRefP13x_0" localSheetId="69">'321'!$P$13:$P$14</definedName>
    <definedName name="OSRRefP13x_0" localSheetId="70">'322'!$P$13:$P$14</definedName>
    <definedName name="OSRRefP13x_0" localSheetId="57">'324'!$P$13:$P$16</definedName>
    <definedName name="OSRRefP13x_0" localSheetId="71">'325'!$P$13:$P$14</definedName>
    <definedName name="OSRRefP13x_0" localSheetId="60">'326'!$P$13:$P$36</definedName>
    <definedName name="OSRRefP13x_0" localSheetId="72">'327'!$P$13</definedName>
    <definedName name="OSRRefP13x_0" localSheetId="52">'330'!$P$13:$P$55</definedName>
    <definedName name="OSRRefP13x_0" localSheetId="58">'331'!$P$13:$P$44</definedName>
    <definedName name="OSRRefP13x_0" localSheetId="61">'332'!$P$13:$P$33</definedName>
    <definedName name="OSRRefP13x_0" localSheetId="76">'405'!$P$13:$P$14</definedName>
    <definedName name="OSRRefP13x_0" localSheetId="77">'406'!$P$13:$P$14</definedName>
    <definedName name="OSRRefP13x_0" localSheetId="79">'412'!$P$13:$P$15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0">'420'!$P$13:$P$14</definedName>
    <definedName name="OSRRefP13x_0" localSheetId="86">'424'!$P$13:$P$16</definedName>
    <definedName name="OSRRefP13x_0" localSheetId="87">'425'!$P$13:$P$17</definedName>
    <definedName name="OSRRefP13x_0" localSheetId="91">'433'!$P$13:$P$16</definedName>
    <definedName name="OSRRefP13x_0" localSheetId="92">'435'!$P$13:$P$15</definedName>
    <definedName name="OSRRefP13x_0" localSheetId="93">'444'!$P$13:$P$15</definedName>
    <definedName name="OSRRefP13x_0" localSheetId="95">'450'!$P$13:$P$15</definedName>
    <definedName name="OSRRefP13x_0" localSheetId="75">'491'!$P$13:$P$24</definedName>
    <definedName name="OSRRefP13x_0" localSheetId="89">'492'!$P$13:$P$18</definedName>
    <definedName name="OSRRefP13x_0" localSheetId="97">'501'!$P$13</definedName>
    <definedName name="OSRRefP13x_0" localSheetId="47">'Div 3'!$P$13:$P$118</definedName>
    <definedName name="OSRRefP13x_0" localSheetId="73">'Div 4'!$P$13:$P$25</definedName>
    <definedName name="OSRRefP13x_0" localSheetId="96">'Div 5'!$P$13</definedName>
    <definedName name="OSRRefP13x_0" localSheetId="64">'Div 6'!$P$13:$P$36</definedName>
    <definedName name="OSRRefP13x_0" localSheetId="2">Summary!$P$13:$P$146</definedName>
    <definedName name="OSRRefP16x_0" localSheetId="48">'300'!$P$118:$P$168</definedName>
    <definedName name="OSRRefP16x_0" localSheetId="49">'300 &amp; 317'!$P$136:$P$194</definedName>
    <definedName name="OSRRefP16x_0" localSheetId="50">'301'!$P$15</definedName>
    <definedName name="OSRRefP16x_0" localSheetId="55">'308'!$P$47:$P$62</definedName>
    <definedName name="OSRRefP16x_0" localSheetId="67">'309'!$P$17:$P$18</definedName>
    <definedName name="OSRRefP16x_0" localSheetId="66">'310'!$P$27:$P$28</definedName>
    <definedName name="OSRRefP16x_0" localSheetId="74">'310 &amp; 491'!$P$36:$P$37</definedName>
    <definedName name="OSRRefP16x_0" localSheetId="56">'311'!$P$45:$P$60</definedName>
    <definedName name="OSRRefP16x_0" localSheetId="68">'313'!$P$24:$P$25</definedName>
    <definedName name="OSRRefP16x_0" localSheetId="54">'314'!$P$36:$P$50</definedName>
    <definedName name="OSRRefP16x_0" localSheetId="59">'315'!$P$36:$P$51</definedName>
    <definedName name="OSRRefP16x_0" localSheetId="65">'317'!$P$39:$P$53</definedName>
    <definedName name="OSRRefP16x_0" localSheetId="63">'320'!$P$21:$P$25</definedName>
    <definedName name="OSRRefP16x_0" localSheetId="69">'321'!$P$17:$P$18</definedName>
    <definedName name="OSRRefP16x_0" localSheetId="70">'322'!$P$17:$P$18</definedName>
    <definedName name="OSRRefP16x_0" localSheetId="57">'324'!$P$19:$P$20</definedName>
    <definedName name="OSRRefP16x_0" localSheetId="71">'325'!$P$17:$P$18</definedName>
    <definedName name="OSRRefP16x_0" localSheetId="60">'326'!$P$39:$P$56</definedName>
    <definedName name="OSRRefP16x_0" localSheetId="72">'327'!$P$16</definedName>
    <definedName name="OSRRefP16x_0" localSheetId="52">'330'!$P$58:$P$81</definedName>
    <definedName name="OSRRefP16x_0" localSheetId="58">'331'!$P$47:$P$70</definedName>
    <definedName name="OSRRefP16x_0" localSheetId="61">'332'!$P$36:$P$40</definedName>
    <definedName name="OSRRefP16x_0" localSheetId="76">'405'!$P$17:$P$18</definedName>
    <definedName name="OSRRefP16x_0" localSheetId="77">'406'!$P$17:$P$18</definedName>
    <definedName name="OSRRefP16x_0" localSheetId="79">'412'!$P$18:$P$19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0">'420'!$P$17:$P$18</definedName>
    <definedName name="OSRRefP16x_0" localSheetId="85">'423'!$P$15</definedName>
    <definedName name="OSRRefP16x_0" localSheetId="86">'424'!$P$19:$P$20</definedName>
    <definedName name="OSRRefP16x_0" localSheetId="87">'425'!$P$20:$P$21</definedName>
    <definedName name="OSRRefP16x_0" localSheetId="91">'433'!$P$19:$P$20</definedName>
    <definedName name="OSRRefP16x_0" localSheetId="92">'435'!$P$18:$P$19</definedName>
    <definedName name="OSRRefP16x_0" localSheetId="93">'444'!$P$18:$P$19</definedName>
    <definedName name="OSRRefP16x_0" localSheetId="95">'450'!$P$18:$P$19</definedName>
    <definedName name="OSRRefP16x_0" localSheetId="75">'491'!$P$27:$P$28</definedName>
    <definedName name="OSRRefP16x_0" localSheetId="89">'492'!$P$21:$P$22</definedName>
    <definedName name="OSRRefP16x_0" localSheetId="47">'Div 3'!$P$121:$P$173</definedName>
    <definedName name="OSRRefP16x_0" localSheetId="73">'Div 4'!$P$28:$P$29</definedName>
    <definedName name="OSRRefP16x_0" localSheetId="64">'Div 6'!$P$39:$P$53</definedName>
    <definedName name="OSRRefP16x_0" localSheetId="2">Summary!$P$149:$P$209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'206'!$P$20:$P$27</definedName>
    <definedName name="OSRRefP22_0x_0" localSheetId="48">'300'!$P$174:$P$182</definedName>
    <definedName name="OSRRefP22_0x_0" localSheetId="49">'300 &amp; 317'!$P$200:$P$208</definedName>
    <definedName name="OSRRefP22_0x_0" localSheetId="50">'301'!$P$21:$P$28</definedName>
    <definedName name="OSRRefP22_0x_0" localSheetId="53">'307'!$P$20:$P$27</definedName>
    <definedName name="OSRRefP22_0x_0" localSheetId="55">'308'!$P$68:$P$76</definedName>
    <definedName name="OSRRefP22_0x_0" localSheetId="67">'309'!$P$24:$P$31</definedName>
    <definedName name="OSRRefP22_0x_0" localSheetId="66">'310'!$P$34:$P$41</definedName>
    <definedName name="OSRRefP22_0x_0" localSheetId="74">'310 &amp; 491'!$P$43:$P$51</definedName>
    <definedName name="OSRRefP22_0x_0" localSheetId="56">'311'!$P$66:$P$74</definedName>
    <definedName name="OSRRefP22_0x_0" localSheetId="68">'313'!$P$31:$P$38</definedName>
    <definedName name="OSRRefP22_0x_0" localSheetId="54">'314'!$P$56:$P$64</definedName>
    <definedName name="OSRRefP22_0x_0" localSheetId="59">'315'!$P$57:$P$64</definedName>
    <definedName name="OSRRefP22_0x_0" localSheetId="62">'316'!$P$35:$P$42</definedName>
    <definedName name="OSRRefP22_0x_0" localSheetId="65">'317'!$P$59:$P$67</definedName>
    <definedName name="OSRRefP22_0x_0" localSheetId="63">'320'!$P$31:$P$38</definedName>
    <definedName name="OSRRefP22_0x_0" localSheetId="69">'321'!$P$24:$P$30</definedName>
    <definedName name="OSRRefP22_0x_0" localSheetId="70">'322'!$P$24:$P$31</definedName>
    <definedName name="OSRRefP22_0x_0" localSheetId="57">'324'!$P$26</definedName>
    <definedName name="OSRRefP22_0x_0" localSheetId="71">'325'!$P$24:$P$31</definedName>
    <definedName name="OSRRefP22_0x_0" localSheetId="60">'326'!$P$62:$P$69</definedName>
    <definedName name="OSRRefP22_0x_0" localSheetId="72">'327'!$P$22</definedName>
    <definedName name="OSRRefP22_0x_0" localSheetId="52">'330'!$P$87:$P$95</definedName>
    <definedName name="OSRRefP22_0x_0" localSheetId="58">'331'!$P$76:$P$83</definedName>
    <definedName name="OSRRefP22_0x_0" localSheetId="61">'332'!$P$46:$P$53</definedName>
    <definedName name="OSRRefP22_0x_0" localSheetId="76">'405'!$P$24:$P$31</definedName>
    <definedName name="OSRRefP22_0x_0" localSheetId="77">'406'!$P$24:$P$31</definedName>
    <definedName name="OSRRefP22_0x_0" localSheetId="78">'411'!$P$20:$P$28</definedName>
    <definedName name="OSRRefP22_0x_0" localSheetId="79">'412'!$P$25:$P$32</definedName>
    <definedName name="OSRRefP22_0x_0" localSheetId="81">'413'!$P$24:$P$31</definedName>
    <definedName name="OSRRefP22_0x_0" localSheetId="82">'414'!$P$24:$P$31</definedName>
    <definedName name="OSRRefP22_0x_0" localSheetId="83">'415'!$P$24:$P$31</definedName>
    <definedName name="OSRRefP22_0x_0" localSheetId="84">'418'!$P$24:$P$31</definedName>
    <definedName name="OSRRefP22_0x_0" localSheetId="80">'420'!$P$24:$P$31</definedName>
    <definedName name="OSRRefP22_0x_0" localSheetId="85">'423'!$P$21:$P$28</definedName>
    <definedName name="OSRRefP22_0x_0" localSheetId="86">'424'!$P$26:$P$28</definedName>
    <definedName name="OSRRefP22_0x_0" localSheetId="87">'425'!$P$27:$P$35</definedName>
    <definedName name="OSRRefP22_0x_0" localSheetId="90">'430'!$P$20:$P$27</definedName>
    <definedName name="OSRRefP22_0x_0" localSheetId="91">'433'!$P$26:$P$34</definedName>
    <definedName name="OSRRefP22_0x_0" localSheetId="92">'435'!$P$25:$P$27</definedName>
    <definedName name="OSRRefP22_0x_0" localSheetId="93">'444'!$P$25:$P$33</definedName>
    <definedName name="OSRRefP22_0x_0" localSheetId="94">'445'!$P$20</definedName>
    <definedName name="OSRRefP22_0x_0" localSheetId="95">'450'!$P$25:$P$33</definedName>
    <definedName name="OSRRefP22_0x_0" localSheetId="88">'455'!$P$20:$P$26</definedName>
    <definedName name="OSRRefP22_0x_0" localSheetId="75">'491'!$P$34:$P$42</definedName>
    <definedName name="OSRRefP22_0x_0" localSheetId="89">'492'!$P$28:$P$36</definedName>
    <definedName name="OSRRefP22_0x_0" localSheetId="97">'501'!$P$21:$P$28</definedName>
    <definedName name="OSRRefP22_0x_0" localSheetId="39">'Div 2'!$P$20:$P$30</definedName>
    <definedName name="OSRRefP22_0x_0" localSheetId="47">'Div 3'!$P$179:$P$187</definedName>
    <definedName name="OSRRefP22_0x_0" localSheetId="73">'Div 4'!$P$35:$P$43</definedName>
    <definedName name="OSRRefP22_0x_0" localSheetId="96">'Div 5'!$P$21:$P$28</definedName>
    <definedName name="OSRRefP22_0x_0" localSheetId="64">'Div 6'!$P$59:$P$67</definedName>
    <definedName name="OSRRefP22_0x_0" localSheetId="2">Summary!$P$215:$P$223</definedName>
    <definedName name="OSRRefP22_10x_0" localSheetId="41">'201'!$P$50:$P$52</definedName>
    <definedName name="OSRRefP22_10x_0" localSheetId="42">'202'!$P$52:$P$54</definedName>
    <definedName name="OSRRefP22_10x_0" localSheetId="43">'203'!$P$55:$P$56</definedName>
    <definedName name="OSRRefP22_10x_0" localSheetId="44">'204'!$P$60:$P$61</definedName>
    <definedName name="OSRRefP22_10x_0" localSheetId="48">'300'!$P$211:$P$212</definedName>
    <definedName name="OSRRefP22_10x_0" localSheetId="49">'300 &amp; 317'!$P$237:$P$238</definedName>
    <definedName name="OSRRefP22_10x_0" localSheetId="50">'301'!$P$57</definedName>
    <definedName name="OSRRefP22_10x_0" localSheetId="53">'307'!$P$51:$P$52</definedName>
    <definedName name="OSRRefP22_10x_0" localSheetId="55">'308'!$P$104:$P$105</definedName>
    <definedName name="OSRRefP22_10x_0" localSheetId="67">'309'!$P$56:$P$58</definedName>
    <definedName name="OSRRefP22_10x_0" localSheetId="66">'310'!$P$68</definedName>
    <definedName name="OSRRefP22_10x_0" localSheetId="74">'310 &amp; 491'!$P$79:$P$80</definedName>
    <definedName name="OSRRefP22_10x_0" localSheetId="56">'311'!$P$102:$P$103</definedName>
    <definedName name="OSRRefP22_10x_0" localSheetId="68">'313'!$P$66:$P$67</definedName>
    <definedName name="OSRRefP22_10x_0" localSheetId="54">'314'!$P$90</definedName>
    <definedName name="OSRRefP22_10x_0" localSheetId="59">'315'!$P$93:$P$94</definedName>
    <definedName name="OSRRefP22_10x_0" localSheetId="62">'316'!$P$67:$P$71</definedName>
    <definedName name="OSRRefP22_10x_0" localSheetId="65">'317'!$P$92</definedName>
    <definedName name="OSRRefP22_10x_0" localSheetId="69">'321'!$P$58:$P$63</definedName>
    <definedName name="OSRRefP22_10x_0" localSheetId="70">'322'!$P$55</definedName>
    <definedName name="OSRRefP22_10x_0" localSheetId="71">'325'!$P$57</definedName>
    <definedName name="OSRRefP22_10x_0" localSheetId="60">'326'!$P$93</definedName>
    <definedName name="OSRRefP22_10x_0" localSheetId="52">'330'!$P$120</definedName>
    <definedName name="OSRRefP22_10x_0" localSheetId="58">'331'!$P$110</definedName>
    <definedName name="OSRRefP22_10x_0" localSheetId="61">'332'!$P$80</definedName>
    <definedName name="OSRRefP22_10x_0" localSheetId="76">'405'!$P$56:$P$57</definedName>
    <definedName name="OSRRefP22_10x_0" localSheetId="77">'406'!$P$58:$P$59</definedName>
    <definedName name="OSRRefP22_10x_0" localSheetId="78">'411'!$P$55</definedName>
    <definedName name="OSRRefP22_10x_0" localSheetId="79">'412'!$P$59</definedName>
    <definedName name="OSRRefP22_10x_0" localSheetId="81">'413'!$P$59:$P$64</definedName>
    <definedName name="OSRRefP22_10x_0" localSheetId="82">'414'!$P$57</definedName>
    <definedName name="OSRRefP22_10x_0" localSheetId="83">'415'!$P$57</definedName>
    <definedName name="OSRRefP22_10x_0" localSheetId="84">'418'!$P$57:$P$58</definedName>
    <definedName name="OSRRefP22_10x_0" localSheetId="86">'424'!$P$53</definedName>
    <definedName name="OSRRefP22_10x_0" localSheetId="87">'425'!$P$62</definedName>
    <definedName name="OSRRefP22_10x_0" localSheetId="91">'433'!$P$59:$P$61</definedName>
    <definedName name="OSRRefP22_10x_0" localSheetId="93">'444'!$P$58</definedName>
    <definedName name="OSRRefP22_10x_0" localSheetId="95">'450'!$P$58</definedName>
    <definedName name="OSRRefP22_10x_0" localSheetId="75">'491'!$P$70</definedName>
    <definedName name="OSRRefP22_10x_0" localSheetId="89">'492'!$P$62</definedName>
    <definedName name="OSRRefP22_10x_0" localSheetId="97">'501'!$P$54:$P$56</definedName>
    <definedName name="OSRRefP22_10x_0" localSheetId="39">'Div 2'!$P$57</definedName>
    <definedName name="OSRRefP22_10x_0" localSheetId="47">'Div 3'!$P$216:$P$217</definedName>
    <definedName name="OSRRefP22_10x_0" localSheetId="73">'Div 4'!$P$71</definedName>
    <definedName name="OSRRefP22_10x_0" localSheetId="96">'Div 5'!$P$54:$P$56</definedName>
    <definedName name="OSRRefP22_10x_0" localSheetId="64">'Div 6'!$P$92</definedName>
    <definedName name="OSRRefP22_10x_0" localSheetId="2">Summary!$P$253:$P$254</definedName>
    <definedName name="OSRRefP22_11x_0" localSheetId="41">'201'!$P$54:$P$56</definedName>
    <definedName name="OSRRefP22_11x_0" localSheetId="42">'202'!$P$56</definedName>
    <definedName name="OSRRefP22_11x_0" localSheetId="43">'203'!$P$58:$P$59</definedName>
    <definedName name="OSRRefP22_11x_0" localSheetId="48">'300'!$P$214</definedName>
    <definedName name="OSRRefP22_11x_0" localSheetId="49">'300 &amp; 317'!$P$240</definedName>
    <definedName name="OSRRefP22_11x_0" localSheetId="50">'301'!$P$59</definedName>
    <definedName name="OSRRefP22_11x_0" localSheetId="53">'307'!$P$54</definedName>
    <definedName name="OSRRefP22_11x_0" localSheetId="55">'308'!$P$107:$P$110</definedName>
    <definedName name="OSRRefP22_11x_0" localSheetId="67">'309'!$P$60</definedName>
    <definedName name="OSRRefP22_11x_0" localSheetId="66">'310'!$P$70</definedName>
    <definedName name="OSRRefP22_11x_0" localSheetId="74">'310 &amp; 491'!$P$82:$P$83</definedName>
    <definedName name="OSRRefP22_11x_0" localSheetId="56">'311'!$P$105:$P$108</definedName>
    <definedName name="OSRRefP22_11x_0" localSheetId="68">'313'!$P$69:$P$70</definedName>
    <definedName name="OSRRefP22_11x_0" localSheetId="59">'315'!$P$96:$P$97</definedName>
    <definedName name="OSRRefP22_11x_0" localSheetId="62">'316'!$P$73</definedName>
    <definedName name="OSRRefP22_11x_0" localSheetId="65">'317'!$P$94</definedName>
    <definedName name="OSRRefP22_11x_0" localSheetId="69">'321'!$P$65</definedName>
    <definedName name="OSRRefP22_11x_0" localSheetId="70">'322'!$P$57:$P$58</definedName>
    <definedName name="OSRRefP22_11x_0" localSheetId="71">'325'!$P$59:$P$61</definedName>
    <definedName name="OSRRefP22_11x_0" localSheetId="60">'326'!$P$95</definedName>
    <definedName name="OSRRefP22_11x_0" localSheetId="52">'330'!$P$122:$P$123</definedName>
    <definedName name="OSRRefP22_11x_0" localSheetId="58">'331'!$P$112</definedName>
    <definedName name="OSRRefP22_11x_0" localSheetId="61">'332'!$P$82:$P$86</definedName>
    <definedName name="OSRRefP22_11x_0" localSheetId="76">'405'!$P$59</definedName>
    <definedName name="OSRRefP22_11x_0" localSheetId="77">'406'!$P$61:$P$66</definedName>
    <definedName name="OSRRefP22_11x_0" localSheetId="78">'411'!$P$57</definedName>
    <definedName name="OSRRefP22_11x_0" localSheetId="79">'412'!$P$61:$P$63</definedName>
    <definedName name="OSRRefP22_11x_0" localSheetId="81">'413'!$P$66</definedName>
    <definedName name="OSRRefP22_11x_0" localSheetId="82">'414'!$P$59</definedName>
    <definedName name="OSRRefP22_11x_0" localSheetId="83">'415'!$P$59:$P$62</definedName>
    <definedName name="OSRRefP22_11x_0" localSheetId="84">'418'!$P$60:$P$62</definedName>
    <definedName name="OSRRefP22_11x_0" localSheetId="86">'424'!$P$55</definedName>
    <definedName name="OSRRefP22_11x_0" localSheetId="87">'425'!$P$64:$P$66</definedName>
    <definedName name="OSRRefP22_11x_0" localSheetId="91">'433'!$P$63:$P$65</definedName>
    <definedName name="OSRRefP22_11x_0" localSheetId="93">'444'!$P$60:$P$62</definedName>
    <definedName name="OSRRefP22_11x_0" localSheetId="95">'450'!$P$60</definedName>
    <definedName name="OSRRefP22_11x_0" localSheetId="75">'491'!$P$72:$P$73</definedName>
    <definedName name="OSRRefP22_11x_0" localSheetId="89">'492'!$P$64</definedName>
    <definedName name="OSRRefP22_11x_0" localSheetId="97">'501'!$P$58</definedName>
    <definedName name="OSRRefP22_11x_0" localSheetId="39">'Div 2'!$P$59</definedName>
    <definedName name="OSRRefP22_11x_0" localSheetId="47">'Div 3'!$P$219</definedName>
    <definedName name="OSRRefP22_11x_0" localSheetId="73">'Div 4'!$P$73:$P$74</definedName>
    <definedName name="OSRRefP22_11x_0" localSheetId="96">'Div 5'!$P$58</definedName>
    <definedName name="OSRRefP22_11x_0" localSheetId="64">'Div 6'!$P$94</definedName>
    <definedName name="OSRRefP22_11x_0" localSheetId="2">Summary!$P$256:$P$257</definedName>
    <definedName name="OSRRefP22_12x_0" localSheetId="41">'201'!$P$58</definedName>
    <definedName name="OSRRefP22_12x_0" localSheetId="42">'202'!$P$58</definedName>
    <definedName name="OSRRefP22_12x_0" localSheetId="43">'203'!$P$61:$P$63</definedName>
    <definedName name="OSRRefP22_12x_0" localSheetId="48">'300'!$P$216</definedName>
    <definedName name="OSRRefP22_12x_0" localSheetId="49">'300 &amp; 317'!$P$242</definedName>
    <definedName name="OSRRefP22_12x_0" localSheetId="50">'301'!$P$61</definedName>
    <definedName name="OSRRefP22_12x_0" localSheetId="55">'308'!$P$112:$P$113</definedName>
    <definedName name="OSRRefP22_12x_0" localSheetId="67">'309'!$P$62:$P$68</definedName>
    <definedName name="OSRRefP22_12x_0" localSheetId="66">'310'!$P$72</definedName>
    <definedName name="OSRRefP22_12x_0" localSheetId="74">'310 &amp; 491'!$P$85</definedName>
    <definedName name="OSRRefP22_12x_0" localSheetId="56">'311'!$P$110:$P$111</definedName>
    <definedName name="OSRRefP22_12x_0" localSheetId="68">'313'!$P$72:$P$77</definedName>
    <definedName name="OSRRefP22_12x_0" localSheetId="59">'315'!$P$99:$P$103</definedName>
    <definedName name="OSRRefP22_12x_0" localSheetId="62">'316'!$P$75</definedName>
    <definedName name="OSRRefP22_12x_0" localSheetId="65">'317'!$P$96:$P$97</definedName>
    <definedName name="OSRRefP22_12x_0" localSheetId="69">'321'!$P$67</definedName>
    <definedName name="OSRRefP22_12x_0" localSheetId="70">'322'!$P$60:$P$62</definedName>
    <definedName name="OSRRefP22_12x_0" localSheetId="71">'325'!$P$63:$P$66</definedName>
    <definedName name="OSRRefP22_12x_0" localSheetId="60">'326'!$P$97</definedName>
    <definedName name="OSRRefP22_12x_0" localSheetId="52">'330'!$P$125:$P$126</definedName>
    <definedName name="OSRRefP22_12x_0" localSheetId="58">'331'!$P$114</definedName>
    <definedName name="OSRRefP22_12x_0" localSheetId="61">'332'!$P$88</definedName>
    <definedName name="OSRRefP22_12x_0" localSheetId="76">'405'!$P$61:$P$63</definedName>
    <definedName name="OSRRefP22_12x_0" localSheetId="77">'406'!$P$68</definedName>
    <definedName name="OSRRefP22_12x_0" localSheetId="78">'411'!$P$59:$P$62</definedName>
    <definedName name="OSRRefP22_12x_0" localSheetId="79">'412'!$P$65:$P$72</definedName>
    <definedName name="OSRRefP22_12x_0" localSheetId="81">'413'!$P$68</definedName>
    <definedName name="OSRRefP22_12x_0" localSheetId="82">'414'!$P$61</definedName>
    <definedName name="OSRRefP22_12x_0" localSheetId="83">'415'!$P$64:$P$68</definedName>
    <definedName name="OSRRefP22_12x_0" localSheetId="84">'418'!$P$64:$P$66</definedName>
    <definedName name="OSRRefP22_12x_0" localSheetId="86">'424'!$P$57:$P$63</definedName>
    <definedName name="OSRRefP22_12x_0" localSheetId="87">'425'!$P$68:$P$74</definedName>
    <definedName name="OSRRefP22_12x_0" localSheetId="91">'433'!$P$67:$P$74</definedName>
    <definedName name="OSRRefP22_12x_0" localSheetId="93">'444'!$P$64:$P$66</definedName>
    <definedName name="OSRRefP22_12x_0" localSheetId="95">'450'!$P$62:$P$64</definedName>
    <definedName name="OSRRefP22_12x_0" localSheetId="75">'491'!$P$75</definedName>
    <definedName name="OSRRefP22_12x_0" localSheetId="89">'492'!$P$66</definedName>
    <definedName name="OSRRefP22_12x_0" localSheetId="97">'501'!$P$60:$P$63</definedName>
    <definedName name="OSRRefP22_12x_0" localSheetId="39">'Div 2'!$P$61:$P$64</definedName>
    <definedName name="OSRRefP22_12x_0" localSheetId="47">'Div 3'!$P$221</definedName>
    <definedName name="OSRRefP22_12x_0" localSheetId="73">'Div 4'!$P$76</definedName>
    <definedName name="OSRRefP22_12x_0" localSheetId="96">'Div 5'!$P$60:$P$63</definedName>
    <definedName name="OSRRefP22_12x_0" localSheetId="64">'Div 6'!$P$96:$P$97</definedName>
    <definedName name="OSRRefP22_12x_0" localSheetId="2">Summary!$P$259</definedName>
    <definedName name="OSRRefP22_13x_0" localSheetId="41">'201'!$P$60:$P$63</definedName>
    <definedName name="OSRRefP22_13x_0" localSheetId="42">'202'!$P$60:$P$62</definedName>
    <definedName name="OSRRefP22_13x_0" localSheetId="43">'203'!$P$65</definedName>
    <definedName name="OSRRefP22_13x_0" localSheetId="48">'300'!$P$218</definedName>
    <definedName name="OSRRefP22_13x_0" localSheetId="49">'300 &amp; 317'!$P$244</definedName>
    <definedName name="OSRRefP22_13x_0" localSheetId="50">'301'!$P$63</definedName>
    <definedName name="OSRRefP22_13x_0" localSheetId="55">'308'!$P$115</definedName>
    <definedName name="OSRRefP22_13x_0" localSheetId="67">'309'!$P$70</definedName>
    <definedName name="OSRRefP22_13x_0" localSheetId="66">'310'!$P$74</definedName>
    <definedName name="OSRRefP22_13x_0" localSheetId="74">'310 &amp; 491'!$P$87</definedName>
    <definedName name="OSRRefP22_13x_0" localSheetId="56">'311'!$P$113</definedName>
    <definedName name="OSRRefP22_13x_0" localSheetId="68">'313'!$P$79</definedName>
    <definedName name="OSRRefP22_13x_0" localSheetId="59">'315'!$P$105</definedName>
    <definedName name="OSRRefP22_13x_0" localSheetId="65">'317'!$P$99</definedName>
    <definedName name="OSRRefP22_13x_0" localSheetId="69">'321'!$P$69</definedName>
    <definedName name="OSRRefP22_13x_0" localSheetId="70">'322'!$P$64</definedName>
    <definedName name="OSRRefP22_13x_0" localSheetId="71">'325'!$P$68:$P$69</definedName>
    <definedName name="OSRRefP22_13x_0" localSheetId="60">'326'!$P$99:$P$100</definedName>
    <definedName name="OSRRefP22_13x_0" localSheetId="52">'330'!$P$128</definedName>
    <definedName name="OSRRefP22_13x_0" localSheetId="58">'331'!$P$116</definedName>
    <definedName name="OSRRefP22_13x_0" localSheetId="61">'332'!$P$90</definedName>
    <definedName name="OSRRefP22_13x_0" localSheetId="76">'405'!$P$65:$P$66</definedName>
    <definedName name="OSRRefP22_13x_0" localSheetId="77">'406'!$P$70</definedName>
    <definedName name="OSRRefP22_13x_0" localSheetId="78">'411'!$P$64:$P$68</definedName>
    <definedName name="OSRRefP22_13x_0" localSheetId="79">'412'!$P$74</definedName>
    <definedName name="OSRRefP22_13x_0" localSheetId="81">'413'!$P$70</definedName>
    <definedName name="OSRRefP22_13x_0" localSheetId="82">'414'!$P$63:$P$69</definedName>
    <definedName name="OSRRefP22_13x_0" localSheetId="83">'415'!$P$70:$P$71</definedName>
    <definedName name="OSRRefP22_13x_0" localSheetId="84">'418'!$P$68:$P$69</definedName>
    <definedName name="OSRRefP22_13x_0" localSheetId="86">'424'!$P$65</definedName>
    <definedName name="OSRRefP22_13x_0" localSheetId="87">'425'!$P$76</definedName>
    <definedName name="OSRRefP22_13x_0" localSheetId="91">'433'!$P$76</definedName>
    <definedName name="OSRRefP22_13x_0" localSheetId="93">'444'!$P$68:$P$75</definedName>
    <definedName name="OSRRefP22_13x_0" localSheetId="95">'450'!$P$66:$P$68</definedName>
    <definedName name="OSRRefP22_13x_0" localSheetId="75">'491'!$P$77</definedName>
    <definedName name="OSRRefP22_13x_0" localSheetId="89">'492'!$P$68:$P$70</definedName>
    <definedName name="OSRRefP22_13x_0" localSheetId="97">'501'!$P$65</definedName>
    <definedName name="OSRRefP22_13x_0" localSheetId="39">'Div 2'!$P$66:$P$69</definedName>
    <definedName name="OSRRefP22_13x_0" localSheetId="47">'Div 3'!$P$223</definedName>
    <definedName name="OSRRefP22_13x_0" localSheetId="73">'Div 4'!$P$78</definedName>
    <definedName name="OSRRefP22_13x_0" localSheetId="96">'Div 5'!$P$65</definedName>
    <definedName name="OSRRefP22_13x_0" localSheetId="64">'Div 6'!$P$99</definedName>
    <definedName name="OSRRefP22_13x_0" localSheetId="2">Summary!$P$261</definedName>
    <definedName name="OSRRefP22_14x_0" localSheetId="41">'201'!$P$65</definedName>
    <definedName name="OSRRefP22_14x_0" localSheetId="42">'202'!$P$64</definedName>
    <definedName name="OSRRefP22_14x_0" localSheetId="43">'203'!$P$67</definedName>
    <definedName name="OSRRefP22_14x_0" localSheetId="48">'300'!$P$220</definedName>
    <definedName name="OSRRefP22_14x_0" localSheetId="49">'300 &amp; 317'!$P$246</definedName>
    <definedName name="OSRRefP22_14x_0" localSheetId="50">'301'!$P$65</definedName>
    <definedName name="OSRRefP22_14x_0" localSheetId="55">'308'!$P$117</definedName>
    <definedName name="OSRRefP22_14x_0" localSheetId="66">'310'!$P$76:$P$78</definedName>
    <definedName name="OSRRefP22_14x_0" localSheetId="74">'310 &amp; 491'!$P$89</definedName>
    <definedName name="OSRRefP22_14x_0" localSheetId="56">'311'!$P$115</definedName>
    <definedName name="OSRRefP22_14x_0" localSheetId="68">'313'!$P$81</definedName>
    <definedName name="OSRRefP22_14x_0" localSheetId="59">'315'!$P$107</definedName>
    <definedName name="OSRRefP22_14x_0" localSheetId="65">'317'!$P$101</definedName>
    <definedName name="OSRRefP22_14x_0" localSheetId="70">'322'!$P$66:$P$72</definedName>
    <definedName name="OSRRefP22_14x_0" localSheetId="71">'325'!$P$71:$P$76</definedName>
    <definedName name="OSRRefP22_14x_0" localSheetId="60">'326'!$P$102:$P$104</definedName>
    <definedName name="OSRRefP22_14x_0" localSheetId="52">'330'!$P$130:$P$132</definedName>
    <definedName name="OSRRefP22_14x_0" localSheetId="58">'331'!$P$118:$P$120</definedName>
    <definedName name="OSRRefP22_14x_0" localSheetId="76">'405'!$P$68:$P$74</definedName>
    <definedName name="OSRRefP22_14x_0" localSheetId="77">'406'!$P$72:$P$73</definedName>
    <definedName name="OSRRefP22_14x_0" localSheetId="78">'411'!$P$70:$P$71</definedName>
    <definedName name="OSRRefP22_14x_0" localSheetId="79">'412'!$P$76</definedName>
    <definedName name="OSRRefP22_14x_0" localSheetId="82">'414'!$P$71</definedName>
    <definedName name="OSRRefP22_14x_0" localSheetId="83">'415'!$P$73:$P$80</definedName>
    <definedName name="OSRRefP22_14x_0" localSheetId="84">'418'!$P$71:$P$78</definedName>
    <definedName name="OSRRefP22_14x_0" localSheetId="87">'425'!$P$78</definedName>
    <definedName name="OSRRefP22_14x_0" localSheetId="91">'433'!$P$78</definedName>
    <definedName name="OSRRefP22_14x_0" localSheetId="93">'444'!$P$77</definedName>
    <definedName name="OSRRefP22_14x_0" localSheetId="95">'450'!$P$70:$P$76</definedName>
    <definedName name="OSRRefP22_14x_0" localSheetId="75">'491'!$P$79</definedName>
    <definedName name="OSRRefP22_14x_0" localSheetId="89">'492'!$P$72:$P$74</definedName>
    <definedName name="OSRRefP22_14x_0" localSheetId="97">'501'!$P$67</definedName>
    <definedName name="OSRRefP22_14x_0" localSheetId="39">'Div 2'!$P$71:$P$72</definedName>
    <definedName name="OSRRefP22_14x_0" localSheetId="47">'Div 3'!$P$225</definedName>
    <definedName name="OSRRefP22_14x_0" localSheetId="73">'Div 4'!$P$80</definedName>
    <definedName name="OSRRefP22_14x_0" localSheetId="96">'Div 5'!$P$67</definedName>
    <definedName name="OSRRefP22_14x_0" localSheetId="64">'Div 6'!$P$101</definedName>
    <definedName name="OSRRefP22_14x_0" localSheetId="2">Summary!$P$263</definedName>
    <definedName name="OSRRefP22_15x_0" localSheetId="41">'201'!$P$67</definedName>
    <definedName name="OSRRefP22_15x_0" localSheetId="42">'202'!$P$66</definedName>
    <definedName name="OSRRefP22_15x_0" localSheetId="43">'203'!$P$69</definedName>
    <definedName name="OSRRefP22_15x_0" localSheetId="48">'300'!$P$222</definedName>
    <definedName name="OSRRefP22_15x_0" localSheetId="49">'300 &amp; 317'!$P$248</definedName>
    <definedName name="OSRRefP22_15x_0" localSheetId="50">'301'!$P$67:$P$70</definedName>
    <definedName name="OSRRefP22_15x_0" localSheetId="66">'310'!$P$80</definedName>
    <definedName name="OSRRefP22_15x_0" localSheetId="74">'310 &amp; 491'!$P$91</definedName>
    <definedName name="OSRRefP22_15x_0" localSheetId="59">'315'!$P$109:$P$110</definedName>
    <definedName name="OSRRefP22_15x_0" localSheetId="65">'317'!$P$103:$P$104</definedName>
    <definedName name="OSRRefP22_15x_0" localSheetId="70">'322'!$P$74</definedName>
    <definedName name="OSRRefP22_15x_0" localSheetId="71">'325'!$P$78</definedName>
    <definedName name="OSRRefP22_15x_0" localSheetId="60">'326'!$P$106:$P$107</definedName>
    <definedName name="OSRRefP22_15x_0" localSheetId="52">'330'!$P$134</definedName>
    <definedName name="OSRRefP22_15x_0" localSheetId="58">'331'!$P$122:$P$123</definedName>
    <definedName name="OSRRefP22_15x_0" localSheetId="76">'405'!$P$76</definedName>
    <definedName name="OSRRefP22_15x_0" localSheetId="78">'411'!$P$73:$P$81</definedName>
    <definedName name="OSRRefP22_15x_0" localSheetId="82">'414'!$P$73</definedName>
    <definedName name="OSRRefP22_15x_0" localSheetId="83">'415'!$P$82</definedName>
    <definedName name="OSRRefP22_15x_0" localSheetId="84">'418'!$P$80</definedName>
    <definedName name="OSRRefP22_15x_0" localSheetId="87">'425'!$P$80</definedName>
    <definedName name="OSRRefP22_15x_0" localSheetId="91">'433'!$P$80:$P$81</definedName>
    <definedName name="OSRRefP22_15x_0" localSheetId="93">'444'!$P$79</definedName>
    <definedName name="OSRRefP22_15x_0" localSheetId="95">'450'!$P$78</definedName>
    <definedName name="OSRRefP22_15x_0" localSheetId="75">'491'!$P$81</definedName>
    <definedName name="OSRRefP22_15x_0" localSheetId="89">'492'!$P$76:$P$84</definedName>
    <definedName name="OSRRefP22_15x_0" localSheetId="39">'Div 2'!$P$74:$P$75</definedName>
    <definedName name="OSRRefP22_15x_0" localSheetId="47">'Div 3'!$P$227</definedName>
    <definedName name="OSRRefP22_15x_0" localSheetId="73">'Div 4'!$P$82</definedName>
    <definedName name="OSRRefP22_15x_0" localSheetId="64">'Div 6'!$P$103:$P$104</definedName>
    <definedName name="OSRRefP22_15x_0" localSheetId="2">Summary!$P$265</definedName>
    <definedName name="OSRRefP22_16x_0" localSheetId="41">'201'!$P$69:$P$70</definedName>
    <definedName name="OSRRefP22_16x_0" localSheetId="42">'202'!$P$68</definedName>
    <definedName name="OSRRefP22_16x_0" localSheetId="48">'300'!$P$224:$P$227</definedName>
    <definedName name="OSRRefP22_16x_0" localSheetId="49">'300 &amp; 317'!$P$250:$P$253</definedName>
    <definedName name="OSRRefP22_16x_0" localSheetId="50">'301'!$P$72</definedName>
    <definedName name="OSRRefP22_16x_0" localSheetId="66">'310'!$P$82:$P$85</definedName>
    <definedName name="OSRRefP22_16x_0" localSheetId="74">'310 &amp; 491'!$P$93:$P$96</definedName>
    <definedName name="OSRRefP22_16x_0" localSheetId="70">'322'!$P$76</definedName>
    <definedName name="OSRRefP22_16x_0" localSheetId="71">'325'!$P$80</definedName>
    <definedName name="OSRRefP22_16x_0" localSheetId="60">'326'!$P$109:$P$113</definedName>
    <definedName name="OSRRefP22_16x_0" localSheetId="52">'330'!$P$136</definedName>
    <definedName name="OSRRefP22_16x_0" localSheetId="58">'331'!$P$125:$P$127</definedName>
    <definedName name="OSRRefP22_16x_0" localSheetId="76">'405'!$P$78</definedName>
    <definedName name="OSRRefP22_16x_0" localSheetId="78">'411'!$P$83</definedName>
    <definedName name="OSRRefP22_16x_0" localSheetId="83">'415'!$P$84</definedName>
    <definedName name="OSRRefP22_16x_0" localSheetId="84">'418'!$P$82</definedName>
    <definedName name="OSRRefP22_16x_0" localSheetId="93">'444'!$P$81</definedName>
    <definedName name="OSRRefP22_16x_0" localSheetId="95">'450'!$P$80</definedName>
    <definedName name="OSRRefP22_16x_0" localSheetId="75">'491'!$P$83:$P$86</definedName>
    <definedName name="OSRRefP22_16x_0" localSheetId="89">'492'!$P$86</definedName>
    <definedName name="OSRRefP22_16x_0" localSheetId="39">'Div 2'!$P$77:$P$81</definedName>
    <definedName name="OSRRefP22_16x_0" localSheetId="47">'Div 3'!$P$229</definedName>
    <definedName name="OSRRefP22_16x_0" localSheetId="73">'Div 4'!$P$84</definedName>
    <definedName name="OSRRefP22_16x_0" localSheetId="2">Summary!$P$267</definedName>
    <definedName name="OSRRefP22_17x_0" localSheetId="48">'300'!$P$229:$P$231</definedName>
    <definedName name="OSRRefP22_17x_0" localSheetId="49">'300 &amp; 317'!$P$255:$P$257</definedName>
    <definedName name="OSRRefP22_17x_0" localSheetId="50">'301'!$P$74:$P$76</definedName>
    <definedName name="OSRRefP22_17x_0" localSheetId="66">'310'!$P$87:$P$88</definedName>
    <definedName name="OSRRefP22_17x_0" localSheetId="74">'310 &amp; 491'!$P$98:$P$99</definedName>
    <definedName name="OSRRefP22_17x_0" localSheetId="70">'322'!$P$78</definedName>
    <definedName name="OSRRefP22_17x_0" localSheetId="71">'325'!$P$82</definedName>
    <definedName name="OSRRefP22_17x_0" localSheetId="60">'326'!$P$115</definedName>
    <definedName name="OSRRefP22_17x_0" localSheetId="52">'330'!$P$138</definedName>
    <definedName name="OSRRefP22_17x_0" localSheetId="58">'331'!$P$129:$P$130</definedName>
    <definedName name="OSRRefP22_17x_0" localSheetId="76">'405'!$P$80</definedName>
    <definedName name="OSRRefP22_17x_0" localSheetId="78">'411'!$P$85</definedName>
    <definedName name="OSRRefP22_17x_0" localSheetId="83">'415'!$P$86</definedName>
    <definedName name="OSRRefP22_17x_0" localSheetId="95">'450'!$P$82:$P$83</definedName>
    <definedName name="OSRRefP22_17x_0" localSheetId="75">'491'!$P$88:$P$89</definedName>
    <definedName name="OSRRefP22_17x_0" localSheetId="89">'492'!$P$88</definedName>
    <definedName name="OSRRefP22_17x_0" localSheetId="39">'Div 2'!$P$83:$P$84</definedName>
    <definedName name="OSRRefP22_17x_0" localSheetId="47">'Div 3'!$P$231:$P$234</definedName>
    <definedName name="OSRRefP22_17x_0" localSheetId="73">'Div 4'!$P$86:$P$89</definedName>
    <definedName name="OSRRefP22_17x_0" localSheetId="2">Summary!$P$269</definedName>
    <definedName name="OSRRefP22_18x_0" localSheetId="48">'300'!$P$233:$P$236</definedName>
    <definedName name="OSRRefP22_18x_0" localSheetId="49">'300 &amp; 317'!$P$259:$P$262</definedName>
    <definedName name="OSRRefP22_18x_0" localSheetId="50">'301'!$P$78:$P$79</definedName>
    <definedName name="OSRRefP22_18x_0" localSheetId="66">'310'!$P$90:$P$97</definedName>
    <definedName name="OSRRefP22_18x_0" localSheetId="74">'310 &amp; 491'!$P$101:$P$105</definedName>
    <definedName name="OSRRefP22_18x_0" localSheetId="60">'326'!$P$117</definedName>
    <definedName name="OSRRefP22_18x_0" localSheetId="58">'331'!$P$132:$P$137</definedName>
    <definedName name="OSRRefP22_18x_0" localSheetId="76">'405'!$P$82</definedName>
    <definedName name="OSRRefP22_18x_0" localSheetId="78">'411'!$P$87:$P$89</definedName>
    <definedName name="OSRRefP22_18x_0" localSheetId="83">'415'!$P$88</definedName>
    <definedName name="OSRRefP22_18x_0" localSheetId="75">'491'!$P$91:$P$95</definedName>
    <definedName name="OSRRefP22_18x_0" localSheetId="89">'492'!$P$90:$P$91</definedName>
    <definedName name="OSRRefP22_18x_0" localSheetId="39">'Div 2'!$P$86</definedName>
    <definedName name="OSRRefP22_18x_0" localSheetId="47">'Div 3'!$P$236:$P$238</definedName>
    <definedName name="OSRRefP22_18x_0" localSheetId="73">'Div 4'!$P$91:$P$92</definedName>
    <definedName name="OSRRefP22_18x_0" localSheetId="2">Summary!$P$271:$P$274</definedName>
    <definedName name="OSRRefP22_19x_0" localSheetId="48">'300'!$P$238:$P$239</definedName>
    <definedName name="OSRRefP22_19x_0" localSheetId="49">'300 &amp; 317'!$P$264:$P$265</definedName>
    <definedName name="OSRRefP22_19x_0" localSheetId="50">'301'!$P$81:$P$87</definedName>
    <definedName name="OSRRefP22_19x_0" localSheetId="66">'310'!$P$99</definedName>
    <definedName name="OSRRefP22_19x_0" localSheetId="74">'310 &amp; 491'!$P$107:$P$108</definedName>
    <definedName name="OSRRefP22_19x_0" localSheetId="60">'326'!$P$119</definedName>
    <definedName name="OSRRefP22_19x_0" localSheetId="58">'331'!$P$139</definedName>
    <definedName name="OSRRefP22_19x_0" localSheetId="78">'411'!$P$91</definedName>
    <definedName name="OSRRefP22_19x_0" localSheetId="75">'491'!$P$97:$P$98</definedName>
    <definedName name="OSRRefP22_19x_0" localSheetId="39">'Div 2'!$P$88:$P$89</definedName>
    <definedName name="OSRRefP22_19x_0" localSheetId="47">'Div 3'!$P$240:$P$244</definedName>
    <definedName name="OSRRefP22_19x_0" localSheetId="73">'Div 4'!$P$94:$P$98</definedName>
    <definedName name="OSRRefP22_19x_0" localSheetId="2">Summary!$P$276:$P$278</definedName>
    <definedName name="OSRRefP22_1x_0" localSheetId="40">'200'!$P$22</definedName>
    <definedName name="OSRRefP22_1x_0" localSheetId="41">'201'!$P$30:$P$32</definedName>
    <definedName name="OSRRefP22_1x_0" localSheetId="42">'202'!$P$29:$P$34</definedName>
    <definedName name="OSRRefP22_1x_0" localSheetId="43">'203'!$P$31:$P$35</definedName>
    <definedName name="OSRRefP22_1x_0" localSheetId="44">'204'!$P$31:$P$36</definedName>
    <definedName name="OSRRefP22_1x_0" localSheetId="45">'205'!$P$29</definedName>
    <definedName name="OSRRefP22_1x_0" localSheetId="46">'206'!$P$29:$P$34</definedName>
    <definedName name="OSRRefP22_1x_0" localSheetId="48">'300'!$P$184:$P$190</definedName>
    <definedName name="OSRRefP22_1x_0" localSheetId="49">'300 &amp; 317'!$P$210:$P$216</definedName>
    <definedName name="OSRRefP22_1x_0" localSheetId="50">'301'!$P$30:$P$36</definedName>
    <definedName name="OSRRefP22_1x_0" localSheetId="53">'307'!$P$29:$P$31</definedName>
    <definedName name="OSRRefP22_1x_0" localSheetId="55">'308'!$P$78:$P$82</definedName>
    <definedName name="OSRRefP22_1x_0" localSheetId="67">'309'!$P$33:$P$37</definedName>
    <definedName name="OSRRefP22_1x_0" localSheetId="66">'310'!$P$43:$P$48</definedName>
    <definedName name="OSRRefP22_1x_0" localSheetId="74">'310 &amp; 491'!$P$53:$P$59</definedName>
    <definedName name="OSRRefP22_1x_0" localSheetId="56">'311'!$P$76:$P$80</definedName>
    <definedName name="OSRRefP22_1x_0" localSheetId="68">'313'!$P$40:$P$45</definedName>
    <definedName name="OSRRefP22_1x_0" localSheetId="54">'314'!$P$66:$P$69</definedName>
    <definedName name="OSRRefP22_1x_0" localSheetId="59">'315'!$P$66:$P$71</definedName>
    <definedName name="OSRRefP22_1x_0" localSheetId="62">'316'!$P$44:$P$47</definedName>
    <definedName name="OSRRefP22_1x_0" localSheetId="65">'317'!$P$69:$P$73</definedName>
    <definedName name="OSRRefP22_1x_0" localSheetId="63">'320'!$P$40:$P$45</definedName>
    <definedName name="OSRRefP22_1x_0" localSheetId="69">'321'!$P$32:$P$36</definedName>
    <definedName name="OSRRefP22_1x_0" localSheetId="70">'322'!$P$33:$P$37</definedName>
    <definedName name="OSRRefP22_1x_0" localSheetId="71">'325'!$P$33:$P$38</definedName>
    <definedName name="OSRRefP22_1x_0" localSheetId="60">'326'!$P$71:$P$75</definedName>
    <definedName name="OSRRefP22_1x_0" localSheetId="72">'327'!$P$24</definedName>
    <definedName name="OSRRefP22_1x_0" localSheetId="52">'330'!$P$97:$P$101</definedName>
    <definedName name="OSRRefP22_1x_0" localSheetId="58">'331'!$P$85:$P$90</definedName>
    <definedName name="OSRRefP22_1x_0" localSheetId="61">'332'!$P$55:$P$60</definedName>
    <definedName name="OSRRefP22_1x_0" localSheetId="76">'405'!$P$33:$P$37</definedName>
    <definedName name="OSRRefP22_1x_0" localSheetId="77">'406'!$P$33:$P$38</definedName>
    <definedName name="OSRRefP22_1x_0" localSheetId="78">'411'!$P$30:$P$35</definedName>
    <definedName name="OSRRefP22_1x_0" localSheetId="79">'412'!$P$34:$P$39</definedName>
    <definedName name="OSRRefP22_1x_0" localSheetId="81">'413'!$P$33:$P$38</definedName>
    <definedName name="OSRRefP22_1x_0" localSheetId="82">'414'!$P$33:$P$38</definedName>
    <definedName name="OSRRefP22_1x_0" localSheetId="83">'415'!$P$33:$P$38</definedName>
    <definedName name="OSRRefP22_1x_0" localSheetId="84">'418'!$P$33:$P$38</definedName>
    <definedName name="OSRRefP22_1x_0" localSheetId="80">'420'!$P$33:$P$36</definedName>
    <definedName name="OSRRefP22_1x_0" localSheetId="85">'423'!$P$30:$P$31</definedName>
    <definedName name="OSRRefP22_1x_0" localSheetId="86">'424'!$P$30:$P$34</definedName>
    <definedName name="OSRRefP22_1x_0" localSheetId="87">'425'!$P$37:$P$42</definedName>
    <definedName name="OSRRefP22_1x_0" localSheetId="90">'430'!$P$29</definedName>
    <definedName name="OSRRefP22_1x_0" localSheetId="91">'433'!$P$36:$P$41</definedName>
    <definedName name="OSRRefP22_1x_0" localSheetId="92">'435'!$P$29:$P$31</definedName>
    <definedName name="OSRRefP22_1x_0" localSheetId="93">'444'!$P$35:$P$40</definedName>
    <definedName name="OSRRefP22_1x_0" localSheetId="95">'450'!$P$35:$P$40</definedName>
    <definedName name="OSRRefP22_1x_0" localSheetId="88">'455'!$P$28:$P$29</definedName>
    <definedName name="OSRRefP22_1x_0" localSheetId="75">'491'!$P$44:$P$50</definedName>
    <definedName name="OSRRefP22_1x_0" localSheetId="89">'492'!$P$38:$P$44</definedName>
    <definedName name="OSRRefP22_1x_0" localSheetId="97">'501'!$P$30:$P$35</definedName>
    <definedName name="OSRRefP22_1x_0" localSheetId="39">'Div 2'!$P$32:$P$38</definedName>
    <definedName name="OSRRefP22_1x_0" localSheetId="47">'Div 3'!$P$189:$P$195</definedName>
    <definedName name="OSRRefP22_1x_0" localSheetId="73">'Div 4'!$P$45:$P$51</definedName>
    <definedName name="OSRRefP22_1x_0" localSheetId="96">'Div 5'!$P$30:$P$35</definedName>
    <definedName name="OSRRefP22_1x_0" localSheetId="64">'Div 6'!$P$69:$P$73</definedName>
    <definedName name="OSRRefP22_1x_0" localSheetId="2">Summary!$P$225:$P$231</definedName>
    <definedName name="OSRRefP22_20x_0" localSheetId="48">'300'!$P$241:$P$248</definedName>
    <definedName name="OSRRefP22_20x_0" localSheetId="49">'300 &amp; 317'!$P$267:$P$274</definedName>
    <definedName name="OSRRefP22_20x_0" localSheetId="50">'301'!$P$89</definedName>
    <definedName name="OSRRefP22_20x_0" localSheetId="66">'310'!$P$101</definedName>
    <definedName name="OSRRefP22_20x_0" localSheetId="74">'310 &amp; 491'!$P$110:$P$119</definedName>
    <definedName name="OSRRefP22_20x_0" localSheetId="60">'326'!$P$121</definedName>
    <definedName name="OSRRefP22_20x_0" localSheetId="58">'331'!$P$141</definedName>
    <definedName name="OSRRefP22_20x_0" localSheetId="75">'491'!$P$100:$P$109</definedName>
    <definedName name="OSRRefP22_20x_0" localSheetId="47">'Div 3'!$P$246:$P$247</definedName>
    <definedName name="OSRRefP22_20x_0" localSheetId="73">'Div 4'!$P$100:$P$101</definedName>
    <definedName name="OSRRefP22_20x_0" localSheetId="2">Summary!$P$280:$P$284</definedName>
    <definedName name="OSRRefP22_21x_0" localSheetId="48">'300'!$P$250:$P$251</definedName>
    <definedName name="OSRRefP22_21x_0" localSheetId="49">'300 &amp; 317'!$P$276:$P$277</definedName>
    <definedName name="OSRRefP22_21x_0" localSheetId="50">'301'!$P$91</definedName>
    <definedName name="OSRRefP22_21x_0" localSheetId="66">'310'!$P$103</definedName>
    <definedName name="OSRRefP22_21x_0" localSheetId="74">'310 &amp; 491'!$P$121</definedName>
    <definedName name="OSRRefP22_21x_0" localSheetId="58">'331'!$P$143:$P$144</definedName>
    <definedName name="OSRRefP22_21x_0" localSheetId="75">'491'!$P$111</definedName>
    <definedName name="OSRRefP22_21x_0" localSheetId="47">'Div 3'!$P$249:$P$257</definedName>
    <definedName name="OSRRefP22_21x_0" localSheetId="73">'Div 4'!$P$103:$P$112</definedName>
    <definedName name="OSRRefP22_21x_0" localSheetId="2">Summary!$P$286:$P$287</definedName>
    <definedName name="OSRRefP22_22x_0" localSheetId="48">'300'!$P$253</definedName>
    <definedName name="OSRRefP22_22x_0" localSheetId="49">'300 &amp; 317'!$P$279</definedName>
    <definedName name="OSRRefP22_22x_0" localSheetId="50">'301'!$P$93:$P$95</definedName>
    <definedName name="OSRRefP22_22x_0" localSheetId="66">'310'!$P$105</definedName>
    <definedName name="OSRRefP22_22x_0" localSheetId="74">'310 &amp; 491'!$P$123</definedName>
    <definedName name="OSRRefP22_22x_0" localSheetId="58">'331'!$P$146</definedName>
    <definedName name="OSRRefP22_22x_0" localSheetId="75">'491'!$P$113</definedName>
    <definedName name="OSRRefP22_22x_0" localSheetId="47">'Div 3'!$P$259:$P$260</definedName>
    <definedName name="OSRRefP22_22x_0" localSheetId="73">'Div 4'!$P$114</definedName>
    <definedName name="OSRRefP22_22x_0" localSheetId="2">Summary!$P$289:$P$298</definedName>
    <definedName name="OSRRefP22_23x_0" localSheetId="48">'300'!$P$255:$P$257</definedName>
    <definedName name="OSRRefP22_23x_0" localSheetId="49">'300 &amp; 317'!$P$281:$P$283</definedName>
    <definedName name="OSRRefP22_23x_0" localSheetId="50">'301'!$P$97</definedName>
    <definedName name="OSRRefP22_23x_0" localSheetId="74">'310 &amp; 491'!$P$125:$P$127</definedName>
    <definedName name="OSRRefP22_23x_0" localSheetId="75">'491'!$P$115:$P$117</definedName>
    <definedName name="OSRRefP22_23x_0" localSheetId="47">'Div 3'!$P$262</definedName>
    <definedName name="OSRRefP22_23x_0" localSheetId="73">'Div 4'!$P$116</definedName>
    <definedName name="OSRRefP22_23x_0" localSheetId="2">Summary!$P$300:$P$301</definedName>
    <definedName name="OSRRefP22_24x_0" localSheetId="48">'300'!$P$259</definedName>
    <definedName name="OSRRefP22_24x_0" localSheetId="49">'300 &amp; 317'!$P$285</definedName>
    <definedName name="OSRRefP22_24x_0" localSheetId="74">'310 &amp; 491'!$P$129</definedName>
    <definedName name="OSRRefP22_24x_0" localSheetId="75">'491'!$P$119</definedName>
    <definedName name="OSRRefP22_24x_0" localSheetId="47">'Div 3'!$P$264:$P$266</definedName>
    <definedName name="OSRRefP22_24x_0" localSheetId="73">'Div 4'!$P$118:$P$120</definedName>
    <definedName name="OSRRefP22_24x_0" localSheetId="2">Summary!$P$303</definedName>
    <definedName name="OSRRefP22_25x_0" localSheetId="47">'Div 3'!$P$268</definedName>
    <definedName name="OSRRefP22_25x_0" localSheetId="73">'Div 4'!$P$122</definedName>
    <definedName name="OSRRefP22_25x_0" localSheetId="2">Summary!$P$305:$P$307</definedName>
    <definedName name="OSRRefP22_26x_0" localSheetId="2">Summary!$P$309</definedName>
    <definedName name="OSRRefP22_2x_0" localSheetId="40">'200'!$P$24</definedName>
    <definedName name="OSRRefP22_2x_0" localSheetId="41">'201'!$P$34</definedName>
    <definedName name="OSRRefP22_2x_0" localSheetId="42">'202'!$P$36</definedName>
    <definedName name="OSRRefP22_2x_0" localSheetId="43">'203'!$P$37</definedName>
    <definedName name="OSRRefP22_2x_0" localSheetId="44">'204'!$P$38</definedName>
    <definedName name="OSRRefP22_2x_0" localSheetId="45">'205'!$P$31</definedName>
    <definedName name="OSRRefP22_2x_0" localSheetId="46">'206'!$P$36</definedName>
    <definedName name="OSRRefP22_2x_0" localSheetId="48">'300'!$P$192</definedName>
    <definedName name="OSRRefP22_2x_0" localSheetId="49">'300 &amp; 317'!$P$218</definedName>
    <definedName name="OSRRefP22_2x_0" localSheetId="50">'301'!$P$38</definedName>
    <definedName name="OSRRefP22_2x_0" localSheetId="53">'307'!$P$33</definedName>
    <definedName name="OSRRefP22_2x_0" localSheetId="55">'308'!$P$84</definedName>
    <definedName name="OSRRefP22_2x_0" localSheetId="67">'309'!$P$39</definedName>
    <definedName name="OSRRefP22_2x_0" localSheetId="66">'310'!$P$50</definedName>
    <definedName name="OSRRefP22_2x_0" localSheetId="74">'310 &amp; 491'!$P$61</definedName>
    <definedName name="OSRRefP22_2x_0" localSheetId="56">'311'!$P$82</definedName>
    <definedName name="OSRRefP22_2x_0" localSheetId="68">'313'!$P$47</definedName>
    <definedName name="OSRRefP22_2x_0" localSheetId="54">'314'!$P$71</definedName>
    <definedName name="OSRRefP22_2x_0" localSheetId="59">'315'!$P$73</definedName>
    <definedName name="OSRRefP22_2x_0" localSheetId="62">'316'!$P$49</definedName>
    <definedName name="OSRRefP22_2x_0" localSheetId="65">'317'!$P$75</definedName>
    <definedName name="OSRRefP22_2x_0" localSheetId="63">'320'!$P$47</definedName>
    <definedName name="OSRRefP22_2x_0" localSheetId="69">'321'!$P$38</definedName>
    <definedName name="OSRRefP22_2x_0" localSheetId="70">'322'!$P$39</definedName>
    <definedName name="OSRRefP22_2x_0" localSheetId="71">'325'!$P$40</definedName>
    <definedName name="OSRRefP22_2x_0" localSheetId="60">'326'!$P$77</definedName>
    <definedName name="OSRRefP22_2x_0" localSheetId="72">'327'!$P$26</definedName>
    <definedName name="OSRRefP22_2x_0" localSheetId="52">'330'!$P$103</definedName>
    <definedName name="OSRRefP22_2x_0" localSheetId="58">'331'!$P$92</definedName>
    <definedName name="OSRRefP22_2x_0" localSheetId="61">'332'!$P$62</definedName>
    <definedName name="OSRRefP22_2x_0" localSheetId="76">'405'!$P$39</definedName>
    <definedName name="OSRRefP22_2x_0" localSheetId="77">'406'!$P$40</definedName>
    <definedName name="OSRRefP22_2x_0" localSheetId="78">'411'!$P$37</definedName>
    <definedName name="OSRRefP22_2x_0" localSheetId="79">'412'!$P$41</definedName>
    <definedName name="OSRRefP22_2x_0" localSheetId="81">'413'!$P$40</definedName>
    <definedName name="OSRRefP22_2x_0" localSheetId="82">'414'!$P$40</definedName>
    <definedName name="OSRRefP22_2x_0" localSheetId="83">'415'!$P$40</definedName>
    <definedName name="OSRRefP22_2x_0" localSheetId="84">'418'!$P$40</definedName>
    <definedName name="OSRRefP22_2x_0" localSheetId="80">'420'!$P$38</definedName>
    <definedName name="OSRRefP22_2x_0" localSheetId="85">'423'!$P$33</definedName>
    <definedName name="OSRRefP22_2x_0" localSheetId="86">'424'!$P$36</definedName>
    <definedName name="OSRRefP22_2x_0" localSheetId="87">'425'!$P$44</definedName>
    <definedName name="OSRRefP22_2x_0" localSheetId="90">'430'!$P$31</definedName>
    <definedName name="OSRRefP22_2x_0" localSheetId="91">'433'!$P$43</definedName>
    <definedName name="OSRRefP22_2x_0" localSheetId="92">'435'!$P$33</definedName>
    <definedName name="OSRRefP22_2x_0" localSheetId="93">'444'!$P$42</definedName>
    <definedName name="OSRRefP22_2x_0" localSheetId="95">'450'!$P$42</definedName>
    <definedName name="OSRRefP22_2x_0" localSheetId="88">'455'!$P$31</definedName>
    <definedName name="OSRRefP22_2x_0" localSheetId="75">'491'!$P$52</definedName>
    <definedName name="OSRRefP22_2x_0" localSheetId="89">'492'!$P$46</definedName>
    <definedName name="OSRRefP22_2x_0" localSheetId="97">'501'!$P$37</definedName>
    <definedName name="OSRRefP22_2x_0" localSheetId="39">'Div 2'!$P$40</definedName>
    <definedName name="OSRRefP22_2x_0" localSheetId="47">'Div 3'!$P$197</definedName>
    <definedName name="OSRRefP22_2x_0" localSheetId="73">'Div 4'!$P$53</definedName>
    <definedName name="OSRRefP22_2x_0" localSheetId="96">'Div 5'!$P$37</definedName>
    <definedName name="OSRRefP22_2x_0" localSheetId="64">'Div 6'!$P$75</definedName>
    <definedName name="OSRRefP22_2x_0" localSheetId="2">Summary!$P$233</definedName>
    <definedName name="OSRRefP22_3x_0" localSheetId="40">'200'!$P$26</definedName>
    <definedName name="OSRRefP22_3x_0" localSheetId="41">'201'!$P$36</definedName>
    <definedName name="OSRRefP22_3x_0" localSheetId="42">'202'!$P$38</definedName>
    <definedName name="OSRRefP22_3x_0" localSheetId="43">'203'!$P$39</definedName>
    <definedName name="OSRRefP22_3x_0" localSheetId="44">'204'!$P$40:$P$41</definedName>
    <definedName name="OSRRefP22_3x_0" localSheetId="45">'205'!$P$33</definedName>
    <definedName name="OSRRefP22_3x_0" localSheetId="46">'206'!$P$38</definedName>
    <definedName name="OSRRefP22_3x_0" localSheetId="48">'300'!$P$194:$P$195</definedName>
    <definedName name="OSRRefP22_3x_0" localSheetId="49">'300 &amp; 317'!$P$220:$P$221</definedName>
    <definedName name="OSRRefP22_3x_0" localSheetId="50">'301'!$P$40:$P$41</definedName>
    <definedName name="OSRRefP22_3x_0" localSheetId="53">'307'!$P$35:$P$36</definedName>
    <definedName name="OSRRefP22_3x_0" localSheetId="55">'308'!$P$86:$P$87</definedName>
    <definedName name="OSRRefP22_3x_0" localSheetId="67">'309'!$P$41</definedName>
    <definedName name="OSRRefP22_3x_0" localSheetId="66">'310'!$P$52</definedName>
    <definedName name="OSRRefP22_3x_0" localSheetId="74">'310 &amp; 491'!$P$63</definedName>
    <definedName name="OSRRefP22_3x_0" localSheetId="56">'311'!$P$84:$P$85</definedName>
    <definedName name="OSRRefP22_3x_0" localSheetId="68">'313'!$P$49</definedName>
    <definedName name="OSRRefP22_3x_0" localSheetId="54">'314'!$P$73:$P$74</definedName>
    <definedName name="OSRRefP22_3x_0" localSheetId="59">'315'!$P$75:$P$76</definedName>
    <definedName name="OSRRefP22_3x_0" localSheetId="62">'316'!$P$51</definedName>
    <definedName name="OSRRefP22_3x_0" localSheetId="65">'317'!$P$77</definedName>
    <definedName name="OSRRefP22_3x_0" localSheetId="63">'320'!$P$49</definedName>
    <definedName name="OSRRefP22_3x_0" localSheetId="69">'321'!$P$40</definedName>
    <definedName name="OSRRefP22_3x_0" localSheetId="70">'322'!$P$41</definedName>
    <definedName name="OSRRefP22_3x_0" localSheetId="71">'325'!$P$42</definedName>
    <definedName name="OSRRefP22_3x_0" localSheetId="60">'326'!$P$79</definedName>
    <definedName name="OSRRefP22_3x_0" localSheetId="52">'330'!$P$105</definedName>
    <definedName name="OSRRefP22_3x_0" localSheetId="58">'331'!$P$94</definedName>
    <definedName name="OSRRefP22_3x_0" localSheetId="61">'332'!$P$64</definedName>
    <definedName name="OSRRefP22_3x_0" localSheetId="76">'405'!$P$41</definedName>
    <definedName name="OSRRefP22_3x_0" localSheetId="77">'406'!$P$42</definedName>
    <definedName name="OSRRefP22_3x_0" localSheetId="78">'411'!$P$39</definedName>
    <definedName name="OSRRefP22_3x_0" localSheetId="79">'412'!$P$43</definedName>
    <definedName name="OSRRefP22_3x_0" localSheetId="81">'413'!$P$42</definedName>
    <definedName name="OSRRefP22_3x_0" localSheetId="82">'414'!$P$42</definedName>
    <definedName name="OSRRefP22_3x_0" localSheetId="83">'415'!$P$42</definedName>
    <definedName name="OSRRefP22_3x_0" localSheetId="84">'418'!$P$42</definedName>
    <definedName name="OSRRefP22_3x_0" localSheetId="80">'420'!$P$40</definedName>
    <definedName name="OSRRefP22_3x_0" localSheetId="85">'423'!$P$35</definedName>
    <definedName name="OSRRefP22_3x_0" localSheetId="86">'424'!$P$38</definedName>
    <definedName name="OSRRefP22_3x_0" localSheetId="87">'425'!$P$46</definedName>
    <definedName name="OSRRefP22_3x_0" localSheetId="90">'430'!$P$33</definedName>
    <definedName name="OSRRefP22_3x_0" localSheetId="91">'433'!$P$45</definedName>
    <definedName name="OSRRefP22_3x_0" localSheetId="92">'435'!$P$35</definedName>
    <definedName name="OSRRefP22_3x_0" localSheetId="93">'444'!$P$44</definedName>
    <definedName name="OSRRefP22_3x_0" localSheetId="95">'450'!$P$44</definedName>
    <definedName name="OSRRefP22_3x_0" localSheetId="75">'491'!$P$54</definedName>
    <definedName name="OSRRefP22_3x_0" localSheetId="89">'492'!$P$48</definedName>
    <definedName name="OSRRefP22_3x_0" localSheetId="97">'501'!$P$39</definedName>
    <definedName name="OSRRefP22_3x_0" localSheetId="39">'Div 2'!$P$42</definedName>
    <definedName name="OSRRefP22_3x_0" localSheetId="47">'Div 3'!$P$199:$P$200</definedName>
    <definedName name="OSRRefP22_3x_0" localSheetId="73">'Div 4'!$P$55</definedName>
    <definedName name="OSRRefP22_3x_0" localSheetId="96">'Div 5'!$P$39</definedName>
    <definedName name="OSRRefP22_3x_0" localSheetId="64">'Div 6'!$P$77</definedName>
    <definedName name="OSRRefP22_3x_0" localSheetId="2">Summary!$P$235:$P$236</definedName>
    <definedName name="OSRRefP22_4x_0" localSheetId="40">'200'!$P$28:$P$29</definedName>
    <definedName name="OSRRefP22_4x_0" localSheetId="41">'201'!$P$38</definedName>
    <definedName name="OSRRefP22_4x_0" localSheetId="42">'202'!$P$40</definedName>
    <definedName name="OSRRefP22_4x_0" localSheetId="43">'203'!$P$41</definedName>
    <definedName name="OSRRefP22_4x_0" localSheetId="44">'204'!$P$43</definedName>
    <definedName name="OSRRefP22_4x_0" localSheetId="45">'205'!$P$35:$P$37</definedName>
    <definedName name="OSRRefP22_4x_0" localSheetId="46">'206'!$P$40</definedName>
    <definedName name="OSRRefP22_4x_0" localSheetId="48">'300'!$P$197</definedName>
    <definedName name="OSRRefP22_4x_0" localSheetId="49">'300 &amp; 317'!$P$223</definedName>
    <definedName name="OSRRefP22_4x_0" localSheetId="50">'301'!$P$43</definedName>
    <definedName name="OSRRefP22_4x_0" localSheetId="53">'307'!$P$38</definedName>
    <definedName name="OSRRefP22_4x_0" localSheetId="55">'308'!$P$89</definedName>
    <definedName name="OSRRefP22_4x_0" localSheetId="67">'309'!$P$43</definedName>
    <definedName name="OSRRefP22_4x_0" localSheetId="66">'310'!$P$54</definedName>
    <definedName name="OSRRefP22_4x_0" localSheetId="74">'310 &amp; 491'!$P$65</definedName>
    <definedName name="OSRRefP22_4x_0" localSheetId="56">'311'!$P$87</definedName>
    <definedName name="OSRRefP22_4x_0" localSheetId="68">'313'!$P$51</definedName>
    <definedName name="OSRRefP22_4x_0" localSheetId="54">'314'!$P$76</definedName>
    <definedName name="OSRRefP22_4x_0" localSheetId="59">'315'!$P$78</definedName>
    <definedName name="OSRRefP22_4x_0" localSheetId="62">'316'!$P$53</definedName>
    <definedName name="OSRRefP22_4x_0" localSheetId="65">'317'!$P$79</definedName>
    <definedName name="OSRRefP22_4x_0" localSheetId="63">'320'!$P$51:$P$52</definedName>
    <definedName name="OSRRefP22_4x_0" localSheetId="69">'321'!$P$42</definedName>
    <definedName name="OSRRefP22_4x_0" localSheetId="70">'322'!$P$43</definedName>
    <definedName name="OSRRefP22_4x_0" localSheetId="71">'325'!$P$44</definedName>
    <definedName name="OSRRefP22_4x_0" localSheetId="60">'326'!$P$81</definedName>
    <definedName name="OSRRefP22_4x_0" localSheetId="52">'330'!$P$107:$P$108</definedName>
    <definedName name="OSRRefP22_4x_0" localSheetId="58">'331'!$P$96</definedName>
    <definedName name="OSRRefP22_4x_0" localSheetId="61">'332'!$P$66</definedName>
    <definedName name="OSRRefP22_4x_0" localSheetId="76">'405'!$P$43</definedName>
    <definedName name="OSRRefP22_4x_0" localSheetId="77">'406'!$P$44</definedName>
    <definedName name="OSRRefP22_4x_0" localSheetId="78">'411'!$P$41:$P$43</definedName>
    <definedName name="OSRRefP22_4x_0" localSheetId="79">'412'!$P$45</definedName>
    <definedName name="OSRRefP22_4x_0" localSheetId="81">'413'!$P$44</definedName>
    <definedName name="OSRRefP22_4x_0" localSheetId="82">'414'!$P$44</definedName>
    <definedName name="OSRRefP22_4x_0" localSheetId="83">'415'!$P$44</definedName>
    <definedName name="OSRRefP22_4x_0" localSheetId="84">'418'!$P$44</definedName>
    <definedName name="OSRRefP22_4x_0" localSheetId="80">'420'!$P$42</definedName>
    <definedName name="OSRRefP22_4x_0" localSheetId="85">'423'!$P$37</definedName>
    <definedName name="OSRRefP22_4x_0" localSheetId="86">'424'!$P$40</definedName>
    <definedName name="OSRRefP22_4x_0" localSheetId="87">'425'!$P$48</definedName>
    <definedName name="OSRRefP22_4x_0" localSheetId="90">'430'!$P$35</definedName>
    <definedName name="OSRRefP22_4x_0" localSheetId="91">'433'!$P$47</definedName>
    <definedName name="OSRRefP22_4x_0" localSheetId="92">'435'!$P$37</definedName>
    <definedName name="OSRRefP22_4x_0" localSheetId="93">'444'!$P$46</definedName>
    <definedName name="OSRRefP22_4x_0" localSheetId="95">'450'!$P$46</definedName>
    <definedName name="OSRRefP22_4x_0" localSheetId="75">'491'!$P$56</definedName>
    <definedName name="OSRRefP22_4x_0" localSheetId="89">'492'!$P$50</definedName>
    <definedName name="OSRRefP22_4x_0" localSheetId="97">'501'!$P$41</definedName>
    <definedName name="OSRRefP22_4x_0" localSheetId="39">'Div 2'!$P$44</definedName>
    <definedName name="OSRRefP22_4x_0" localSheetId="47">'Div 3'!$P$202</definedName>
    <definedName name="OSRRefP22_4x_0" localSheetId="73">'Div 4'!$P$57</definedName>
    <definedName name="OSRRefP22_4x_0" localSheetId="96">'Div 5'!$P$41</definedName>
    <definedName name="OSRRefP22_4x_0" localSheetId="64">'Div 6'!$P$79</definedName>
    <definedName name="OSRRefP22_4x_0" localSheetId="2">Summary!$P$238</definedName>
    <definedName name="OSRRefP22_5x_0" localSheetId="41">'201'!$P$40</definedName>
    <definedName name="OSRRefP22_5x_0" localSheetId="42">'202'!$P$42</definedName>
    <definedName name="OSRRefP22_5x_0" localSheetId="43">'203'!$P$43</definedName>
    <definedName name="OSRRefP22_5x_0" localSheetId="44">'204'!$P$45</definedName>
    <definedName name="OSRRefP22_5x_0" localSheetId="45">'205'!$P$39</definedName>
    <definedName name="OSRRefP22_5x_0" localSheetId="46">'206'!$P$42</definedName>
    <definedName name="OSRRefP22_5x_0" localSheetId="48">'300'!$P$199:$P$200</definedName>
    <definedName name="OSRRefP22_5x_0" localSheetId="49">'300 &amp; 317'!$P$225:$P$226</definedName>
    <definedName name="OSRRefP22_5x_0" localSheetId="50">'301'!$P$45:$P$46</definedName>
    <definedName name="OSRRefP22_5x_0" localSheetId="53">'307'!$P$40</definedName>
    <definedName name="OSRRefP22_5x_0" localSheetId="55">'308'!$P$91</definedName>
    <definedName name="OSRRefP22_5x_0" localSheetId="67">'309'!$P$45</definedName>
    <definedName name="OSRRefP22_5x_0" localSheetId="66">'310'!$P$56:$P$57</definedName>
    <definedName name="OSRRefP22_5x_0" localSheetId="74">'310 &amp; 491'!$P$67:$P$69</definedName>
    <definedName name="OSRRefP22_5x_0" localSheetId="56">'311'!$P$89</definedName>
    <definedName name="OSRRefP22_5x_0" localSheetId="68">'313'!$P$53</definedName>
    <definedName name="OSRRefP22_5x_0" localSheetId="54">'314'!$P$78</definedName>
    <definedName name="OSRRefP22_5x_0" localSheetId="59">'315'!$P$80:$P$81</definedName>
    <definedName name="OSRRefP22_5x_0" localSheetId="62">'316'!$P$55</definedName>
    <definedName name="OSRRefP22_5x_0" localSheetId="65">'317'!$P$81</definedName>
    <definedName name="OSRRefP22_5x_0" localSheetId="63">'320'!$P$54</definedName>
    <definedName name="OSRRefP22_5x_0" localSheetId="69">'321'!$P$44</definedName>
    <definedName name="OSRRefP22_5x_0" localSheetId="70">'322'!$P$45</definedName>
    <definedName name="OSRRefP22_5x_0" localSheetId="71">'325'!$P$46:$P$47</definedName>
    <definedName name="OSRRefP22_5x_0" localSheetId="60">'326'!$P$83</definedName>
    <definedName name="OSRRefP22_5x_0" localSheetId="52">'330'!$P$110</definedName>
    <definedName name="OSRRefP22_5x_0" localSheetId="58">'331'!$P$98:$P$99</definedName>
    <definedName name="OSRRefP22_5x_0" localSheetId="61">'332'!$P$68</definedName>
    <definedName name="OSRRefP22_5x_0" localSheetId="76">'405'!$P$45:$P$46</definedName>
    <definedName name="OSRRefP22_5x_0" localSheetId="77">'406'!$P$46</definedName>
    <definedName name="OSRRefP22_5x_0" localSheetId="78">'411'!$P$45</definedName>
    <definedName name="OSRRefP22_5x_0" localSheetId="79">'412'!$P$47</definedName>
    <definedName name="OSRRefP22_5x_0" localSheetId="81">'413'!$P$46</definedName>
    <definedName name="OSRRefP22_5x_0" localSheetId="82">'414'!$P$46</definedName>
    <definedName name="OSRRefP22_5x_0" localSheetId="83">'415'!$P$46:$P$47</definedName>
    <definedName name="OSRRefP22_5x_0" localSheetId="84">'418'!$P$46:$P$47</definedName>
    <definedName name="OSRRefP22_5x_0" localSheetId="80">'420'!$P$44</definedName>
    <definedName name="OSRRefP22_5x_0" localSheetId="85">'423'!$P$39</definedName>
    <definedName name="OSRRefP22_5x_0" localSheetId="86">'424'!$P$42</definedName>
    <definedName name="OSRRefP22_5x_0" localSheetId="87">'425'!$P$50</definedName>
    <definedName name="OSRRefP22_5x_0" localSheetId="90">'430'!$P$37</definedName>
    <definedName name="OSRRefP22_5x_0" localSheetId="91">'433'!$P$49</definedName>
    <definedName name="OSRRefP22_5x_0" localSheetId="92">'435'!$P$39</definedName>
    <definedName name="OSRRefP22_5x_0" localSheetId="93">'444'!$P$48</definedName>
    <definedName name="OSRRefP22_5x_0" localSheetId="95">'450'!$P$48</definedName>
    <definedName name="OSRRefP22_5x_0" localSheetId="75">'491'!$P$58:$P$60</definedName>
    <definedName name="OSRRefP22_5x_0" localSheetId="89">'492'!$P$52</definedName>
    <definedName name="OSRRefP22_5x_0" localSheetId="97">'501'!$P$43:$P$44</definedName>
    <definedName name="OSRRefP22_5x_0" localSheetId="39">'Div 2'!$P$46:$P$47</definedName>
    <definedName name="OSRRefP22_5x_0" localSheetId="47">'Div 3'!$P$204:$P$205</definedName>
    <definedName name="OSRRefP22_5x_0" localSheetId="73">'Div 4'!$P$59:$P$61</definedName>
    <definedName name="OSRRefP22_5x_0" localSheetId="96">'Div 5'!$P$43:$P$44</definedName>
    <definedName name="OSRRefP22_5x_0" localSheetId="64">'Div 6'!$P$81</definedName>
    <definedName name="OSRRefP22_5x_0" localSheetId="2">Summary!$P$240:$P$242</definedName>
    <definedName name="OSRRefP22_6x_0" localSheetId="41">'201'!$P$42</definedName>
    <definedName name="OSRRefP22_6x_0" localSheetId="42">'202'!$P$44</definedName>
    <definedName name="OSRRefP22_6x_0" localSheetId="43">'203'!$P$45</definedName>
    <definedName name="OSRRefP22_6x_0" localSheetId="44">'204'!$P$47:$P$50</definedName>
    <definedName name="OSRRefP22_6x_0" localSheetId="45">'205'!$P$41:$P$42</definedName>
    <definedName name="OSRRefP22_6x_0" localSheetId="46">'206'!$P$44:$P$45</definedName>
    <definedName name="OSRRefP22_6x_0" localSheetId="48">'300'!$P$202:$P$203</definedName>
    <definedName name="OSRRefP22_6x_0" localSheetId="49">'300 &amp; 317'!$P$228:$P$229</definedName>
    <definedName name="OSRRefP22_6x_0" localSheetId="50">'301'!$P$48:$P$49</definedName>
    <definedName name="OSRRefP22_6x_0" localSheetId="53">'307'!$P$42</definedName>
    <definedName name="OSRRefP22_6x_0" localSheetId="55">'308'!$P$93:$P$94</definedName>
    <definedName name="OSRRefP22_6x_0" localSheetId="67">'309'!$P$47</definedName>
    <definedName name="OSRRefP22_6x_0" localSheetId="66">'310'!$P$59</definedName>
    <definedName name="OSRRefP22_6x_0" localSheetId="74">'310 &amp; 491'!$P$71</definedName>
    <definedName name="OSRRefP22_6x_0" localSheetId="56">'311'!$P$91:$P$92</definedName>
    <definedName name="OSRRefP22_6x_0" localSheetId="68">'313'!$P$55</definedName>
    <definedName name="OSRRefP22_6x_0" localSheetId="54">'314'!$P$80</definedName>
    <definedName name="OSRRefP22_6x_0" localSheetId="59">'315'!$P$83</definedName>
    <definedName name="OSRRefP22_6x_0" localSheetId="62">'316'!$P$57:$P$58</definedName>
    <definedName name="OSRRefP22_6x_0" localSheetId="65">'317'!$P$83</definedName>
    <definedName name="OSRRefP22_6x_0" localSheetId="63">'320'!$P$56</definedName>
    <definedName name="OSRRefP22_6x_0" localSheetId="69">'321'!$P$46</definedName>
    <definedName name="OSRRefP22_6x_0" localSheetId="70">'322'!$P$47</definedName>
    <definedName name="OSRRefP22_6x_0" localSheetId="71">'325'!$P$49</definedName>
    <definedName name="OSRRefP22_6x_0" localSheetId="60">'326'!$P$85</definedName>
    <definedName name="OSRRefP22_6x_0" localSheetId="52">'330'!$P$112</definedName>
    <definedName name="OSRRefP22_6x_0" localSheetId="58">'331'!$P$101</definedName>
    <definedName name="OSRRefP22_6x_0" localSheetId="61">'332'!$P$70:$P$71</definedName>
    <definedName name="OSRRefP22_6x_0" localSheetId="76">'405'!$P$48</definedName>
    <definedName name="OSRRefP22_6x_0" localSheetId="77">'406'!$P$48</definedName>
    <definedName name="OSRRefP22_6x_0" localSheetId="78">'411'!$P$47</definedName>
    <definedName name="OSRRefP22_6x_0" localSheetId="79">'412'!$P$49</definedName>
    <definedName name="OSRRefP22_6x_0" localSheetId="81">'413'!$P$48</definedName>
    <definedName name="OSRRefP22_6x_0" localSheetId="82">'414'!$P$48</definedName>
    <definedName name="OSRRefP22_6x_0" localSheetId="83">'415'!$P$49</definedName>
    <definedName name="OSRRefP22_6x_0" localSheetId="84">'418'!$P$49</definedName>
    <definedName name="OSRRefP22_6x_0" localSheetId="80">'420'!$P$46:$P$47</definedName>
    <definedName name="OSRRefP22_6x_0" localSheetId="85">'423'!$P$41</definedName>
    <definedName name="OSRRefP22_6x_0" localSheetId="86">'424'!$P$44</definedName>
    <definedName name="OSRRefP22_6x_0" localSheetId="87">'425'!$P$52</definedName>
    <definedName name="OSRRefP22_6x_0" localSheetId="90">'430'!$P$39:$P$41</definedName>
    <definedName name="OSRRefP22_6x_0" localSheetId="91">'433'!$P$51</definedName>
    <definedName name="OSRRefP22_6x_0" localSheetId="92">'435'!$P$41</definedName>
    <definedName name="OSRRefP22_6x_0" localSheetId="93">'444'!$P$50</definedName>
    <definedName name="OSRRefP22_6x_0" localSheetId="95">'450'!$P$50</definedName>
    <definedName name="OSRRefP22_6x_0" localSheetId="75">'491'!$P$62</definedName>
    <definedName name="OSRRefP22_6x_0" localSheetId="89">'492'!$P$54</definedName>
    <definedName name="OSRRefP22_6x_0" localSheetId="97">'501'!$P$46</definedName>
    <definedName name="OSRRefP22_6x_0" localSheetId="39">'Div 2'!$P$49</definedName>
    <definedName name="OSRRefP22_6x_0" localSheetId="47">'Div 3'!$P$207:$P$208</definedName>
    <definedName name="OSRRefP22_6x_0" localSheetId="73">'Div 4'!$P$63</definedName>
    <definedName name="OSRRefP22_6x_0" localSheetId="96">'Div 5'!$P$46</definedName>
    <definedName name="OSRRefP22_6x_0" localSheetId="64">'Div 6'!$P$83</definedName>
    <definedName name="OSRRefP22_6x_0" localSheetId="2">Summary!$P$244:$P$245</definedName>
    <definedName name="OSRRefP22_7x_0" localSheetId="41">'201'!$P$44</definedName>
    <definedName name="OSRRefP22_7x_0" localSheetId="42">'202'!$P$46</definedName>
    <definedName name="OSRRefP22_7x_0" localSheetId="43">'203'!$P$47</definedName>
    <definedName name="OSRRefP22_7x_0" localSheetId="44">'204'!$P$52:$P$53</definedName>
    <definedName name="OSRRefP22_7x_0" localSheetId="45">'205'!$P$44</definedName>
    <definedName name="OSRRefP22_7x_0" localSheetId="46">'206'!$P$47</definedName>
    <definedName name="OSRRefP22_7x_0" localSheetId="48">'300'!$P$205</definedName>
    <definedName name="OSRRefP22_7x_0" localSheetId="49">'300 &amp; 317'!$P$231</definedName>
    <definedName name="OSRRefP22_7x_0" localSheetId="50">'301'!$P$51</definedName>
    <definedName name="OSRRefP22_7x_0" localSheetId="53">'307'!$P$44</definedName>
    <definedName name="OSRRefP22_7x_0" localSheetId="55">'308'!$P$96</definedName>
    <definedName name="OSRRefP22_7x_0" localSheetId="67">'309'!$P$49</definedName>
    <definedName name="OSRRefP22_7x_0" localSheetId="66">'310'!$P$61</definedName>
    <definedName name="OSRRefP22_7x_0" localSheetId="74">'310 &amp; 491'!$P$73</definedName>
    <definedName name="OSRRefP22_7x_0" localSheetId="56">'311'!$P$94</definedName>
    <definedName name="OSRRefP22_7x_0" localSheetId="68">'313'!$P$57:$P$58</definedName>
    <definedName name="OSRRefP22_7x_0" localSheetId="54">'314'!$P$82:$P$84</definedName>
    <definedName name="OSRRefP22_7x_0" localSheetId="59">'315'!$P$85</definedName>
    <definedName name="OSRRefP22_7x_0" localSheetId="62">'316'!$P$60</definedName>
    <definedName name="OSRRefP22_7x_0" localSheetId="65">'317'!$P$85:$P$86</definedName>
    <definedName name="OSRRefP22_7x_0" localSheetId="63">'320'!$P$58:$P$60</definedName>
    <definedName name="OSRRefP22_7x_0" localSheetId="69">'321'!$P$48:$P$50</definedName>
    <definedName name="OSRRefP22_7x_0" localSheetId="70">'322'!$P$49</definedName>
    <definedName name="OSRRefP22_7x_0" localSheetId="71">'325'!$P$51</definedName>
    <definedName name="OSRRefP22_7x_0" localSheetId="60">'326'!$P$87</definedName>
    <definedName name="OSRRefP22_7x_0" localSheetId="52">'330'!$P$114</definedName>
    <definedName name="OSRRefP22_7x_0" localSheetId="58">'331'!$P$103</definedName>
    <definedName name="OSRRefP22_7x_0" localSheetId="61">'332'!$P$73</definedName>
    <definedName name="OSRRefP22_7x_0" localSheetId="76">'405'!$P$50</definedName>
    <definedName name="OSRRefP22_7x_0" localSheetId="77">'406'!$P$50</definedName>
    <definedName name="OSRRefP22_7x_0" localSheetId="78">'411'!$P$49</definedName>
    <definedName name="OSRRefP22_7x_0" localSheetId="79">'412'!$P$51</definedName>
    <definedName name="OSRRefP22_7x_0" localSheetId="81">'413'!$P$50</definedName>
    <definedName name="OSRRefP22_7x_0" localSheetId="82">'414'!$P$50</definedName>
    <definedName name="OSRRefP22_7x_0" localSheetId="83">'415'!$P$51</definedName>
    <definedName name="OSRRefP22_7x_0" localSheetId="84">'418'!$P$51</definedName>
    <definedName name="OSRRefP22_7x_0" localSheetId="80">'420'!$P$49</definedName>
    <definedName name="OSRRefP22_7x_0" localSheetId="86">'424'!$P$46</definedName>
    <definedName name="OSRRefP22_7x_0" localSheetId="87">'425'!$P$54</definedName>
    <definedName name="OSRRefP22_7x_0" localSheetId="90">'430'!$P$43</definedName>
    <definedName name="OSRRefP22_7x_0" localSheetId="91">'433'!$P$53</definedName>
    <definedName name="OSRRefP22_7x_0" localSheetId="92">'435'!$P$43</definedName>
    <definedName name="OSRRefP22_7x_0" localSheetId="93">'444'!$P$52</definedName>
    <definedName name="OSRRefP22_7x_0" localSheetId="95">'450'!$P$52</definedName>
    <definedName name="OSRRefP22_7x_0" localSheetId="75">'491'!$P$64</definedName>
    <definedName name="OSRRefP22_7x_0" localSheetId="89">'492'!$P$56</definedName>
    <definedName name="OSRRefP22_7x_0" localSheetId="97">'501'!$P$48</definedName>
    <definedName name="OSRRefP22_7x_0" localSheetId="39">'Div 2'!$P$51</definedName>
    <definedName name="OSRRefP22_7x_0" localSheetId="47">'Div 3'!$P$210</definedName>
    <definedName name="OSRRefP22_7x_0" localSheetId="73">'Div 4'!$P$65</definedName>
    <definedName name="OSRRefP22_7x_0" localSheetId="96">'Div 5'!$P$48</definedName>
    <definedName name="OSRRefP22_7x_0" localSheetId="64">'Div 6'!$P$85:$P$86</definedName>
    <definedName name="OSRRefP22_7x_0" localSheetId="2">Summary!$P$247</definedName>
    <definedName name="OSRRefP22_8x_0" localSheetId="41">'201'!$P$46</definedName>
    <definedName name="OSRRefP22_8x_0" localSheetId="42">'202'!$P$48</definedName>
    <definedName name="OSRRefP22_8x_0" localSheetId="43">'203'!$P$49</definedName>
    <definedName name="OSRRefP22_8x_0" localSheetId="44">'204'!$P$55:$P$56</definedName>
    <definedName name="OSRRefP22_8x_0" localSheetId="45">'205'!$P$46</definedName>
    <definedName name="OSRRefP22_8x_0" localSheetId="46">'206'!$P$49</definedName>
    <definedName name="OSRRefP22_8x_0" localSheetId="48">'300'!$P$207</definedName>
    <definedName name="OSRRefP22_8x_0" localSheetId="49">'300 &amp; 317'!$P$233</definedName>
    <definedName name="OSRRefP22_8x_0" localSheetId="50">'301'!$P$53</definedName>
    <definedName name="OSRRefP22_8x_0" localSheetId="53">'307'!$P$46</definedName>
    <definedName name="OSRRefP22_8x_0" localSheetId="55">'308'!$P$98</definedName>
    <definedName name="OSRRefP22_8x_0" localSheetId="67">'309'!$P$51</definedName>
    <definedName name="OSRRefP22_8x_0" localSheetId="66">'310'!$P$63</definedName>
    <definedName name="OSRRefP22_8x_0" localSheetId="74">'310 &amp; 491'!$P$75</definedName>
    <definedName name="OSRRefP22_8x_0" localSheetId="56">'311'!$P$96</definedName>
    <definedName name="OSRRefP22_8x_0" localSheetId="68">'313'!$P$60</definedName>
    <definedName name="OSRRefP22_8x_0" localSheetId="54">'314'!$P$86</definedName>
    <definedName name="OSRRefP22_8x_0" localSheetId="59">'315'!$P$87</definedName>
    <definedName name="OSRRefP22_8x_0" localSheetId="62">'316'!$P$62:$P$63</definedName>
    <definedName name="OSRRefP22_8x_0" localSheetId="65">'317'!$P$88</definedName>
    <definedName name="OSRRefP22_8x_0" localSheetId="63">'320'!$P$62</definedName>
    <definedName name="OSRRefP22_8x_0" localSheetId="69">'321'!$P$52</definedName>
    <definedName name="OSRRefP22_8x_0" localSheetId="70">'322'!$P$51</definedName>
    <definedName name="OSRRefP22_8x_0" localSheetId="71">'325'!$P$53</definedName>
    <definedName name="OSRRefP22_8x_0" localSheetId="60">'326'!$P$89</definedName>
    <definedName name="OSRRefP22_8x_0" localSheetId="52">'330'!$P$116</definedName>
    <definedName name="OSRRefP22_8x_0" localSheetId="58">'331'!$P$105:$P$106</definedName>
    <definedName name="OSRRefP22_8x_0" localSheetId="61">'332'!$P$75</definedName>
    <definedName name="OSRRefP22_8x_0" localSheetId="76">'405'!$P$52</definedName>
    <definedName name="OSRRefP22_8x_0" localSheetId="77">'406'!$P$52</definedName>
    <definedName name="OSRRefP22_8x_0" localSheetId="78">'411'!$P$51</definedName>
    <definedName name="OSRRefP22_8x_0" localSheetId="79">'412'!$P$53</definedName>
    <definedName name="OSRRefP22_8x_0" localSheetId="81">'413'!$P$52:$P$54</definedName>
    <definedName name="OSRRefP22_8x_0" localSheetId="82">'414'!$P$52</definedName>
    <definedName name="OSRRefP22_8x_0" localSheetId="83">'415'!$P$53</definedName>
    <definedName name="OSRRefP22_8x_0" localSheetId="84">'418'!$P$53</definedName>
    <definedName name="OSRRefP22_8x_0" localSheetId="86">'424'!$P$48</definedName>
    <definedName name="OSRRefP22_8x_0" localSheetId="87">'425'!$P$56</definedName>
    <definedName name="OSRRefP22_8x_0" localSheetId="90">'430'!$P$45</definedName>
    <definedName name="OSRRefP22_8x_0" localSheetId="91">'433'!$P$55</definedName>
    <definedName name="OSRRefP22_8x_0" localSheetId="92">'435'!$P$45:$P$48</definedName>
    <definedName name="OSRRefP22_8x_0" localSheetId="93">'444'!$P$54</definedName>
    <definedName name="OSRRefP22_8x_0" localSheetId="95">'450'!$P$54</definedName>
    <definedName name="OSRRefP22_8x_0" localSheetId="75">'491'!$P$66</definedName>
    <definedName name="OSRRefP22_8x_0" localSheetId="89">'492'!$P$58</definedName>
    <definedName name="OSRRefP22_8x_0" localSheetId="97">'501'!$P$50</definedName>
    <definedName name="OSRRefP22_8x_0" localSheetId="39">'Div 2'!$P$53</definedName>
    <definedName name="OSRRefP22_8x_0" localSheetId="47">'Div 3'!$P$212</definedName>
    <definedName name="OSRRefP22_8x_0" localSheetId="73">'Div 4'!$P$67</definedName>
    <definedName name="OSRRefP22_8x_0" localSheetId="96">'Div 5'!$P$50</definedName>
    <definedName name="OSRRefP22_8x_0" localSheetId="64">'Div 6'!$P$88</definedName>
    <definedName name="OSRRefP22_8x_0" localSheetId="2">Summary!$P$249</definedName>
    <definedName name="OSRRefP22_9x_0" localSheetId="41">'201'!$P$48</definedName>
    <definedName name="OSRRefP22_9x_0" localSheetId="42">'202'!$P$50</definedName>
    <definedName name="OSRRefP22_9x_0" localSheetId="43">'203'!$P$51:$P$53</definedName>
    <definedName name="OSRRefP22_9x_0" localSheetId="44">'204'!$P$58</definedName>
    <definedName name="OSRRefP22_9x_0" localSheetId="48">'300'!$P$209</definedName>
    <definedName name="OSRRefP22_9x_0" localSheetId="49">'300 &amp; 317'!$P$235</definedName>
    <definedName name="OSRRefP22_9x_0" localSheetId="50">'301'!$P$55</definedName>
    <definedName name="OSRRefP22_9x_0" localSheetId="53">'307'!$P$48:$P$49</definedName>
    <definedName name="OSRRefP22_9x_0" localSheetId="55">'308'!$P$100:$P$102</definedName>
    <definedName name="OSRRefP22_9x_0" localSheetId="67">'309'!$P$53:$P$54</definedName>
    <definedName name="OSRRefP22_9x_0" localSheetId="66">'310'!$P$65:$P$66</definedName>
    <definedName name="OSRRefP22_9x_0" localSheetId="74">'310 &amp; 491'!$P$77</definedName>
    <definedName name="OSRRefP22_9x_0" localSheetId="56">'311'!$P$98:$P$100</definedName>
    <definedName name="OSRRefP22_9x_0" localSheetId="68">'313'!$P$62:$P$64</definedName>
    <definedName name="OSRRefP22_9x_0" localSheetId="54">'314'!$P$88</definedName>
    <definedName name="OSRRefP22_9x_0" localSheetId="59">'315'!$P$89:$P$91</definedName>
    <definedName name="OSRRefP22_9x_0" localSheetId="62">'316'!$P$65</definedName>
    <definedName name="OSRRefP22_9x_0" localSheetId="65">'317'!$P$90</definedName>
    <definedName name="OSRRefP22_9x_0" localSheetId="69">'321'!$P$54:$P$56</definedName>
    <definedName name="OSRRefP22_9x_0" localSheetId="70">'322'!$P$53</definedName>
    <definedName name="OSRRefP22_9x_0" localSheetId="71">'325'!$P$55</definedName>
    <definedName name="OSRRefP22_9x_0" localSheetId="60">'326'!$P$91</definedName>
    <definedName name="OSRRefP22_9x_0" localSheetId="52">'330'!$P$118</definedName>
    <definedName name="OSRRefP22_9x_0" localSheetId="58">'331'!$P$108</definedName>
    <definedName name="OSRRefP22_9x_0" localSheetId="61">'332'!$P$77:$P$78</definedName>
    <definedName name="OSRRefP22_9x_0" localSheetId="76">'405'!$P$54</definedName>
    <definedName name="OSRRefP22_9x_0" localSheetId="77">'406'!$P$54:$P$56</definedName>
    <definedName name="OSRRefP22_9x_0" localSheetId="78">'411'!$P$53</definedName>
    <definedName name="OSRRefP22_9x_0" localSheetId="79">'412'!$P$55:$P$57</definedName>
    <definedName name="OSRRefP22_9x_0" localSheetId="81">'413'!$P$56:$P$57</definedName>
    <definedName name="OSRRefP22_9x_0" localSheetId="82">'414'!$P$54:$P$55</definedName>
    <definedName name="OSRRefP22_9x_0" localSheetId="83">'415'!$P$55</definedName>
    <definedName name="OSRRefP22_9x_0" localSheetId="84">'418'!$P$55</definedName>
    <definedName name="OSRRefP22_9x_0" localSheetId="86">'424'!$P$50:$P$51</definedName>
    <definedName name="OSRRefP22_9x_0" localSheetId="87">'425'!$P$58:$P$60</definedName>
    <definedName name="OSRRefP22_9x_0" localSheetId="90">'430'!$P$47</definedName>
    <definedName name="OSRRefP22_9x_0" localSheetId="91">'433'!$P$57</definedName>
    <definedName name="OSRRefP22_9x_0" localSheetId="92">'435'!$P$50</definedName>
    <definedName name="OSRRefP22_9x_0" localSheetId="93">'444'!$P$56</definedName>
    <definedName name="OSRRefP22_9x_0" localSheetId="95">'450'!$P$56</definedName>
    <definedName name="OSRRefP22_9x_0" localSheetId="75">'491'!$P$68</definedName>
    <definedName name="OSRRefP22_9x_0" localSheetId="89">'492'!$P$60</definedName>
    <definedName name="OSRRefP22_9x_0" localSheetId="97">'501'!$P$52</definedName>
    <definedName name="OSRRefP22_9x_0" localSheetId="39">'Div 2'!$P$55</definedName>
    <definedName name="OSRRefP22_9x_0" localSheetId="47">'Div 3'!$P$214</definedName>
    <definedName name="OSRRefP22_9x_0" localSheetId="73">'Div 4'!$P$69</definedName>
    <definedName name="OSRRefP22_9x_0" localSheetId="96">'Div 5'!$P$52</definedName>
    <definedName name="OSRRefP22_9x_0" localSheetId="64">'Div 6'!$P$90</definedName>
    <definedName name="OSRRefP22_9x_0" localSheetId="2">Summary!$P$251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'201'!$P$20:$P$28,'201'!$P$30:$P$32,'201'!$P$34,'201'!$P$36,'201'!$P$38,'201'!$P$40,'201'!$P$42,'201'!$P$44,'201'!$P$46,'201'!$P$48,'201'!$P$50:$P$52,'201'!$P$54:$P$56,'201'!$P$58,'201'!$P$60:$P$63,'201'!$P$65,'201'!$P$67,'201'!$P$69:$P$70</definedName>
    <definedName name="OSRRefP22x_0" localSheetId="42">'202'!$P$20:$P$27,'202'!$P$29:$P$34,'202'!$P$36,'202'!$P$38,'202'!$P$40,'202'!$P$42,'202'!$P$44,'202'!$P$46,'202'!$P$48,'202'!$P$50,'202'!$P$52:$P$54,'202'!$P$56,'202'!$P$58,'202'!$P$60:$P$62,'202'!$P$64,'202'!$P$66,'202'!$P$68</definedName>
    <definedName name="OSRRefP22x_0" localSheetId="43">'203'!$P$20:$P$29,'203'!$P$31:$P$35,'203'!$P$37,'203'!$P$39,'203'!$P$41,'203'!$P$43,'203'!$P$45,'203'!$P$47,'203'!$P$49,'203'!$P$51:$P$53,'203'!$P$55:$P$56,'203'!$P$58:$P$59,'203'!$P$61:$P$63,'203'!$P$65,'203'!$P$67,'203'!$P$69</definedName>
    <definedName name="OSRRefP22x_0" localSheetId="44">'204'!$P$20:$P$29,'204'!$P$31:$P$36,'204'!$P$38,'204'!$P$40:$P$41,'204'!$P$43,'204'!$P$45,'204'!$P$47:$P$50,'204'!$P$52:$P$53,'204'!$P$55:$P$56,'204'!$P$58,'204'!$P$60:$P$61</definedName>
    <definedName name="OSRRefP22x_0" localSheetId="45">'205'!$P$20:$P$27,'205'!$P$29,'205'!$P$31,'205'!$P$33,'205'!$P$35:$P$37,'205'!$P$39,'205'!$P$41:$P$42,'205'!$P$44,'205'!$P$46</definedName>
    <definedName name="OSRRefP22x_0" localSheetId="46">'206'!$P$20:$P$27,'206'!$P$29:$P$34,'206'!$P$36,'206'!$P$38,'206'!$P$40,'206'!$P$42,'206'!$P$44:$P$45,'206'!$P$47,'206'!$P$49</definedName>
    <definedName name="OSRRefP22x_0" localSheetId="48">'300'!$P$174:$P$182,'300'!$P$184:$P$190,'300'!$P$192,'300'!$P$194:$P$195,'300'!$P$197,'300'!$P$199:$P$200,'300'!$P$202:$P$203,'300'!$P$205,'300'!$P$207,'300'!$P$209,'300'!$P$211:$P$212,'300'!$P$214,'300'!$P$216,'300'!$P$218,'300'!$P$220,'300'!$P$222,'300'!$P$224:$P$227,'300'!$P$229:$P$231,'300'!$P$233:$P$236,'300'!$P$238:$P$239,'300'!$P$241:$P$248,'300'!$P$250:$P$251,'300'!$P$253,'300'!$P$255:$P$257,'300'!$P$259</definedName>
    <definedName name="OSRRefP22x_0" localSheetId="49">'300 &amp; 317'!$P$200:$P$208,'300 &amp; 317'!$P$210:$P$216,'300 &amp; 317'!$P$218,'300 &amp; 317'!$P$220:$P$221,'300 &amp; 317'!$P$223,'300 &amp; 317'!$P$225:$P$226,'300 &amp; 317'!$P$228:$P$229,'300 &amp; 317'!$P$231,'300 &amp; 317'!$P$233,'300 &amp; 317'!$P$235,'300 &amp; 317'!$P$237:$P$238,'300 &amp; 317'!$P$240,'300 &amp; 317'!$P$242,'300 &amp; 317'!$P$244,'300 &amp; 317'!$P$246,'300 &amp; 317'!$P$248,'300 &amp; 317'!$P$250:$P$253,'300 &amp; 317'!$P$255:$P$257,'300 &amp; 317'!$P$259:$P$262,'300 &amp; 317'!$P$264:$P$265,'300 &amp; 317'!$P$267:$P$274,'300 &amp; 317'!$P$276:$P$277,'300 &amp; 317'!$P$279,'300 &amp; 317'!$P$281:$P$283,'300 &amp; 317'!$P$285</definedName>
    <definedName name="OSRRefP22x_0" localSheetId="50">'301'!$P$21:$P$28,'301'!$P$30:$P$36,'301'!$P$38,'301'!$P$40:$P$41,'301'!$P$43,'301'!$P$45:$P$46,'301'!$P$48:$P$49,'301'!$P$51,'301'!$P$53,'301'!$P$55,'301'!$P$57,'301'!$P$59,'301'!$P$61,'301'!$P$63,'301'!$P$65,'301'!$P$67:$P$70,'301'!$P$72,'301'!$P$74:$P$76,'301'!$P$78:$P$79,'301'!$P$81:$P$87,'301'!$P$89,'301'!$P$91,'301'!$P$93:$P$95,'301'!$P$97</definedName>
    <definedName name="OSRRefP22x_0" localSheetId="53">'307'!$P$20:$P$27,'307'!$P$29:$P$31,'307'!$P$33,'307'!$P$35:$P$36,'307'!$P$38,'307'!$P$40,'307'!$P$42,'307'!$P$44,'307'!$P$46,'307'!$P$48:$P$49,'307'!$P$51:$P$52,'307'!$P$54</definedName>
    <definedName name="OSRRefP22x_0" localSheetId="55">'308'!$P$68:$P$76,'308'!$P$78:$P$82,'308'!$P$84,'308'!$P$86:$P$87,'308'!$P$89,'308'!$P$91,'308'!$P$93:$P$94,'308'!$P$96,'308'!$P$98,'308'!$P$100:$P$102,'308'!$P$104:$P$105,'308'!$P$107:$P$110,'308'!$P$112:$P$113,'308'!$P$115,'308'!$P$117</definedName>
    <definedName name="OSRRefP22x_0" localSheetId="67">'309'!$P$24:$P$31,'309'!$P$33:$P$37,'309'!$P$39,'309'!$P$41,'309'!$P$43,'309'!$P$45,'309'!$P$47,'309'!$P$49,'309'!$P$51,'309'!$P$53:$P$54,'309'!$P$56:$P$58,'309'!$P$60,'309'!$P$62:$P$68,'309'!$P$70</definedName>
    <definedName name="OSRRefP22x_0" localSheetId="66">'310'!$P$34:$P$41,'310'!$P$43:$P$48,'310'!$P$50,'310'!$P$52,'310'!$P$54,'310'!$P$56:$P$57,'310'!$P$59,'310'!$P$61,'310'!$P$63,'310'!$P$65:$P$66,'310'!$P$68,'310'!$P$70,'310'!$P$72,'310'!$P$74,'310'!$P$76:$P$78,'310'!$P$80,'310'!$P$82:$P$85,'310'!$P$87:$P$88,'310'!$P$90:$P$97,'310'!$P$99,'310'!$P$101,'310'!$P$103,'310'!$P$105</definedName>
    <definedName name="OSRRefP22x_0" localSheetId="74">'310 &amp; 491'!$P$43:$P$51,'310 &amp; 491'!$P$53:$P$59,'310 &amp; 491'!$P$61,'310 &amp; 491'!$P$63,'310 &amp; 491'!$P$65,'310 &amp; 491'!$P$67:$P$69,'310 &amp; 491'!$P$71,'310 &amp; 491'!$P$73,'310 &amp; 491'!$P$75,'310 &amp; 491'!$P$77,'310 &amp; 491'!$P$79:$P$80,'310 &amp; 491'!$P$82:$P$83,'310 &amp; 491'!$P$85,'310 &amp; 491'!$P$87,'310 &amp; 491'!$P$89,'310 &amp; 491'!$P$91,'310 &amp; 491'!$P$93:$P$96,'310 &amp; 491'!$P$98:$P$99,'310 &amp; 491'!$P$101:$P$105,'310 &amp; 491'!$P$107:$P$108,'310 &amp; 491'!$P$110:$P$119,'310 &amp; 491'!$P$121,'310 &amp; 491'!$P$123,'310 &amp; 491'!$P$125:$P$127,'310 &amp; 491'!$P$129</definedName>
    <definedName name="OSRRefP22x_0" localSheetId="56">'311'!$P$66:$P$74,'311'!$P$76:$P$80,'311'!$P$82,'311'!$P$84:$P$85,'311'!$P$87,'311'!$P$89,'311'!$P$91:$P$92,'311'!$P$94,'311'!$P$96,'311'!$P$98:$P$100,'311'!$P$102:$P$103,'311'!$P$105:$P$108,'311'!$P$110:$P$111,'311'!$P$113,'311'!$P$115</definedName>
    <definedName name="OSRRefP22x_0" localSheetId="68">'313'!$P$31:$P$38,'313'!$P$40:$P$45,'313'!$P$47,'313'!$P$49,'313'!$P$51,'313'!$P$53,'313'!$P$55,'313'!$P$57:$P$58,'313'!$P$60,'313'!$P$62:$P$64,'313'!$P$66:$P$67,'313'!$P$69:$P$70,'313'!$P$72:$P$77,'313'!$P$79,'313'!$P$81</definedName>
    <definedName name="OSRRefP22x_0" localSheetId="54">'314'!$P$56:$P$64,'314'!$P$66:$P$69,'314'!$P$71,'314'!$P$73:$P$74,'314'!$P$76,'314'!$P$78,'314'!$P$80,'314'!$P$82:$P$84,'314'!$P$86,'314'!$P$88,'314'!$P$90</definedName>
    <definedName name="OSRRefP22x_0" localSheetId="59">'315'!$P$57:$P$64,'315'!$P$66:$P$71,'315'!$P$73,'315'!$P$75:$P$76,'315'!$P$78,'315'!$P$80:$P$81,'315'!$P$83,'315'!$P$85,'315'!$P$87,'315'!$P$89:$P$91,'315'!$P$93:$P$94,'315'!$P$96:$P$97,'315'!$P$99:$P$103,'315'!$P$105,'315'!$P$107,'315'!$P$109:$P$110</definedName>
    <definedName name="OSRRefP22x_0" localSheetId="62">'316'!$P$35:$P$42,'316'!$P$44:$P$47,'316'!$P$49,'316'!$P$51,'316'!$P$53,'316'!$P$55,'316'!$P$57:$P$58,'316'!$P$60,'316'!$P$62:$P$63,'316'!$P$65,'316'!$P$67:$P$71,'316'!$P$73,'316'!$P$75</definedName>
    <definedName name="OSRRefP22x_0" localSheetId="65">'317'!$P$59:$P$67,'317'!$P$69:$P$73,'317'!$P$75,'317'!$P$77,'317'!$P$79,'317'!$P$81,'317'!$P$83,'317'!$P$85:$P$86,'317'!$P$88,'317'!$P$90,'317'!$P$92,'317'!$P$94,'317'!$P$96:$P$97,'317'!$P$99,'317'!$P$101,'317'!$P$103:$P$104</definedName>
    <definedName name="OSRRefP22x_0" localSheetId="63">'320'!$P$31:$P$38,'320'!$P$40:$P$45,'320'!$P$47,'320'!$P$49,'320'!$P$51:$P$52,'320'!$P$54,'320'!$P$56,'320'!$P$58:$P$60,'320'!$P$62</definedName>
    <definedName name="OSRRefP22x_0" localSheetId="69">'321'!$P$24:$P$30,'321'!$P$32:$P$36,'321'!$P$38,'321'!$P$40,'321'!$P$42,'321'!$P$44,'321'!$P$46,'321'!$P$48:$P$50,'321'!$P$52,'321'!$P$54:$P$56,'321'!$P$58:$P$63,'321'!$P$65,'321'!$P$67,'321'!$P$69</definedName>
    <definedName name="OSRRefP22x_0" localSheetId="70">'322'!$P$24:$P$31,'322'!$P$33:$P$37,'322'!$P$39,'322'!$P$41,'322'!$P$43,'322'!$P$45,'322'!$P$47,'322'!$P$49,'322'!$P$51,'322'!$P$53,'322'!$P$55,'322'!$P$57:$P$58,'322'!$P$60:$P$62,'322'!$P$64,'322'!$P$66:$P$72,'322'!$P$74,'322'!$P$76,'322'!$P$78</definedName>
    <definedName name="OSRRefP22x_0" localSheetId="57">'324'!$P$26</definedName>
    <definedName name="OSRRefP22x_0" localSheetId="71">'325'!$P$24:$P$31,'325'!$P$33:$P$38,'325'!$P$40,'325'!$P$42,'325'!$P$44,'325'!$P$46:$P$47,'325'!$P$49,'325'!$P$51,'325'!$P$53,'325'!$P$55,'325'!$P$57,'325'!$P$59:$P$61,'325'!$P$63:$P$66,'325'!$P$68:$P$69,'325'!$P$71:$P$76,'325'!$P$78,'325'!$P$80,'325'!$P$82</definedName>
    <definedName name="OSRRefP22x_0" localSheetId="60">'326'!$P$62:$P$69,'326'!$P$71:$P$75,'326'!$P$77,'326'!$P$79,'326'!$P$81,'326'!$P$83,'326'!$P$85,'326'!$P$87,'326'!$P$89,'326'!$P$91,'326'!$P$93,'326'!$P$95,'326'!$P$97,'326'!$P$99:$P$100,'326'!$P$102:$P$104,'326'!$P$106:$P$107,'326'!$P$109:$P$113,'326'!$P$115,'326'!$P$117,'326'!$P$119,'326'!$P$121</definedName>
    <definedName name="OSRRefP22x_0" localSheetId="72">'327'!$P$22,'327'!$P$24,'327'!$P$26</definedName>
    <definedName name="OSRRefP22x_0" localSheetId="52">'330'!$P$87:$P$95,'330'!$P$97:$P$101,'330'!$P$103,'330'!$P$105,'330'!$P$107:$P$108,'330'!$P$110,'330'!$P$112,'330'!$P$114,'330'!$P$116,'330'!$P$118,'330'!$P$120,'330'!$P$122:$P$123,'330'!$P$125:$P$126,'330'!$P$128,'330'!$P$130:$P$132,'330'!$P$134,'330'!$P$136,'330'!$P$138</definedName>
    <definedName name="OSRRefP22x_0" localSheetId="58">'331'!$P$76:$P$83,'331'!$P$85:$P$90,'331'!$P$92,'331'!$P$94,'331'!$P$96,'331'!$P$98:$P$99,'331'!$P$101,'331'!$P$103,'331'!$P$105:$P$106,'331'!$P$108,'331'!$P$110,'331'!$P$112,'331'!$P$114,'331'!$P$116,'331'!$P$118:$P$120,'331'!$P$122:$P$123,'331'!$P$125:$P$127,'331'!$P$129:$P$130,'331'!$P$132:$P$137,'331'!$P$139,'331'!$P$141,'331'!$P$143:$P$144,'331'!$P$146</definedName>
    <definedName name="OSRRefP22x_0" localSheetId="61">'332'!$P$46:$P$53,'332'!$P$55:$P$60,'332'!$P$62,'332'!$P$64,'332'!$P$66,'332'!$P$68,'332'!$P$70:$P$71,'332'!$P$73,'332'!$P$75,'332'!$P$77:$P$78,'332'!$P$80,'332'!$P$82:$P$86,'332'!$P$88,'332'!$P$90</definedName>
    <definedName name="OSRRefP22x_0" localSheetId="76">'405'!$P$24:$P$31,'405'!$P$33:$P$37,'405'!$P$39,'405'!$P$41,'405'!$P$43,'405'!$P$45:$P$46,'405'!$P$48,'405'!$P$50,'405'!$P$52,'405'!$P$54,'405'!$P$56:$P$57,'405'!$P$59,'405'!$P$61:$P$63,'405'!$P$65:$P$66,'405'!$P$68:$P$74,'405'!$P$76,'405'!$P$78,'405'!$P$80,'405'!$P$82</definedName>
    <definedName name="OSRRefP22x_0" localSheetId="77">'406'!$P$24:$P$31,'406'!$P$33:$P$38,'406'!$P$40,'406'!$P$42,'406'!$P$44,'406'!$P$46,'406'!$P$48,'406'!$P$50,'406'!$P$52,'406'!$P$54:$P$56,'406'!$P$58:$P$59,'406'!$P$61:$P$66,'406'!$P$68,'406'!$P$70,'406'!$P$72:$P$73</definedName>
    <definedName name="OSRRefP22x_0" localSheetId="78">'411'!$P$20:$P$28,'411'!$P$30:$P$35,'411'!$P$37,'411'!$P$39,'411'!$P$41:$P$43,'411'!$P$45,'411'!$P$47,'411'!$P$49,'411'!$P$51,'411'!$P$53,'411'!$P$55,'411'!$P$57,'411'!$P$59:$P$62,'411'!$P$64:$P$68,'411'!$P$70:$P$71,'411'!$P$73:$P$81,'411'!$P$83,'411'!$P$85,'411'!$P$87:$P$89,'411'!$P$91</definedName>
    <definedName name="OSRRefP22x_0" localSheetId="79">'412'!$P$25:$P$32,'412'!$P$34:$P$39,'412'!$P$41,'412'!$P$43,'412'!$P$45,'412'!$P$47,'412'!$P$49,'412'!$P$51,'412'!$P$53,'412'!$P$55:$P$57,'412'!$P$59,'412'!$P$61:$P$63,'412'!$P$65:$P$72,'412'!$P$74,'412'!$P$76</definedName>
    <definedName name="OSRRefP22x_0" localSheetId="81">'413'!$P$24:$P$31,'413'!$P$33:$P$38,'413'!$P$40,'413'!$P$42,'413'!$P$44,'413'!$P$46,'413'!$P$48,'413'!$P$50,'413'!$P$52:$P$54,'413'!$P$56:$P$57,'413'!$P$59:$P$64,'413'!$P$66,'413'!$P$68,'413'!$P$70</definedName>
    <definedName name="OSRRefP22x_0" localSheetId="82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3">'415'!$P$24:$P$31,'415'!$P$33:$P$38,'415'!$P$40,'415'!$P$42,'415'!$P$44,'415'!$P$46:$P$47,'415'!$P$49,'415'!$P$51,'415'!$P$53,'415'!$P$55,'415'!$P$57,'415'!$P$59:$P$62,'415'!$P$64:$P$68,'415'!$P$70:$P$71,'415'!$P$73:$P$80,'415'!$P$82,'415'!$P$84,'415'!$P$86,'415'!$P$88</definedName>
    <definedName name="OSRRefP22x_0" localSheetId="84">'418'!$P$24:$P$31,'418'!$P$33:$P$38,'418'!$P$40,'418'!$P$42,'418'!$P$44,'418'!$P$46:$P$47,'418'!$P$49,'418'!$P$51,'418'!$P$53,'418'!$P$55,'418'!$P$57:$P$58,'418'!$P$60:$P$62,'418'!$P$64:$P$66,'418'!$P$68:$P$69,'418'!$P$71:$P$78,'418'!$P$80,'418'!$P$82</definedName>
    <definedName name="OSRRefP22x_0" localSheetId="80">'420'!$P$24:$P$31,'420'!$P$33:$P$36,'420'!$P$38,'420'!$P$40,'420'!$P$42,'420'!$P$44,'420'!$P$46:$P$47,'420'!$P$49</definedName>
    <definedName name="OSRRefP22x_0" localSheetId="85">'423'!$P$21:$P$28,'423'!$P$30:$P$31,'423'!$P$33,'423'!$P$35,'423'!$P$37,'423'!$P$39,'423'!$P$41</definedName>
    <definedName name="OSRRefP22x_0" localSheetId="86">'424'!$P$26:$P$28,'424'!$P$30:$P$34,'424'!$P$36,'424'!$P$38,'424'!$P$40,'424'!$P$42,'424'!$P$44,'424'!$P$46,'424'!$P$48,'424'!$P$50:$P$51,'424'!$P$53,'424'!$P$55,'424'!$P$57:$P$63,'424'!$P$65</definedName>
    <definedName name="OSRRefP22x_0" localSheetId="87">'425'!$P$27:$P$35,'425'!$P$37:$P$42,'425'!$P$44,'425'!$P$46,'425'!$P$48,'425'!$P$50,'425'!$P$52,'425'!$P$54,'425'!$P$56,'425'!$P$58:$P$60,'425'!$P$62,'425'!$P$64:$P$66,'425'!$P$68:$P$74,'425'!$P$76,'425'!$P$78,'425'!$P$80</definedName>
    <definedName name="OSRRefP22x_0" localSheetId="90">'430'!$P$20:$P$27,'430'!$P$29,'430'!$P$31,'430'!$P$33,'430'!$P$35,'430'!$P$37,'430'!$P$39:$P$41,'430'!$P$43,'430'!$P$45,'430'!$P$47</definedName>
    <definedName name="OSRRefP22x_0" localSheetId="91">'433'!$P$26:$P$34,'433'!$P$36:$P$41,'433'!$P$43,'433'!$P$45,'433'!$P$47,'433'!$P$49,'433'!$P$51,'433'!$P$53,'433'!$P$55,'433'!$P$57,'433'!$P$59:$P$61,'433'!$P$63:$P$65,'433'!$P$67:$P$74,'433'!$P$76,'433'!$P$78,'433'!$P$80:$P$81</definedName>
    <definedName name="OSRRefP22x_0" localSheetId="92">'435'!$P$25:$P$27,'435'!$P$29:$P$31,'435'!$P$33,'435'!$P$35,'435'!$P$37,'435'!$P$39,'435'!$P$41,'435'!$P$43,'435'!$P$45:$P$48,'435'!$P$50</definedName>
    <definedName name="OSRRefP22x_0" localSheetId="93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4">'445'!$P$20</definedName>
    <definedName name="OSRRefP22x_0" localSheetId="95">'450'!$P$25:$P$33,'450'!$P$35:$P$40,'450'!$P$42,'450'!$P$44,'450'!$P$46,'450'!$P$48,'450'!$P$50,'450'!$P$52,'450'!$P$54,'450'!$P$56,'450'!$P$58,'450'!$P$60,'450'!$P$62:$P$64,'450'!$P$66:$P$68,'450'!$P$70:$P$76,'450'!$P$78,'450'!$P$80,'450'!$P$82:$P$83</definedName>
    <definedName name="OSRRefP22x_0" localSheetId="88">'455'!$P$20:$P$26,'455'!$P$28:$P$29,'455'!$P$31</definedName>
    <definedName name="OSRRefP22x_0" localSheetId="75">'491'!$P$34:$P$42,'491'!$P$44:$P$50,'491'!$P$52,'491'!$P$54,'491'!$P$56,'491'!$P$58:$P$60,'491'!$P$62,'491'!$P$64,'491'!$P$66,'491'!$P$68,'491'!$P$70,'491'!$P$72:$P$73,'491'!$P$75,'491'!$P$77,'491'!$P$79,'491'!$P$81,'491'!$P$83:$P$86,'491'!$P$88:$P$89,'491'!$P$91:$P$95,'491'!$P$97:$P$98,'491'!$P$100:$P$109,'491'!$P$111,'491'!$P$113,'491'!$P$115:$P$117,'491'!$P$119</definedName>
    <definedName name="OSRRefP22x_0" localSheetId="89">'492'!$P$28:$P$36,'492'!$P$38:$P$44,'492'!$P$46,'492'!$P$48,'492'!$P$50,'492'!$P$52,'492'!$P$54,'492'!$P$56,'492'!$P$58,'492'!$P$60,'492'!$P$62,'492'!$P$64,'492'!$P$66,'492'!$P$68:$P$70,'492'!$P$72:$P$74,'492'!$P$76:$P$84,'492'!$P$86,'492'!$P$88,'492'!$P$90:$P$91</definedName>
    <definedName name="OSRRefP22x_0" localSheetId="97">'501'!$P$21:$P$28,'501'!$P$30:$P$35,'501'!$P$37,'501'!$P$39,'501'!$P$41,'501'!$P$43:$P$44,'501'!$P$46,'501'!$P$48,'501'!$P$50,'501'!$P$52,'501'!$P$54:$P$56,'501'!$P$58,'501'!$P$60:$P$63,'501'!$P$65,'501'!$P$67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2'!$P$66:$P$69,'Div 2'!$P$71:$P$72,'Div 2'!$P$74:$P$75,'Div 2'!$P$77:$P$81,'Div 2'!$P$83:$P$84,'Div 2'!$P$86,'Div 2'!$P$88:$P$89</definedName>
    <definedName name="OSRRefP22x_0" localSheetId="47">'Div 3'!$P$179:$P$187,'Div 3'!$P$189:$P$195,'Div 3'!$P$197,'Div 3'!$P$199:$P$200,'Div 3'!$P$202,'Div 3'!$P$204:$P$205,'Div 3'!$P$207:$P$208,'Div 3'!$P$210,'Div 3'!$P$212,'Div 3'!$P$214,'Div 3'!$P$216:$P$217,'Div 3'!$P$219,'Div 3'!$P$221,'Div 3'!$P$223,'Div 3'!$P$225,'Div 3'!$P$227,'Div 3'!$P$229,'Div 3'!$P$231:$P$234,'Div 3'!$P$236:$P$238,'Div 3'!$P$240:$P$244,'Div 3'!$P$246:$P$247,'Div 3'!$P$249:$P$257,'Div 3'!$P$259:$P$260,'Div 3'!$P$262,'Div 3'!$P$264:$P$266,'Div 3'!$P$268</definedName>
    <definedName name="OSRRefP22x_0" localSheetId="73">'Div 4'!$P$35:$P$43,'Div 4'!$P$45:$P$51,'Div 4'!$P$53,'Div 4'!$P$55,'Div 4'!$P$57,'Div 4'!$P$59:$P$61,'Div 4'!$P$63,'Div 4'!$P$65,'Div 4'!$P$67,'Div 4'!$P$69,'Div 4'!$P$71,'Div 4'!$P$73:$P$74,'Div 4'!$P$76,'Div 4'!$P$78,'Div 4'!$P$80,'Div 4'!$P$82,'Div 4'!$P$84,'Div 4'!$P$86:$P$89,'Div 4'!$P$91:$P$92,'Div 4'!$P$94:$P$98,'Div 4'!$P$100:$P$101,'Div 4'!$P$103:$P$112,'Div 4'!$P$114,'Div 4'!$P$116,'Div 4'!$P$118:$P$120,'Div 4'!$P$122</definedName>
    <definedName name="OSRRefP22x_0" localSheetId="96">'Div 5'!$P$21:$P$28,'Div 5'!$P$30:$P$35,'Div 5'!$P$37,'Div 5'!$P$39,'Div 5'!$P$41,'Div 5'!$P$43:$P$44,'Div 5'!$P$46,'Div 5'!$P$48,'Div 5'!$P$50,'Div 5'!$P$52,'Div 5'!$P$54:$P$56,'Div 5'!$P$58,'Div 5'!$P$60:$P$63,'Div 5'!$P$65,'Div 5'!$P$67</definedName>
    <definedName name="OSRRefP22x_0" localSheetId="64">'Div 6'!$P$59:$P$67,'Div 6'!$P$69:$P$73,'Div 6'!$P$75,'Div 6'!$P$77,'Div 6'!$P$79,'Div 6'!$P$81,'Div 6'!$P$83,'Div 6'!$P$85:$P$86,'Div 6'!$P$88,'Div 6'!$P$90,'Div 6'!$P$92,'Div 6'!$P$94,'Div 6'!$P$96:$P$97,'Div 6'!$P$99,'Div 6'!$P$101,'Div 6'!$P$103:$P$104</definedName>
    <definedName name="OSRRefP22x_0" localSheetId="2">Summary!$P$215:$P$223,Summary!$P$225:$P$231,Summary!$P$233,Summary!$P$235:$P$236,Summary!$P$238,Summary!$P$240:$P$242,Summary!$P$244:$P$245,Summary!$P$247,Summary!$P$249,Summary!$P$251,Summary!$P$253:$P$254,Summary!$P$256:$P$257,Summary!$P$259,Summary!$P$261,Summary!$P$263,Summary!$P$265,Summary!$P$267,Summary!$P$269,Summary!$P$271:$P$274,Summary!$P$276:$P$278,Summary!$P$280:$P$284,Summary!$P$286:$P$287,Summary!$P$289:$P$298,Summary!$P$300:$P$301,Summary!$P$303,Summary!$P$305:$P$307,Summary!$P$309</definedName>
    <definedName name="OSRRefP25x_0" localSheetId="48">'300'!$P$262:$P$270</definedName>
    <definedName name="OSRRefP25x_0" localSheetId="49">'300 &amp; 317'!$P$288:$P$299</definedName>
    <definedName name="OSRRefP25x_0" localSheetId="50">'301'!$P$100:$P$102</definedName>
    <definedName name="OSRRefP25x_0" localSheetId="55">'308'!$P$120:$P$122</definedName>
    <definedName name="OSRRefP25x_0" localSheetId="74">'310 &amp; 491'!$P$132:$P$134</definedName>
    <definedName name="OSRRefP25x_0" localSheetId="56">'311'!$P$118:$P$120</definedName>
    <definedName name="OSRRefP25x_0" localSheetId="59">'315'!$P$113</definedName>
    <definedName name="OSRRefP25x_0" localSheetId="62">'316'!$P$78</definedName>
    <definedName name="OSRRefP25x_0" localSheetId="65">'317'!$P$107:$P$110</definedName>
    <definedName name="OSRRefP25x_0" localSheetId="63">'320'!$P$65:$P$69</definedName>
    <definedName name="OSRRefP25x_0" localSheetId="52">'330'!$P$141</definedName>
    <definedName name="OSRRefP25x_0" localSheetId="58">'331'!$P$149</definedName>
    <definedName name="OSRRefP25x_0" localSheetId="61">'332'!$P$93:$P$98</definedName>
    <definedName name="OSRRefP25x_0" localSheetId="78">'411'!$P$94:$P$95</definedName>
    <definedName name="OSRRefP25x_0" localSheetId="81">'413'!$P$73</definedName>
    <definedName name="OSRRefP25x_0" localSheetId="83">'415'!$P$91</definedName>
    <definedName name="OSRRefP25x_0" localSheetId="84">'418'!$P$85</definedName>
    <definedName name="OSRRefP25x_0" localSheetId="85">'423'!$P$44</definedName>
    <definedName name="OSRRefP25x_0" localSheetId="86">'424'!$P$68</definedName>
    <definedName name="OSRRefP25x_0" localSheetId="87">'425'!$P$83</definedName>
    <definedName name="OSRRefP25x_0" localSheetId="88">'455'!$P$34:$P$35</definedName>
    <definedName name="OSRRefP25x_0" localSheetId="75">'491'!$P$122:$P$124</definedName>
    <definedName name="OSRRefP25x_0" localSheetId="97">'501'!$P$70:$P$71</definedName>
    <definedName name="OSRRefP25x_0" localSheetId="47">'Div 3'!$P$271:$P$279</definedName>
    <definedName name="OSRRefP25x_0" localSheetId="73">'Div 4'!$P$125:$P$127</definedName>
    <definedName name="OSRRefP25x_0" localSheetId="96">'Div 5'!$P$70:$P$71</definedName>
    <definedName name="OSRRefP25x_0" localSheetId="64">'Div 6'!$P$107:$P$110</definedName>
    <definedName name="OSRRefP25x_0" localSheetId="2">Summary!$P$312:$P$324</definedName>
    <definedName name="OSRRefT13x_0" localSheetId="48">'300'!$T$13:$T$115</definedName>
    <definedName name="OSRRefT13x_0" localSheetId="49">'300 &amp; 317'!$T$13:$T$133</definedName>
    <definedName name="OSRRefT13x_0" localSheetId="55">'308'!$T$13:$T$44</definedName>
    <definedName name="OSRRefT13x_0" localSheetId="67">'309'!$T$13:$T$14</definedName>
    <definedName name="OSRRefT13x_0" localSheetId="66">'310'!$T$13:$T$24</definedName>
    <definedName name="OSRRefT13x_0" localSheetId="74">'310 &amp; 491'!$T$13:$T$33</definedName>
    <definedName name="OSRRefT13x_0" localSheetId="56">'311'!$T$13:$T$42</definedName>
    <definedName name="OSRRefT13x_0" localSheetId="68">'313'!$T$13:$T$21</definedName>
    <definedName name="OSRRefT13x_0" localSheetId="54">'314'!$T$13:$T$33</definedName>
    <definedName name="OSRRefT13x_0" localSheetId="59">'315'!$T$13:$T$33</definedName>
    <definedName name="OSRRefT13x_0" localSheetId="62">'316'!$T$13:$T$27</definedName>
    <definedName name="OSRRefT13x_0" localSheetId="65">'317'!$T$13:$T$36</definedName>
    <definedName name="OSRRefT13x_0" localSheetId="63">'320'!$T$13:$T$18</definedName>
    <definedName name="OSRRefT13x_0" localSheetId="69">'321'!$T$13:$T$14</definedName>
    <definedName name="OSRRefT13x_0" localSheetId="70">'322'!$T$13:$T$14</definedName>
    <definedName name="OSRRefT13x_0" localSheetId="57">'324'!$T$13:$T$16</definedName>
    <definedName name="OSRRefT13x_0" localSheetId="71">'325'!$T$13:$T$14</definedName>
    <definedName name="OSRRefT13x_0" localSheetId="60">'326'!$T$13:$T$36</definedName>
    <definedName name="OSRRefT13x_0" localSheetId="72">'327'!$T$13</definedName>
    <definedName name="OSRRefT13x_0" localSheetId="52">'330'!$T$13:$T$55</definedName>
    <definedName name="OSRRefT13x_0" localSheetId="58">'331'!$T$13:$T$44</definedName>
    <definedName name="OSRRefT13x_0" localSheetId="61">'332'!$T$13:$T$33</definedName>
    <definedName name="OSRRefT13x_0" localSheetId="76">'405'!$T$13:$T$14</definedName>
    <definedName name="OSRRefT13x_0" localSheetId="77">'406'!$T$13:$T$14</definedName>
    <definedName name="OSRRefT13x_0" localSheetId="79">'412'!$T$13:$T$15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0">'420'!$T$13:$T$14</definedName>
    <definedName name="OSRRefT13x_0" localSheetId="86">'424'!$T$13:$T$16</definedName>
    <definedName name="OSRRefT13x_0" localSheetId="87">'425'!$T$13:$T$17</definedName>
    <definedName name="OSRRefT13x_0" localSheetId="91">'433'!$T$13:$T$16</definedName>
    <definedName name="OSRRefT13x_0" localSheetId="92">'435'!$T$13:$T$15</definedName>
    <definedName name="OSRRefT13x_0" localSheetId="93">'444'!$T$13:$T$15</definedName>
    <definedName name="OSRRefT13x_0" localSheetId="95">'450'!$T$13:$T$15</definedName>
    <definedName name="OSRRefT13x_0" localSheetId="75">'491'!$T$13:$T$24</definedName>
    <definedName name="OSRRefT13x_0" localSheetId="89">'492'!$T$13:$T$18</definedName>
    <definedName name="OSRRefT13x_0" localSheetId="97">'501'!$T$13</definedName>
    <definedName name="OSRRefT13x_0" localSheetId="47">'Div 3'!$T$13:$T$118</definedName>
    <definedName name="OSRRefT13x_0" localSheetId="73">'Div 4'!$T$13:$T$25</definedName>
    <definedName name="OSRRefT13x_0" localSheetId="96">'Div 5'!$T$13</definedName>
    <definedName name="OSRRefT13x_0" localSheetId="64">'Div 6'!$T$13:$T$36</definedName>
    <definedName name="OSRRefT13x_0" localSheetId="2">Summary!$T$13:$T$146</definedName>
    <definedName name="OSRRefT16x_0" localSheetId="48">'300'!$T$118:$T$168</definedName>
    <definedName name="OSRRefT16x_0" localSheetId="49">'300 &amp; 317'!$T$136:$T$194</definedName>
    <definedName name="OSRRefT16x_0" localSheetId="50">'301'!$T$15</definedName>
    <definedName name="OSRRefT16x_0" localSheetId="55">'308'!$T$47:$T$62</definedName>
    <definedName name="OSRRefT16x_0" localSheetId="67">'309'!$T$17:$T$18</definedName>
    <definedName name="OSRRefT16x_0" localSheetId="66">'310'!$T$27:$T$28</definedName>
    <definedName name="OSRRefT16x_0" localSheetId="74">'310 &amp; 491'!$T$36:$T$37</definedName>
    <definedName name="OSRRefT16x_0" localSheetId="56">'311'!$T$45:$T$60</definedName>
    <definedName name="OSRRefT16x_0" localSheetId="68">'313'!$T$24:$T$25</definedName>
    <definedName name="OSRRefT16x_0" localSheetId="54">'314'!$T$36:$T$50</definedName>
    <definedName name="OSRRefT16x_0" localSheetId="59">'315'!$T$36:$T$51</definedName>
    <definedName name="OSRRefT16x_0" localSheetId="65">'317'!$T$39:$T$53</definedName>
    <definedName name="OSRRefT16x_0" localSheetId="63">'320'!$T$21:$T$25</definedName>
    <definedName name="OSRRefT16x_0" localSheetId="69">'321'!$T$17:$T$18</definedName>
    <definedName name="OSRRefT16x_0" localSheetId="70">'322'!$T$17:$T$18</definedName>
    <definedName name="OSRRefT16x_0" localSheetId="57">'324'!$T$19:$T$20</definedName>
    <definedName name="OSRRefT16x_0" localSheetId="71">'325'!$T$17:$T$18</definedName>
    <definedName name="OSRRefT16x_0" localSheetId="60">'326'!$T$39:$T$56</definedName>
    <definedName name="OSRRefT16x_0" localSheetId="72">'327'!$T$16</definedName>
    <definedName name="OSRRefT16x_0" localSheetId="52">'330'!$T$58:$T$81</definedName>
    <definedName name="OSRRefT16x_0" localSheetId="58">'331'!$T$47:$T$70</definedName>
    <definedName name="OSRRefT16x_0" localSheetId="61">'332'!$T$36:$T$40</definedName>
    <definedName name="OSRRefT16x_0" localSheetId="76">'405'!$T$17:$T$18</definedName>
    <definedName name="OSRRefT16x_0" localSheetId="77">'406'!$T$17:$T$18</definedName>
    <definedName name="OSRRefT16x_0" localSheetId="79">'412'!$T$18:$T$19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0">'420'!$T$17:$T$18</definedName>
    <definedName name="OSRRefT16x_0" localSheetId="85">'423'!$T$15</definedName>
    <definedName name="OSRRefT16x_0" localSheetId="86">'424'!$T$19:$T$20</definedName>
    <definedName name="OSRRefT16x_0" localSheetId="87">'425'!$T$20:$T$21</definedName>
    <definedName name="OSRRefT16x_0" localSheetId="91">'433'!$T$19:$T$20</definedName>
    <definedName name="OSRRefT16x_0" localSheetId="92">'435'!$T$18:$T$19</definedName>
    <definedName name="OSRRefT16x_0" localSheetId="93">'444'!$T$18:$T$19</definedName>
    <definedName name="OSRRefT16x_0" localSheetId="95">'450'!$T$18:$T$19</definedName>
    <definedName name="OSRRefT16x_0" localSheetId="75">'491'!$T$27:$T$28</definedName>
    <definedName name="OSRRefT16x_0" localSheetId="89">'492'!$T$21:$T$22</definedName>
    <definedName name="OSRRefT16x_0" localSheetId="47">'Div 3'!$T$121:$T$173</definedName>
    <definedName name="OSRRefT16x_0" localSheetId="73">'Div 4'!$T$28:$T$29</definedName>
    <definedName name="OSRRefT16x_0" localSheetId="64">'Div 6'!$T$39:$T$53</definedName>
    <definedName name="OSRRefT16x_0" localSheetId="2">Summary!$T$149:$T$209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'206'!$T$20:$T$27</definedName>
    <definedName name="OSRRefT22_0x_0" localSheetId="48">'300'!$T$174:$T$182</definedName>
    <definedName name="OSRRefT22_0x_0" localSheetId="49">'300 &amp; 317'!$T$200:$T$208</definedName>
    <definedName name="OSRRefT22_0x_0" localSheetId="50">'301'!$T$21:$T$28</definedName>
    <definedName name="OSRRefT22_0x_0" localSheetId="53">'307'!$T$20:$T$27</definedName>
    <definedName name="OSRRefT22_0x_0" localSheetId="55">'308'!$T$68:$T$76</definedName>
    <definedName name="OSRRefT22_0x_0" localSheetId="67">'309'!$T$24:$T$31</definedName>
    <definedName name="OSRRefT22_0x_0" localSheetId="66">'310'!$T$34:$T$41</definedName>
    <definedName name="OSRRefT22_0x_0" localSheetId="74">'310 &amp; 491'!$T$43:$T$51</definedName>
    <definedName name="OSRRefT22_0x_0" localSheetId="56">'311'!$T$66:$T$74</definedName>
    <definedName name="OSRRefT22_0x_0" localSheetId="68">'313'!$T$31:$T$38</definedName>
    <definedName name="OSRRefT22_0x_0" localSheetId="54">'314'!$T$56:$T$64</definedName>
    <definedName name="OSRRefT22_0x_0" localSheetId="59">'315'!$T$57:$T$64</definedName>
    <definedName name="OSRRefT22_0x_0" localSheetId="62">'316'!$T$35:$T$42</definedName>
    <definedName name="OSRRefT22_0x_0" localSheetId="65">'317'!$T$59:$T$67</definedName>
    <definedName name="OSRRefT22_0x_0" localSheetId="63">'320'!$T$31:$T$38</definedName>
    <definedName name="OSRRefT22_0x_0" localSheetId="69">'321'!$T$24:$T$30</definedName>
    <definedName name="OSRRefT22_0x_0" localSheetId="70">'322'!$T$24:$T$31</definedName>
    <definedName name="OSRRefT22_0x_0" localSheetId="57">'324'!$T$26</definedName>
    <definedName name="OSRRefT22_0x_0" localSheetId="71">'325'!$T$24:$T$31</definedName>
    <definedName name="OSRRefT22_0x_0" localSheetId="60">'326'!$T$62:$T$69</definedName>
    <definedName name="OSRRefT22_0x_0" localSheetId="72">'327'!$T$22</definedName>
    <definedName name="OSRRefT22_0x_0" localSheetId="52">'330'!$T$87:$T$95</definedName>
    <definedName name="OSRRefT22_0x_0" localSheetId="58">'331'!$T$76:$T$83</definedName>
    <definedName name="OSRRefT22_0x_0" localSheetId="61">'332'!$T$46:$T$53</definedName>
    <definedName name="OSRRefT22_0x_0" localSheetId="76">'405'!$T$24:$T$31</definedName>
    <definedName name="OSRRefT22_0x_0" localSheetId="77">'406'!$T$24:$T$31</definedName>
    <definedName name="OSRRefT22_0x_0" localSheetId="78">'411'!$T$20:$T$28</definedName>
    <definedName name="OSRRefT22_0x_0" localSheetId="79">'412'!$T$25:$T$32</definedName>
    <definedName name="OSRRefT22_0x_0" localSheetId="81">'413'!$T$24:$T$31</definedName>
    <definedName name="OSRRefT22_0x_0" localSheetId="82">'414'!$T$24:$T$31</definedName>
    <definedName name="OSRRefT22_0x_0" localSheetId="83">'415'!$T$24:$T$31</definedName>
    <definedName name="OSRRefT22_0x_0" localSheetId="84">'418'!$T$24:$T$31</definedName>
    <definedName name="OSRRefT22_0x_0" localSheetId="80">'420'!$T$24:$T$31</definedName>
    <definedName name="OSRRefT22_0x_0" localSheetId="85">'423'!$T$21:$T$28</definedName>
    <definedName name="OSRRefT22_0x_0" localSheetId="86">'424'!$T$26:$T$28</definedName>
    <definedName name="OSRRefT22_0x_0" localSheetId="87">'425'!$T$27:$T$35</definedName>
    <definedName name="OSRRefT22_0x_0" localSheetId="90">'430'!$T$20:$T$27</definedName>
    <definedName name="OSRRefT22_0x_0" localSheetId="91">'433'!$T$26:$T$34</definedName>
    <definedName name="OSRRefT22_0x_0" localSheetId="92">'435'!$T$25:$T$27</definedName>
    <definedName name="OSRRefT22_0x_0" localSheetId="93">'444'!$T$25:$T$33</definedName>
    <definedName name="OSRRefT22_0x_0" localSheetId="94">'445'!$T$20</definedName>
    <definedName name="OSRRefT22_0x_0" localSheetId="95">'450'!$T$25:$T$33</definedName>
    <definedName name="OSRRefT22_0x_0" localSheetId="88">'455'!$T$20:$T$26</definedName>
    <definedName name="OSRRefT22_0x_0" localSheetId="75">'491'!$T$34:$T$42</definedName>
    <definedName name="OSRRefT22_0x_0" localSheetId="89">'492'!$T$28:$T$36</definedName>
    <definedName name="OSRRefT22_0x_0" localSheetId="97">'501'!$T$21:$T$28</definedName>
    <definedName name="OSRRefT22_0x_0" localSheetId="39">'Div 2'!$T$20:$T$30</definedName>
    <definedName name="OSRRefT22_0x_0" localSheetId="47">'Div 3'!$T$179:$T$187</definedName>
    <definedName name="OSRRefT22_0x_0" localSheetId="73">'Div 4'!$T$35:$T$43</definedName>
    <definedName name="OSRRefT22_0x_0" localSheetId="96">'Div 5'!$T$21:$T$28</definedName>
    <definedName name="OSRRefT22_0x_0" localSheetId="64">'Div 6'!$T$59:$T$67</definedName>
    <definedName name="OSRRefT22_0x_0" localSheetId="2">Summary!$T$215:$T$223</definedName>
    <definedName name="OSRRefT22_10x_0" localSheetId="41">'201'!$T$50:$T$52</definedName>
    <definedName name="OSRRefT22_10x_0" localSheetId="42">'202'!$T$52:$T$54</definedName>
    <definedName name="OSRRefT22_10x_0" localSheetId="43">'203'!$T$55:$T$56</definedName>
    <definedName name="OSRRefT22_10x_0" localSheetId="44">'204'!$T$60:$T$61</definedName>
    <definedName name="OSRRefT22_10x_0" localSheetId="48">'300'!$T$211:$T$212</definedName>
    <definedName name="OSRRefT22_10x_0" localSheetId="49">'300 &amp; 317'!$T$237:$T$238</definedName>
    <definedName name="OSRRefT22_10x_0" localSheetId="50">'301'!$T$57</definedName>
    <definedName name="OSRRefT22_10x_0" localSheetId="53">'307'!$T$51:$T$52</definedName>
    <definedName name="OSRRefT22_10x_0" localSheetId="55">'308'!$T$104:$T$105</definedName>
    <definedName name="OSRRefT22_10x_0" localSheetId="67">'309'!$T$56:$T$58</definedName>
    <definedName name="OSRRefT22_10x_0" localSheetId="66">'310'!$T$68</definedName>
    <definedName name="OSRRefT22_10x_0" localSheetId="74">'310 &amp; 491'!$T$79:$T$80</definedName>
    <definedName name="OSRRefT22_10x_0" localSheetId="56">'311'!$T$102:$T$103</definedName>
    <definedName name="OSRRefT22_10x_0" localSheetId="68">'313'!$T$66:$T$67</definedName>
    <definedName name="OSRRefT22_10x_0" localSheetId="54">'314'!$T$90</definedName>
    <definedName name="OSRRefT22_10x_0" localSheetId="59">'315'!$T$93:$T$94</definedName>
    <definedName name="OSRRefT22_10x_0" localSheetId="62">'316'!$T$67:$T$71</definedName>
    <definedName name="OSRRefT22_10x_0" localSheetId="65">'317'!$T$92</definedName>
    <definedName name="OSRRefT22_10x_0" localSheetId="69">'321'!$T$58:$T$63</definedName>
    <definedName name="OSRRefT22_10x_0" localSheetId="70">'322'!$T$55</definedName>
    <definedName name="OSRRefT22_10x_0" localSheetId="71">'325'!$T$57</definedName>
    <definedName name="OSRRefT22_10x_0" localSheetId="60">'326'!$T$93</definedName>
    <definedName name="OSRRefT22_10x_0" localSheetId="52">'330'!$T$120</definedName>
    <definedName name="OSRRefT22_10x_0" localSheetId="58">'331'!$T$110</definedName>
    <definedName name="OSRRefT22_10x_0" localSheetId="61">'332'!$T$80</definedName>
    <definedName name="OSRRefT22_10x_0" localSheetId="76">'405'!$T$56:$T$57</definedName>
    <definedName name="OSRRefT22_10x_0" localSheetId="77">'406'!$T$58:$T$59</definedName>
    <definedName name="OSRRefT22_10x_0" localSheetId="78">'411'!$T$55</definedName>
    <definedName name="OSRRefT22_10x_0" localSheetId="79">'412'!$T$59</definedName>
    <definedName name="OSRRefT22_10x_0" localSheetId="81">'413'!$T$59:$T$64</definedName>
    <definedName name="OSRRefT22_10x_0" localSheetId="82">'414'!$T$57</definedName>
    <definedName name="OSRRefT22_10x_0" localSheetId="83">'415'!$T$57</definedName>
    <definedName name="OSRRefT22_10x_0" localSheetId="84">'418'!$T$57:$T$58</definedName>
    <definedName name="OSRRefT22_10x_0" localSheetId="86">'424'!$T$53</definedName>
    <definedName name="OSRRefT22_10x_0" localSheetId="87">'425'!$T$62</definedName>
    <definedName name="OSRRefT22_10x_0" localSheetId="91">'433'!$T$59:$T$61</definedName>
    <definedName name="OSRRefT22_10x_0" localSheetId="93">'444'!$T$58</definedName>
    <definedName name="OSRRefT22_10x_0" localSheetId="95">'450'!$T$58</definedName>
    <definedName name="OSRRefT22_10x_0" localSheetId="75">'491'!$T$70</definedName>
    <definedName name="OSRRefT22_10x_0" localSheetId="89">'492'!$T$62</definedName>
    <definedName name="OSRRefT22_10x_0" localSheetId="97">'501'!$T$54:$T$56</definedName>
    <definedName name="OSRRefT22_10x_0" localSheetId="39">'Div 2'!$T$57</definedName>
    <definedName name="OSRRefT22_10x_0" localSheetId="47">'Div 3'!$T$216:$T$217</definedName>
    <definedName name="OSRRefT22_10x_0" localSheetId="73">'Div 4'!$T$71</definedName>
    <definedName name="OSRRefT22_10x_0" localSheetId="96">'Div 5'!$T$54:$T$56</definedName>
    <definedName name="OSRRefT22_10x_0" localSheetId="64">'Div 6'!$T$92</definedName>
    <definedName name="OSRRefT22_10x_0" localSheetId="2">Summary!$T$253:$T$254</definedName>
    <definedName name="OSRRefT22_11x_0" localSheetId="41">'201'!$T$54:$T$56</definedName>
    <definedName name="OSRRefT22_11x_0" localSheetId="42">'202'!$T$56</definedName>
    <definedName name="OSRRefT22_11x_0" localSheetId="43">'203'!$T$58:$T$59</definedName>
    <definedName name="OSRRefT22_11x_0" localSheetId="48">'300'!$T$214</definedName>
    <definedName name="OSRRefT22_11x_0" localSheetId="49">'300 &amp; 317'!$T$240</definedName>
    <definedName name="OSRRefT22_11x_0" localSheetId="50">'301'!$T$59</definedName>
    <definedName name="OSRRefT22_11x_0" localSheetId="53">'307'!$T$54</definedName>
    <definedName name="OSRRefT22_11x_0" localSheetId="55">'308'!$T$107:$T$110</definedName>
    <definedName name="OSRRefT22_11x_0" localSheetId="67">'309'!$T$60</definedName>
    <definedName name="OSRRefT22_11x_0" localSheetId="66">'310'!$T$70</definedName>
    <definedName name="OSRRefT22_11x_0" localSheetId="74">'310 &amp; 491'!$T$82:$T$83</definedName>
    <definedName name="OSRRefT22_11x_0" localSheetId="56">'311'!$T$105:$T$108</definedName>
    <definedName name="OSRRefT22_11x_0" localSheetId="68">'313'!$T$69:$T$70</definedName>
    <definedName name="OSRRefT22_11x_0" localSheetId="59">'315'!$T$96:$T$97</definedName>
    <definedName name="OSRRefT22_11x_0" localSheetId="62">'316'!$T$73</definedName>
    <definedName name="OSRRefT22_11x_0" localSheetId="65">'317'!$T$94</definedName>
    <definedName name="OSRRefT22_11x_0" localSheetId="69">'321'!$T$65</definedName>
    <definedName name="OSRRefT22_11x_0" localSheetId="70">'322'!$T$57:$T$58</definedName>
    <definedName name="OSRRefT22_11x_0" localSheetId="71">'325'!$T$59:$T$61</definedName>
    <definedName name="OSRRefT22_11x_0" localSheetId="60">'326'!$T$95</definedName>
    <definedName name="OSRRefT22_11x_0" localSheetId="52">'330'!$T$122:$T$123</definedName>
    <definedName name="OSRRefT22_11x_0" localSheetId="58">'331'!$T$112</definedName>
    <definedName name="OSRRefT22_11x_0" localSheetId="61">'332'!$T$82:$T$86</definedName>
    <definedName name="OSRRefT22_11x_0" localSheetId="76">'405'!$T$59</definedName>
    <definedName name="OSRRefT22_11x_0" localSheetId="77">'406'!$T$61:$T$66</definedName>
    <definedName name="OSRRefT22_11x_0" localSheetId="78">'411'!$T$57</definedName>
    <definedName name="OSRRefT22_11x_0" localSheetId="79">'412'!$T$61:$T$63</definedName>
    <definedName name="OSRRefT22_11x_0" localSheetId="81">'413'!$T$66</definedName>
    <definedName name="OSRRefT22_11x_0" localSheetId="82">'414'!$T$59</definedName>
    <definedName name="OSRRefT22_11x_0" localSheetId="83">'415'!$T$59:$T$62</definedName>
    <definedName name="OSRRefT22_11x_0" localSheetId="84">'418'!$T$60:$T$62</definedName>
    <definedName name="OSRRefT22_11x_0" localSheetId="86">'424'!$T$55</definedName>
    <definedName name="OSRRefT22_11x_0" localSheetId="87">'425'!$T$64:$T$66</definedName>
    <definedName name="OSRRefT22_11x_0" localSheetId="91">'433'!$T$63:$T$65</definedName>
    <definedName name="OSRRefT22_11x_0" localSheetId="93">'444'!$T$60:$T$62</definedName>
    <definedName name="OSRRefT22_11x_0" localSheetId="95">'450'!$T$60</definedName>
    <definedName name="OSRRefT22_11x_0" localSheetId="75">'491'!$T$72:$T$73</definedName>
    <definedName name="OSRRefT22_11x_0" localSheetId="89">'492'!$T$64</definedName>
    <definedName name="OSRRefT22_11x_0" localSheetId="97">'501'!$T$58</definedName>
    <definedName name="OSRRefT22_11x_0" localSheetId="39">'Div 2'!$T$59</definedName>
    <definedName name="OSRRefT22_11x_0" localSheetId="47">'Div 3'!$T$219</definedName>
    <definedName name="OSRRefT22_11x_0" localSheetId="73">'Div 4'!$T$73:$T$74</definedName>
    <definedName name="OSRRefT22_11x_0" localSheetId="96">'Div 5'!$T$58</definedName>
    <definedName name="OSRRefT22_11x_0" localSheetId="64">'Div 6'!$T$94</definedName>
    <definedName name="OSRRefT22_11x_0" localSheetId="2">Summary!$T$256:$T$257</definedName>
    <definedName name="OSRRefT22_12x_0" localSheetId="41">'201'!$T$58</definedName>
    <definedName name="OSRRefT22_12x_0" localSheetId="42">'202'!$T$58</definedName>
    <definedName name="OSRRefT22_12x_0" localSheetId="43">'203'!$T$61:$T$63</definedName>
    <definedName name="OSRRefT22_12x_0" localSheetId="48">'300'!$T$216</definedName>
    <definedName name="OSRRefT22_12x_0" localSheetId="49">'300 &amp; 317'!$T$242</definedName>
    <definedName name="OSRRefT22_12x_0" localSheetId="50">'301'!$T$61</definedName>
    <definedName name="OSRRefT22_12x_0" localSheetId="55">'308'!$T$112:$T$113</definedName>
    <definedName name="OSRRefT22_12x_0" localSheetId="67">'309'!$T$62:$T$68</definedName>
    <definedName name="OSRRefT22_12x_0" localSheetId="66">'310'!$T$72</definedName>
    <definedName name="OSRRefT22_12x_0" localSheetId="74">'310 &amp; 491'!$T$85</definedName>
    <definedName name="OSRRefT22_12x_0" localSheetId="56">'311'!$T$110:$T$111</definedName>
    <definedName name="OSRRefT22_12x_0" localSheetId="68">'313'!$T$72:$T$77</definedName>
    <definedName name="OSRRefT22_12x_0" localSheetId="59">'315'!$T$99:$T$103</definedName>
    <definedName name="OSRRefT22_12x_0" localSheetId="62">'316'!$T$75</definedName>
    <definedName name="OSRRefT22_12x_0" localSheetId="65">'317'!$T$96:$T$97</definedName>
    <definedName name="OSRRefT22_12x_0" localSheetId="69">'321'!$T$67</definedName>
    <definedName name="OSRRefT22_12x_0" localSheetId="70">'322'!$T$60:$T$62</definedName>
    <definedName name="OSRRefT22_12x_0" localSheetId="71">'325'!$T$63:$T$66</definedName>
    <definedName name="OSRRefT22_12x_0" localSheetId="60">'326'!$T$97</definedName>
    <definedName name="OSRRefT22_12x_0" localSheetId="52">'330'!$T$125:$T$126</definedName>
    <definedName name="OSRRefT22_12x_0" localSheetId="58">'331'!$T$114</definedName>
    <definedName name="OSRRefT22_12x_0" localSheetId="61">'332'!$T$88</definedName>
    <definedName name="OSRRefT22_12x_0" localSheetId="76">'405'!$T$61:$T$63</definedName>
    <definedName name="OSRRefT22_12x_0" localSheetId="77">'406'!$T$68</definedName>
    <definedName name="OSRRefT22_12x_0" localSheetId="78">'411'!$T$59:$T$62</definedName>
    <definedName name="OSRRefT22_12x_0" localSheetId="79">'412'!$T$65:$T$72</definedName>
    <definedName name="OSRRefT22_12x_0" localSheetId="81">'413'!$T$68</definedName>
    <definedName name="OSRRefT22_12x_0" localSheetId="82">'414'!$T$61</definedName>
    <definedName name="OSRRefT22_12x_0" localSheetId="83">'415'!$T$64:$T$68</definedName>
    <definedName name="OSRRefT22_12x_0" localSheetId="84">'418'!$T$64:$T$66</definedName>
    <definedName name="OSRRefT22_12x_0" localSheetId="86">'424'!$T$57:$T$63</definedName>
    <definedName name="OSRRefT22_12x_0" localSheetId="87">'425'!$T$68:$T$74</definedName>
    <definedName name="OSRRefT22_12x_0" localSheetId="91">'433'!$T$67:$T$74</definedName>
    <definedName name="OSRRefT22_12x_0" localSheetId="93">'444'!$T$64:$T$66</definedName>
    <definedName name="OSRRefT22_12x_0" localSheetId="95">'450'!$T$62:$T$64</definedName>
    <definedName name="OSRRefT22_12x_0" localSheetId="75">'491'!$T$75</definedName>
    <definedName name="OSRRefT22_12x_0" localSheetId="89">'492'!$T$66</definedName>
    <definedName name="OSRRefT22_12x_0" localSheetId="97">'501'!$T$60:$T$63</definedName>
    <definedName name="OSRRefT22_12x_0" localSheetId="39">'Div 2'!$T$61:$T$64</definedName>
    <definedName name="OSRRefT22_12x_0" localSheetId="47">'Div 3'!$T$221</definedName>
    <definedName name="OSRRefT22_12x_0" localSheetId="73">'Div 4'!$T$76</definedName>
    <definedName name="OSRRefT22_12x_0" localSheetId="96">'Div 5'!$T$60:$T$63</definedName>
    <definedName name="OSRRefT22_12x_0" localSheetId="64">'Div 6'!$T$96:$T$97</definedName>
    <definedName name="OSRRefT22_12x_0" localSheetId="2">Summary!$T$259</definedName>
    <definedName name="OSRRefT22_13x_0" localSheetId="41">'201'!$T$60:$T$63</definedName>
    <definedName name="OSRRefT22_13x_0" localSheetId="42">'202'!$T$60:$T$62</definedName>
    <definedName name="OSRRefT22_13x_0" localSheetId="43">'203'!$T$65</definedName>
    <definedName name="OSRRefT22_13x_0" localSheetId="48">'300'!$T$218</definedName>
    <definedName name="OSRRefT22_13x_0" localSheetId="49">'300 &amp; 317'!$T$244</definedName>
    <definedName name="OSRRefT22_13x_0" localSheetId="50">'301'!$T$63</definedName>
    <definedName name="OSRRefT22_13x_0" localSheetId="55">'308'!$T$115</definedName>
    <definedName name="OSRRefT22_13x_0" localSheetId="67">'309'!$T$70</definedName>
    <definedName name="OSRRefT22_13x_0" localSheetId="66">'310'!$T$74</definedName>
    <definedName name="OSRRefT22_13x_0" localSheetId="74">'310 &amp; 491'!$T$87</definedName>
    <definedName name="OSRRefT22_13x_0" localSheetId="56">'311'!$T$113</definedName>
    <definedName name="OSRRefT22_13x_0" localSheetId="68">'313'!$T$79</definedName>
    <definedName name="OSRRefT22_13x_0" localSheetId="59">'315'!$T$105</definedName>
    <definedName name="OSRRefT22_13x_0" localSheetId="65">'317'!$T$99</definedName>
    <definedName name="OSRRefT22_13x_0" localSheetId="69">'321'!$T$69</definedName>
    <definedName name="OSRRefT22_13x_0" localSheetId="70">'322'!$T$64</definedName>
    <definedName name="OSRRefT22_13x_0" localSheetId="71">'325'!$T$68:$T$69</definedName>
    <definedName name="OSRRefT22_13x_0" localSheetId="60">'326'!$T$99:$T$100</definedName>
    <definedName name="OSRRefT22_13x_0" localSheetId="52">'330'!$T$128</definedName>
    <definedName name="OSRRefT22_13x_0" localSheetId="58">'331'!$T$116</definedName>
    <definedName name="OSRRefT22_13x_0" localSheetId="61">'332'!$T$90</definedName>
    <definedName name="OSRRefT22_13x_0" localSheetId="76">'405'!$T$65:$T$66</definedName>
    <definedName name="OSRRefT22_13x_0" localSheetId="77">'406'!$T$70</definedName>
    <definedName name="OSRRefT22_13x_0" localSheetId="78">'411'!$T$64:$T$68</definedName>
    <definedName name="OSRRefT22_13x_0" localSheetId="79">'412'!$T$74</definedName>
    <definedName name="OSRRefT22_13x_0" localSheetId="81">'413'!$T$70</definedName>
    <definedName name="OSRRefT22_13x_0" localSheetId="82">'414'!$T$63:$T$69</definedName>
    <definedName name="OSRRefT22_13x_0" localSheetId="83">'415'!$T$70:$T$71</definedName>
    <definedName name="OSRRefT22_13x_0" localSheetId="84">'418'!$T$68:$T$69</definedName>
    <definedName name="OSRRefT22_13x_0" localSheetId="86">'424'!$T$65</definedName>
    <definedName name="OSRRefT22_13x_0" localSheetId="87">'425'!$T$76</definedName>
    <definedName name="OSRRefT22_13x_0" localSheetId="91">'433'!$T$76</definedName>
    <definedName name="OSRRefT22_13x_0" localSheetId="93">'444'!$T$68:$T$75</definedName>
    <definedName name="OSRRefT22_13x_0" localSheetId="95">'450'!$T$66:$T$68</definedName>
    <definedName name="OSRRefT22_13x_0" localSheetId="75">'491'!$T$77</definedName>
    <definedName name="OSRRefT22_13x_0" localSheetId="89">'492'!$T$68:$T$70</definedName>
    <definedName name="OSRRefT22_13x_0" localSheetId="97">'501'!$T$65</definedName>
    <definedName name="OSRRefT22_13x_0" localSheetId="39">'Div 2'!$T$66:$T$69</definedName>
    <definedName name="OSRRefT22_13x_0" localSheetId="47">'Div 3'!$T$223</definedName>
    <definedName name="OSRRefT22_13x_0" localSheetId="73">'Div 4'!$T$78</definedName>
    <definedName name="OSRRefT22_13x_0" localSheetId="96">'Div 5'!$T$65</definedName>
    <definedName name="OSRRefT22_13x_0" localSheetId="64">'Div 6'!$T$99</definedName>
    <definedName name="OSRRefT22_13x_0" localSheetId="2">Summary!$T$261</definedName>
    <definedName name="OSRRefT22_14x_0" localSheetId="41">'201'!$T$65</definedName>
    <definedName name="OSRRefT22_14x_0" localSheetId="42">'202'!$T$64</definedName>
    <definedName name="OSRRefT22_14x_0" localSheetId="43">'203'!$T$67</definedName>
    <definedName name="OSRRefT22_14x_0" localSheetId="48">'300'!$T$220</definedName>
    <definedName name="OSRRefT22_14x_0" localSheetId="49">'300 &amp; 317'!$T$246</definedName>
    <definedName name="OSRRefT22_14x_0" localSheetId="50">'301'!$T$65</definedName>
    <definedName name="OSRRefT22_14x_0" localSheetId="55">'308'!$T$117</definedName>
    <definedName name="OSRRefT22_14x_0" localSheetId="66">'310'!$T$76:$T$78</definedName>
    <definedName name="OSRRefT22_14x_0" localSheetId="74">'310 &amp; 491'!$T$89</definedName>
    <definedName name="OSRRefT22_14x_0" localSheetId="56">'311'!$T$115</definedName>
    <definedName name="OSRRefT22_14x_0" localSheetId="68">'313'!$T$81</definedName>
    <definedName name="OSRRefT22_14x_0" localSheetId="59">'315'!$T$107</definedName>
    <definedName name="OSRRefT22_14x_0" localSheetId="65">'317'!$T$101</definedName>
    <definedName name="OSRRefT22_14x_0" localSheetId="70">'322'!$T$66:$T$72</definedName>
    <definedName name="OSRRefT22_14x_0" localSheetId="71">'325'!$T$71:$T$76</definedName>
    <definedName name="OSRRefT22_14x_0" localSheetId="60">'326'!$T$102:$T$104</definedName>
    <definedName name="OSRRefT22_14x_0" localSheetId="52">'330'!$T$130:$T$132</definedName>
    <definedName name="OSRRefT22_14x_0" localSheetId="58">'331'!$T$118:$T$120</definedName>
    <definedName name="OSRRefT22_14x_0" localSheetId="76">'405'!$T$68:$T$74</definedName>
    <definedName name="OSRRefT22_14x_0" localSheetId="77">'406'!$T$72:$T$73</definedName>
    <definedName name="OSRRefT22_14x_0" localSheetId="78">'411'!$T$70:$T$71</definedName>
    <definedName name="OSRRefT22_14x_0" localSheetId="79">'412'!$T$76</definedName>
    <definedName name="OSRRefT22_14x_0" localSheetId="82">'414'!$T$71</definedName>
    <definedName name="OSRRefT22_14x_0" localSheetId="83">'415'!$T$73:$T$80</definedName>
    <definedName name="OSRRefT22_14x_0" localSheetId="84">'418'!$T$71:$T$78</definedName>
    <definedName name="OSRRefT22_14x_0" localSheetId="87">'425'!$T$78</definedName>
    <definedName name="OSRRefT22_14x_0" localSheetId="91">'433'!$T$78</definedName>
    <definedName name="OSRRefT22_14x_0" localSheetId="93">'444'!$T$77</definedName>
    <definedName name="OSRRefT22_14x_0" localSheetId="95">'450'!$T$70:$T$76</definedName>
    <definedName name="OSRRefT22_14x_0" localSheetId="75">'491'!$T$79</definedName>
    <definedName name="OSRRefT22_14x_0" localSheetId="89">'492'!$T$72:$T$74</definedName>
    <definedName name="OSRRefT22_14x_0" localSheetId="97">'501'!$T$67</definedName>
    <definedName name="OSRRefT22_14x_0" localSheetId="39">'Div 2'!$T$71:$T$72</definedName>
    <definedName name="OSRRefT22_14x_0" localSheetId="47">'Div 3'!$T$225</definedName>
    <definedName name="OSRRefT22_14x_0" localSheetId="73">'Div 4'!$T$80</definedName>
    <definedName name="OSRRefT22_14x_0" localSheetId="96">'Div 5'!$T$67</definedName>
    <definedName name="OSRRefT22_14x_0" localSheetId="64">'Div 6'!$T$101</definedName>
    <definedName name="OSRRefT22_14x_0" localSheetId="2">Summary!$T$263</definedName>
    <definedName name="OSRRefT22_15x_0" localSheetId="41">'201'!$T$67</definedName>
    <definedName name="OSRRefT22_15x_0" localSheetId="42">'202'!$T$66</definedName>
    <definedName name="OSRRefT22_15x_0" localSheetId="43">'203'!$T$69</definedName>
    <definedName name="OSRRefT22_15x_0" localSheetId="48">'300'!$T$222</definedName>
    <definedName name="OSRRefT22_15x_0" localSheetId="49">'300 &amp; 317'!$T$248</definedName>
    <definedName name="OSRRefT22_15x_0" localSheetId="50">'301'!$T$67:$T$70</definedName>
    <definedName name="OSRRefT22_15x_0" localSheetId="66">'310'!$T$80</definedName>
    <definedName name="OSRRefT22_15x_0" localSheetId="74">'310 &amp; 491'!$T$91</definedName>
    <definedName name="OSRRefT22_15x_0" localSheetId="59">'315'!$T$109:$T$110</definedName>
    <definedName name="OSRRefT22_15x_0" localSheetId="65">'317'!$T$103:$T$104</definedName>
    <definedName name="OSRRefT22_15x_0" localSheetId="70">'322'!$T$74</definedName>
    <definedName name="OSRRefT22_15x_0" localSheetId="71">'325'!$T$78</definedName>
    <definedName name="OSRRefT22_15x_0" localSheetId="60">'326'!$T$106:$T$107</definedName>
    <definedName name="OSRRefT22_15x_0" localSheetId="52">'330'!$T$134</definedName>
    <definedName name="OSRRefT22_15x_0" localSheetId="58">'331'!$T$122:$T$123</definedName>
    <definedName name="OSRRefT22_15x_0" localSheetId="76">'405'!$T$76</definedName>
    <definedName name="OSRRefT22_15x_0" localSheetId="78">'411'!$T$73:$T$81</definedName>
    <definedName name="OSRRefT22_15x_0" localSheetId="82">'414'!$T$73</definedName>
    <definedName name="OSRRefT22_15x_0" localSheetId="83">'415'!$T$82</definedName>
    <definedName name="OSRRefT22_15x_0" localSheetId="84">'418'!$T$80</definedName>
    <definedName name="OSRRefT22_15x_0" localSheetId="87">'425'!$T$80</definedName>
    <definedName name="OSRRefT22_15x_0" localSheetId="91">'433'!$T$80:$T$81</definedName>
    <definedName name="OSRRefT22_15x_0" localSheetId="93">'444'!$T$79</definedName>
    <definedName name="OSRRefT22_15x_0" localSheetId="95">'450'!$T$78</definedName>
    <definedName name="OSRRefT22_15x_0" localSheetId="75">'491'!$T$81</definedName>
    <definedName name="OSRRefT22_15x_0" localSheetId="89">'492'!$T$76:$T$84</definedName>
    <definedName name="OSRRefT22_15x_0" localSheetId="39">'Div 2'!$T$74:$T$75</definedName>
    <definedName name="OSRRefT22_15x_0" localSheetId="47">'Div 3'!$T$227</definedName>
    <definedName name="OSRRefT22_15x_0" localSheetId="73">'Div 4'!$T$82</definedName>
    <definedName name="OSRRefT22_15x_0" localSheetId="64">'Div 6'!$T$103:$T$104</definedName>
    <definedName name="OSRRefT22_15x_0" localSheetId="2">Summary!$T$265</definedName>
    <definedName name="OSRRefT22_16x_0" localSheetId="41">'201'!$T$69:$T$70</definedName>
    <definedName name="OSRRefT22_16x_0" localSheetId="42">'202'!$T$68</definedName>
    <definedName name="OSRRefT22_16x_0" localSheetId="48">'300'!$T$224:$T$227</definedName>
    <definedName name="OSRRefT22_16x_0" localSheetId="49">'300 &amp; 317'!$T$250:$T$253</definedName>
    <definedName name="OSRRefT22_16x_0" localSheetId="50">'301'!$T$72</definedName>
    <definedName name="OSRRefT22_16x_0" localSheetId="66">'310'!$T$82:$T$85</definedName>
    <definedName name="OSRRefT22_16x_0" localSheetId="74">'310 &amp; 491'!$T$93:$T$96</definedName>
    <definedName name="OSRRefT22_16x_0" localSheetId="70">'322'!$T$76</definedName>
    <definedName name="OSRRefT22_16x_0" localSheetId="71">'325'!$T$80</definedName>
    <definedName name="OSRRefT22_16x_0" localSheetId="60">'326'!$T$109:$T$113</definedName>
    <definedName name="OSRRefT22_16x_0" localSheetId="52">'330'!$T$136</definedName>
    <definedName name="OSRRefT22_16x_0" localSheetId="58">'331'!$T$125:$T$127</definedName>
    <definedName name="OSRRefT22_16x_0" localSheetId="76">'405'!$T$78</definedName>
    <definedName name="OSRRefT22_16x_0" localSheetId="78">'411'!$T$83</definedName>
    <definedName name="OSRRefT22_16x_0" localSheetId="83">'415'!$T$84</definedName>
    <definedName name="OSRRefT22_16x_0" localSheetId="84">'418'!$T$82</definedName>
    <definedName name="OSRRefT22_16x_0" localSheetId="93">'444'!$T$81</definedName>
    <definedName name="OSRRefT22_16x_0" localSheetId="95">'450'!$T$80</definedName>
    <definedName name="OSRRefT22_16x_0" localSheetId="75">'491'!$T$83:$T$86</definedName>
    <definedName name="OSRRefT22_16x_0" localSheetId="89">'492'!$T$86</definedName>
    <definedName name="OSRRefT22_16x_0" localSheetId="39">'Div 2'!$T$77:$T$81</definedName>
    <definedName name="OSRRefT22_16x_0" localSheetId="47">'Div 3'!$T$229</definedName>
    <definedName name="OSRRefT22_16x_0" localSheetId="73">'Div 4'!$T$84</definedName>
    <definedName name="OSRRefT22_16x_0" localSheetId="2">Summary!$T$267</definedName>
    <definedName name="OSRRefT22_17x_0" localSheetId="48">'300'!$T$229:$T$231</definedName>
    <definedName name="OSRRefT22_17x_0" localSheetId="49">'300 &amp; 317'!$T$255:$T$257</definedName>
    <definedName name="OSRRefT22_17x_0" localSheetId="50">'301'!$T$74:$T$76</definedName>
    <definedName name="OSRRefT22_17x_0" localSheetId="66">'310'!$T$87:$T$88</definedName>
    <definedName name="OSRRefT22_17x_0" localSheetId="74">'310 &amp; 491'!$T$98:$T$99</definedName>
    <definedName name="OSRRefT22_17x_0" localSheetId="70">'322'!$T$78</definedName>
    <definedName name="OSRRefT22_17x_0" localSheetId="71">'325'!$T$82</definedName>
    <definedName name="OSRRefT22_17x_0" localSheetId="60">'326'!$T$115</definedName>
    <definedName name="OSRRefT22_17x_0" localSheetId="52">'330'!$T$138</definedName>
    <definedName name="OSRRefT22_17x_0" localSheetId="58">'331'!$T$129:$T$130</definedName>
    <definedName name="OSRRefT22_17x_0" localSheetId="76">'405'!$T$80</definedName>
    <definedName name="OSRRefT22_17x_0" localSheetId="78">'411'!$T$85</definedName>
    <definedName name="OSRRefT22_17x_0" localSheetId="83">'415'!$T$86</definedName>
    <definedName name="OSRRefT22_17x_0" localSheetId="95">'450'!$T$82:$T$83</definedName>
    <definedName name="OSRRefT22_17x_0" localSheetId="75">'491'!$T$88:$T$89</definedName>
    <definedName name="OSRRefT22_17x_0" localSheetId="89">'492'!$T$88</definedName>
    <definedName name="OSRRefT22_17x_0" localSheetId="39">'Div 2'!$T$83:$T$84</definedName>
    <definedName name="OSRRefT22_17x_0" localSheetId="47">'Div 3'!$T$231:$T$234</definedName>
    <definedName name="OSRRefT22_17x_0" localSheetId="73">'Div 4'!$T$86:$T$89</definedName>
    <definedName name="OSRRefT22_17x_0" localSheetId="2">Summary!$T$269</definedName>
    <definedName name="OSRRefT22_18x_0" localSheetId="48">'300'!$T$233:$T$236</definedName>
    <definedName name="OSRRefT22_18x_0" localSheetId="49">'300 &amp; 317'!$T$259:$T$262</definedName>
    <definedName name="OSRRefT22_18x_0" localSheetId="50">'301'!$T$78:$T$79</definedName>
    <definedName name="OSRRefT22_18x_0" localSheetId="66">'310'!$T$90:$T$97</definedName>
    <definedName name="OSRRefT22_18x_0" localSheetId="74">'310 &amp; 491'!$T$101:$T$105</definedName>
    <definedName name="OSRRefT22_18x_0" localSheetId="60">'326'!$T$117</definedName>
    <definedName name="OSRRefT22_18x_0" localSheetId="58">'331'!$T$132:$T$137</definedName>
    <definedName name="OSRRefT22_18x_0" localSheetId="76">'405'!$T$82</definedName>
    <definedName name="OSRRefT22_18x_0" localSheetId="78">'411'!$T$87:$T$89</definedName>
    <definedName name="OSRRefT22_18x_0" localSheetId="83">'415'!$T$88</definedName>
    <definedName name="OSRRefT22_18x_0" localSheetId="75">'491'!$T$91:$T$95</definedName>
    <definedName name="OSRRefT22_18x_0" localSheetId="89">'492'!$T$90:$T$91</definedName>
    <definedName name="OSRRefT22_18x_0" localSheetId="39">'Div 2'!$T$86</definedName>
    <definedName name="OSRRefT22_18x_0" localSheetId="47">'Div 3'!$T$236:$T$238</definedName>
    <definedName name="OSRRefT22_18x_0" localSheetId="73">'Div 4'!$T$91:$T$92</definedName>
    <definedName name="OSRRefT22_18x_0" localSheetId="2">Summary!$T$271:$T$274</definedName>
    <definedName name="OSRRefT22_19x_0" localSheetId="48">'300'!$T$238:$T$239</definedName>
    <definedName name="OSRRefT22_19x_0" localSheetId="49">'300 &amp; 317'!$T$264:$T$265</definedName>
    <definedName name="OSRRefT22_19x_0" localSheetId="50">'301'!$T$81:$T$87</definedName>
    <definedName name="OSRRefT22_19x_0" localSheetId="66">'310'!$T$99</definedName>
    <definedName name="OSRRefT22_19x_0" localSheetId="74">'310 &amp; 491'!$T$107:$T$108</definedName>
    <definedName name="OSRRefT22_19x_0" localSheetId="60">'326'!$T$119</definedName>
    <definedName name="OSRRefT22_19x_0" localSheetId="58">'331'!$T$139</definedName>
    <definedName name="OSRRefT22_19x_0" localSheetId="78">'411'!$T$91</definedName>
    <definedName name="OSRRefT22_19x_0" localSheetId="75">'491'!$T$97:$T$98</definedName>
    <definedName name="OSRRefT22_19x_0" localSheetId="39">'Div 2'!$T$88:$T$89</definedName>
    <definedName name="OSRRefT22_19x_0" localSheetId="47">'Div 3'!$T$240:$T$244</definedName>
    <definedName name="OSRRefT22_19x_0" localSheetId="73">'Div 4'!$T$94:$T$98</definedName>
    <definedName name="OSRRefT22_19x_0" localSheetId="2">Summary!$T$276:$T$278</definedName>
    <definedName name="OSRRefT22_1x_0" localSheetId="40">'200'!$T$22</definedName>
    <definedName name="OSRRefT22_1x_0" localSheetId="41">'201'!$T$30:$T$32</definedName>
    <definedName name="OSRRefT22_1x_0" localSheetId="42">'202'!$T$29:$T$34</definedName>
    <definedName name="OSRRefT22_1x_0" localSheetId="43">'203'!$T$31:$T$35</definedName>
    <definedName name="OSRRefT22_1x_0" localSheetId="44">'204'!$T$31:$T$36</definedName>
    <definedName name="OSRRefT22_1x_0" localSheetId="45">'205'!$T$29</definedName>
    <definedName name="OSRRefT22_1x_0" localSheetId="46">'206'!$T$29:$T$34</definedName>
    <definedName name="OSRRefT22_1x_0" localSheetId="48">'300'!$T$184:$T$190</definedName>
    <definedName name="OSRRefT22_1x_0" localSheetId="49">'300 &amp; 317'!$T$210:$T$216</definedName>
    <definedName name="OSRRefT22_1x_0" localSheetId="50">'301'!$T$30:$T$36</definedName>
    <definedName name="OSRRefT22_1x_0" localSheetId="53">'307'!$T$29:$T$31</definedName>
    <definedName name="OSRRefT22_1x_0" localSheetId="55">'308'!$T$78:$T$82</definedName>
    <definedName name="OSRRefT22_1x_0" localSheetId="67">'309'!$T$33:$T$37</definedName>
    <definedName name="OSRRefT22_1x_0" localSheetId="66">'310'!$T$43:$T$48</definedName>
    <definedName name="OSRRefT22_1x_0" localSheetId="74">'310 &amp; 491'!$T$53:$T$59</definedName>
    <definedName name="OSRRefT22_1x_0" localSheetId="56">'311'!$T$76:$T$80</definedName>
    <definedName name="OSRRefT22_1x_0" localSheetId="68">'313'!$T$40:$T$45</definedName>
    <definedName name="OSRRefT22_1x_0" localSheetId="54">'314'!$T$66:$T$69</definedName>
    <definedName name="OSRRefT22_1x_0" localSheetId="59">'315'!$T$66:$T$71</definedName>
    <definedName name="OSRRefT22_1x_0" localSheetId="62">'316'!$T$44:$T$47</definedName>
    <definedName name="OSRRefT22_1x_0" localSheetId="65">'317'!$T$69:$T$73</definedName>
    <definedName name="OSRRefT22_1x_0" localSheetId="63">'320'!$T$40:$T$45</definedName>
    <definedName name="OSRRefT22_1x_0" localSheetId="69">'321'!$T$32:$T$36</definedName>
    <definedName name="OSRRefT22_1x_0" localSheetId="70">'322'!$T$33:$T$37</definedName>
    <definedName name="OSRRefT22_1x_0" localSheetId="71">'325'!$T$33:$T$38</definedName>
    <definedName name="OSRRefT22_1x_0" localSheetId="60">'326'!$T$71:$T$75</definedName>
    <definedName name="OSRRefT22_1x_0" localSheetId="72">'327'!$T$24</definedName>
    <definedName name="OSRRefT22_1x_0" localSheetId="52">'330'!$T$97:$T$101</definedName>
    <definedName name="OSRRefT22_1x_0" localSheetId="58">'331'!$T$85:$T$90</definedName>
    <definedName name="OSRRefT22_1x_0" localSheetId="61">'332'!$T$55:$T$60</definedName>
    <definedName name="OSRRefT22_1x_0" localSheetId="76">'405'!$T$33:$T$37</definedName>
    <definedName name="OSRRefT22_1x_0" localSheetId="77">'406'!$T$33:$T$38</definedName>
    <definedName name="OSRRefT22_1x_0" localSheetId="78">'411'!$T$30:$T$35</definedName>
    <definedName name="OSRRefT22_1x_0" localSheetId="79">'412'!$T$34:$T$39</definedName>
    <definedName name="OSRRefT22_1x_0" localSheetId="81">'413'!$T$33:$T$38</definedName>
    <definedName name="OSRRefT22_1x_0" localSheetId="82">'414'!$T$33:$T$38</definedName>
    <definedName name="OSRRefT22_1x_0" localSheetId="83">'415'!$T$33:$T$38</definedName>
    <definedName name="OSRRefT22_1x_0" localSheetId="84">'418'!$T$33:$T$38</definedName>
    <definedName name="OSRRefT22_1x_0" localSheetId="80">'420'!$T$33:$T$36</definedName>
    <definedName name="OSRRefT22_1x_0" localSheetId="85">'423'!$T$30:$T$31</definedName>
    <definedName name="OSRRefT22_1x_0" localSheetId="86">'424'!$T$30:$T$34</definedName>
    <definedName name="OSRRefT22_1x_0" localSheetId="87">'425'!$T$37:$T$42</definedName>
    <definedName name="OSRRefT22_1x_0" localSheetId="90">'430'!$T$29</definedName>
    <definedName name="OSRRefT22_1x_0" localSheetId="91">'433'!$T$36:$T$41</definedName>
    <definedName name="OSRRefT22_1x_0" localSheetId="92">'435'!$T$29:$T$31</definedName>
    <definedName name="OSRRefT22_1x_0" localSheetId="93">'444'!$T$35:$T$40</definedName>
    <definedName name="OSRRefT22_1x_0" localSheetId="95">'450'!$T$35:$T$40</definedName>
    <definedName name="OSRRefT22_1x_0" localSheetId="88">'455'!$T$28:$T$29</definedName>
    <definedName name="OSRRefT22_1x_0" localSheetId="75">'491'!$T$44:$T$50</definedName>
    <definedName name="OSRRefT22_1x_0" localSheetId="89">'492'!$T$38:$T$44</definedName>
    <definedName name="OSRRefT22_1x_0" localSheetId="97">'501'!$T$30:$T$35</definedName>
    <definedName name="OSRRefT22_1x_0" localSheetId="39">'Div 2'!$T$32:$T$38</definedName>
    <definedName name="OSRRefT22_1x_0" localSheetId="47">'Div 3'!$T$189:$T$195</definedName>
    <definedName name="OSRRefT22_1x_0" localSheetId="73">'Div 4'!$T$45:$T$51</definedName>
    <definedName name="OSRRefT22_1x_0" localSheetId="96">'Div 5'!$T$30:$T$35</definedName>
    <definedName name="OSRRefT22_1x_0" localSheetId="64">'Div 6'!$T$69:$T$73</definedName>
    <definedName name="OSRRefT22_1x_0" localSheetId="2">Summary!$T$225:$T$231</definedName>
    <definedName name="OSRRefT22_20x_0" localSheetId="48">'300'!$T$241:$T$248</definedName>
    <definedName name="OSRRefT22_20x_0" localSheetId="49">'300 &amp; 317'!$T$267:$T$274</definedName>
    <definedName name="OSRRefT22_20x_0" localSheetId="50">'301'!$T$89</definedName>
    <definedName name="OSRRefT22_20x_0" localSheetId="66">'310'!$T$101</definedName>
    <definedName name="OSRRefT22_20x_0" localSheetId="74">'310 &amp; 491'!$T$110:$T$119</definedName>
    <definedName name="OSRRefT22_20x_0" localSheetId="60">'326'!$T$121</definedName>
    <definedName name="OSRRefT22_20x_0" localSheetId="58">'331'!$T$141</definedName>
    <definedName name="OSRRefT22_20x_0" localSheetId="75">'491'!$T$100:$T$109</definedName>
    <definedName name="OSRRefT22_20x_0" localSheetId="47">'Div 3'!$T$246:$T$247</definedName>
    <definedName name="OSRRefT22_20x_0" localSheetId="73">'Div 4'!$T$100:$T$101</definedName>
    <definedName name="OSRRefT22_20x_0" localSheetId="2">Summary!$T$280:$T$284</definedName>
    <definedName name="OSRRefT22_21x_0" localSheetId="48">'300'!$T$250:$T$251</definedName>
    <definedName name="OSRRefT22_21x_0" localSheetId="49">'300 &amp; 317'!$T$276:$T$277</definedName>
    <definedName name="OSRRefT22_21x_0" localSheetId="50">'301'!$T$91</definedName>
    <definedName name="OSRRefT22_21x_0" localSheetId="66">'310'!$T$103</definedName>
    <definedName name="OSRRefT22_21x_0" localSheetId="74">'310 &amp; 491'!$T$121</definedName>
    <definedName name="OSRRefT22_21x_0" localSheetId="58">'331'!$T$143:$T$144</definedName>
    <definedName name="OSRRefT22_21x_0" localSheetId="75">'491'!$T$111</definedName>
    <definedName name="OSRRefT22_21x_0" localSheetId="47">'Div 3'!$T$249:$T$257</definedName>
    <definedName name="OSRRefT22_21x_0" localSheetId="73">'Div 4'!$T$103:$T$112</definedName>
    <definedName name="OSRRefT22_21x_0" localSheetId="2">Summary!$T$286:$T$287</definedName>
    <definedName name="OSRRefT22_22x_0" localSheetId="48">'300'!$T$253</definedName>
    <definedName name="OSRRefT22_22x_0" localSheetId="49">'300 &amp; 317'!$T$279</definedName>
    <definedName name="OSRRefT22_22x_0" localSheetId="50">'301'!$T$93:$T$95</definedName>
    <definedName name="OSRRefT22_22x_0" localSheetId="66">'310'!$T$105</definedName>
    <definedName name="OSRRefT22_22x_0" localSheetId="74">'310 &amp; 491'!$T$123</definedName>
    <definedName name="OSRRefT22_22x_0" localSheetId="58">'331'!$T$146</definedName>
    <definedName name="OSRRefT22_22x_0" localSheetId="75">'491'!$T$113</definedName>
    <definedName name="OSRRefT22_22x_0" localSheetId="47">'Div 3'!$T$259:$T$260</definedName>
    <definedName name="OSRRefT22_22x_0" localSheetId="73">'Div 4'!$T$114</definedName>
    <definedName name="OSRRefT22_22x_0" localSheetId="2">Summary!$T$289:$T$298</definedName>
    <definedName name="OSRRefT22_23x_0" localSheetId="48">'300'!$T$255:$T$257</definedName>
    <definedName name="OSRRefT22_23x_0" localSheetId="49">'300 &amp; 317'!$T$281:$T$283</definedName>
    <definedName name="OSRRefT22_23x_0" localSheetId="50">'301'!$T$97</definedName>
    <definedName name="OSRRefT22_23x_0" localSheetId="74">'310 &amp; 491'!$T$125:$T$127</definedName>
    <definedName name="OSRRefT22_23x_0" localSheetId="75">'491'!$T$115:$T$117</definedName>
    <definedName name="OSRRefT22_23x_0" localSheetId="47">'Div 3'!$T$262</definedName>
    <definedName name="OSRRefT22_23x_0" localSheetId="73">'Div 4'!$T$116</definedName>
    <definedName name="OSRRefT22_23x_0" localSheetId="2">Summary!$T$300:$T$301</definedName>
    <definedName name="OSRRefT22_24x_0" localSheetId="48">'300'!$T$259</definedName>
    <definedName name="OSRRefT22_24x_0" localSheetId="49">'300 &amp; 317'!$T$285</definedName>
    <definedName name="OSRRefT22_24x_0" localSheetId="74">'310 &amp; 491'!$T$129</definedName>
    <definedName name="OSRRefT22_24x_0" localSheetId="75">'491'!$T$119</definedName>
    <definedName name="OSRRefT22_24x_0" localSheetId="47">'Div 3'!$T$264:$T$266</definedName>
    <definedName name="OSRRefT22_24x_0" localSheetId="73">'Div 4'!$T$118:$T$120</definedName>
    <definedName name="OSRRefT22_24x_0" localSheetId="2">Summary!$T$303</definedName>
    <definedName name="OSRRefT22_25x_0" localSheetId="47">'Div 3'!$T$268</definedName>
    <definedName name="OSRRefT22_25x_0" localSheetId="73">'Div 4'!$T$122</definedName>
    <definedName name="OSRRefT22_25x_0" localSheetId="2">Summary!$T$305:$T$307</definedName>
    <definedName name="OSRRefT22_26x_0" localSheetId="2">Summary!$T$309</definedName>
    <definedName name="OSRRefT22_2x_0" localSheetId="40">'200'!$T$24</definedName>
    <definedName name="OSRRefT22_2x_0" localSheetId="41">'201'!$T$34</definedName>
    <definedName name="OSRRefT22_2x_0" localSheetId="42">'202'!$T$36</definedName>
    <definedName name="OSRRefT22_2x_0" localSheetId="43">'203'!$T$37</definedName>
    <definedName name="OSRRefT22_2x_0" localSheetId="44">'204'!$T$38</definedName>
    <definedName name="OSRRefT22_2x_0" localSheetId="45">'205'!$T$31</definedName>
    <definedName name="OSRRefT22_2x_0" localSheetId="46">'206'!$T$36</definedName>
    <definedName name="OSRRefT22_2x_0" localSheetId="48">'300'!$T$192</definedName>
    <definedName name="OSRRefT22_2x_0" localSheetId="49">'300 &amp; 317'!$T$218</definedName>
    <definedName name="OSRRefT22_2x_0" localSheetId="50">'301'!$T$38</definedName>
    <definedName name="OSRRefT22_2x_0" localSheetId="53">'307'!$T$33</definedName>
    <definedName name="OSRRefT22_2x_0" localSheetId="55">'308'!$T$84</definedName>
    <definedName name="OSRRefT22_2x_0" localSheetId="67">'309'!$T$39</definedName>
    <definedName name="OSRRefT22_2x_0" localSheetId="66">'310'!$T$50</definedName>
    <definedName name="OSRRefT22_2x_0" localSheetId="74">'310 &amp; 491'!$T$61</definedName>
    <definedName name="OSRRefT22_2x_0" localSheetId="56">'311'!$T$82</definedName>
    <definedName name="OSRRefT22_2x_0" localSheetId="68">'313'!$T$47</definedName>
    <definedName name="OSRRefT22_2x_0" localSheetId="54">'314'!$T$71</definedName>
    <definedName name="OSRRefT22_2x_0" localSheetId="59">'315'!$T$73</definedName>
    <definedName name="OSRRefT22_2x_0" localSheetId="62">'316'!$T$49</definedName>
    <definedName name="OSRRefT22_2x_0" localSheetId="65">'317'!$T$75</definedName>
    <definedName name="OSRRefT22_2x_0" localSheetId="63">'320'!$T$47</definedName>
    <definedName name="OSRRefT22_2x_0" localSheetId="69">'321'!$T$38</definedName>
    <definedName name="OSRRefT22_2x_0" localSheetId="70">'322'!$T$39</definedName>
    <definedName name="OSRRefT22_2x_0" localSheetId="71">'325'!$T$40</definedName>
    <definedName name="OSRRefT22_2x_0" localSheetId="60">'326'!$T$77</definedName>
    <definedName name="OSRRefT22_2x_0" localSheetId="72">'327'!$T$26</definedName>
    <definedName name="OSRRefT22_2x_0" localSheetId="52">'330'!$T$103</definedName>
    <definedName name="OSRRefT22_2x_0" localSheetId="58">'331'!$T$92</definedName>
    <definedName name="OSRRefT22_2x_0" localSheetId="61">'332'!$T$62</definedName>
    <definedName name="OSRRefT22_2x_0" localSheetId="76">'405'!$T$39</definedName>
    <definedName name="OSRRefT22_2x_0" localSheetId="77">'406'!$T$40</definedName>
    <definedName name="OSRRefT22_2x_0" localSheetId="78">'411'!$T$37</definedName>
    <definedName name="OSRRefT22_2x_0" localSheetId="79">'412'!$T$41</definedName>
    <definedName name="OSRRefT22_2x_0" localSheetId="81">'413'!$T$40</definedName>
    <definedName name="OSRRefT22_2x_0" localSheetId="82">'414'!$T$40</definedName>
    <definedName name="OSRRefT22_2x_0" localSheetId="83">'415'!$T$40</definedName>
    <definedName name="OSRRefT22_2x_0" localSheetId="84">'418'!$T$40</definedName>
    <definedName name="OSRRefT22_2x_0" localSheetId="80">'420'!$T$38</definedName>
    <definedName name="OSRRefT22_2x_0" localSheetId="85">'423'!$T$33</definedName>
    <definedName name="OSRRefT22_2x_0" localSheetId="86">'424'!$T$36</definedName>
    <definedName name="OSRRefT22_2x_0" localSheetId="87">'425'!$T$44</definedName>
    <definedName name="OSRRefT22_2x_0" localSheetId="90">'430'!$T$31</definedName>
    <definedName name="OSRRefT22_2x_0" localSheetId="91">'433'!$T$43</definedName>
    <definedName name="OSRRefT22_2x_0" localSheetId="92">'435'!$T$33</definedName>
    <definedName name="OSRRefT22_2x_0" localSheetId="93">'444'!$T$42</definedName>
    <definedName name="OSRRefT22_2x_0" localSheetId="95">'450'!$T$42</definedName>
    <definedName name="OSRRefT22_2x_0" localSheetId="88">'455'!$T$31</definedName>
    <definedName name="OSRRefT22_2x_0" localSheetId="75">'491'!$T$52</definedName>
    <definedName name="OSRRefT22_2x_0" localSheetId="89">'492'!$T$46</definedName>
    <definedName name="OSRRefT22_2x_0" localSheetId="97">'501'!$T$37</definedName>
    <definedName name="OSRRefT22_2x_0" localSheetId="39">'Div 2'!$T$40</definedName>
    <definedName name="OSRRefT22_2x_0" localSheetId="47">'Div 3'!$T$197</definedName>
    <definedName name="OSRRefT22_2x_0" localSheetId="73">'Div 4'!$T$53</definedName>
    <definedName name="OSRRefT22_2x_0" localSheetId="96">'Div 5'!$T$37</definedName>
    <definedName name="OSRRefT22_2x_0" localSheetId="64">'Div 6'!$T$75</definedName>
    <definedName name="OSRRefT22_2x_0" localSheetId="2">Summary!$T$233</definedName>
    <definedName name="OSRRefT22_3x_0" localSheetId="40">'200'!$T$26</definedName>
    <definedName name="OSRRefT22_3x_0" localSheetId="41">'201'!$T$36</definedName>
    <definedName name="OSRRefT22_3x_0" localSheetId="42">'202'!$T$38</definedName>
    <definedName name="OSRRefT22_3x_0" localSheetId="43">'203'!$T$39</definedName>
    <definedName name="OSRRefT22_3x_0" localSheetId="44">'204'!$T$40:$T$41</definedName>
    <definedName name="OSRRefT22_3x_0" localSheetId="45">'205'!$T$33</definedName>
    <definedName name="OSRRefT22_3x_0" localSheetId="46">'206'!$T$38</definedName>
    <definedName name="OSRRefT22_3x_0" localSheetId="48">'300'!$T$194:$T$195</definedName>
    <definedName name="OSRRefT22_3x_0" localSheetId="49">'300 &amp; 317'!$T$220:$T$221</definedName>
    <definedName name="OSRRefT22_3x_0" localSheetId="50">'301'!$T$40:$T$41</definedName>
    <definedName name="OSRRefT22_3x_0" localSheetId="53">'307'!$T$35:$T$36</definedName>
    <definedName name="OSRRefT22_3x_0" localSheetId="55">'308'!$T$86:$T$87</definedName>
    <definedName name="OSRRefT22_3x_0" localSheetId="67">'309'!$T$41</definedName>
    <definedName name="OSRRefT22_3x_0" localSheetId="66">'310'!$T$52</definedName>
    <definedName name="OSRRefT22_3x_0" localSheetId="74">'310 &amp; 491'!$T$63</definedName>
    <definedName name="OSRRefT22_3x_0" localSheetId="56">'311'!$T$84:$T$85</definedName>
    <definedName name="OSRRefT22_3x_0" localSheetId="68">'313'!$T$49</definedName>
    <definedName name="OSRRefT22_3x_0" localSheetId="54">'314'!$T$73:$T$74</definedName>
    <definedName name="OSRRefT22_3x_0" localSheetId="59">'315'!$T$75:$T$76</definedName>
    <definedName name="OSRRefT22_3x_0" localSheetId="62">'316'!$T$51</definedName>
    <definedName name="OSRRefT22_3x_0" localSheetId="65">'317'!$T$77</definedName>
    <definedName name="OSRRefT22_3x_0" localSheetId="63">'320'!$T$49</definedName>
    <definedName name="OSRRefT22_3x_0" localSheetId="69">'321'!$T$40</definedName>
    <definedName name="OSRRefT22_3x_0" localSheetId="70">'322'!$T$41</definedName>
    <definedName name="OSRRefT22_3x_0" localSheetId="71">'325'!$T$42</definedName>
    <definedName name="OSRRefT22_3x_0" localSheetId="60">'326'!$T$79</definedName>
    <definedName name="OSRRefT22_3x_0" localSheetId="52">'330'!$T$105</definedName>
    <definedName name="OSRRefT22_3x_0" localSheetId="58">'331'!$T$94</definedName>
    <definedName name="OSRRefT22_3x_0" localSheetId="61">'332'!$T$64</definedName>
    <definedName name="OSRRefT22_3x_0" localSheetId="76">'405'!$T$41</definedName>
    <definedName name="OSRRefT22_3x_0" localSheetId="77">'406'!$T$42</definedName>
    <definedName name="OSRRefT22_3x_0" localSheetId="78">'411'!$T$39</definedName>
    <definedName name="OSRRefT22_3x_0" localSheetId="79">'412'!$T$43</definedName>
    <definedName name="OSRRefT22_3x_0" localSheetId="81">'413'!$T$42</definedName>
    <definedName name="OSRRefT22_3x_0" localSheetId="82">'414'!$T$42</definedName>
    <definedName name="OSRRefT22_3x_0" localSheetId="83">'415'!$T$42</definedName>
    <definedName name="OSRRefT22_3x_0" localSheetId="84">'418'!$T$42</definedName>
    <definedName name="OSRRefT22_3x_0" localSheetId="80">'420'!$T$40</definedName>
    <definedName name="OSRRefT22_3x_0" localSheetId="85">'423'!$T$35</definedName>
    <definedName name="OSRRefT22_3x_0" localSheetId="86">'424'!$T$38</definedName>
    <definedName name="OSRRefT22_3x_0" localSheetId="87">'425'!$T$46</definedName>
    <definedName name="OSRRefT22_3x_0" localSheetId="90">'430'!$T$33</definedName>
    <definedName name="OSRRefT22_3x_0" localSheetId="91">'433'!$T$45</definedName>
    <definedName name="OSRRefT22_3x_0" localSheetId="92">'435'!$T$35</definedName>
    <definedName name="OSRRefT22_3x_0" localSheetId="93">'444'!$T$44</definedName>
    <definedName name="OSRRefT22_3x_0" localSheetId="95">'450'!$T$44</definedName>
    <definedName name="OSRRefT22_3x_0" localSheetId="75">'491'!$T$54</definedName>
    <definedName name="OSRRefT22_3x_0" localSheetId="89">'492'!$T$48</definedName>
    <definedName name="OSRRefT22_3x_0" localSheetId="97">'501'!$T$39</definedName>
    <definedName name="OSRRefT22_3x_0" localSheetId="39">'Div 2'!$T$42</definedName>
    <definedName name="OSRRefT22_3x_0" localSheetId="47">'Div 3'!$T$199:$T$200</definedName>
    <definedName name="OSRRefT22_3x_0" localSheetId="73">'Div 4'!$T$55</definedName>
    <definedName name="OSRRefT22_3x_0" localSheetId="96">'Div 5'!$T$39</definedName>
    <definedName name="OSRRefT22_3x_0" localSheetId="64">'Div 6'!$T$77</definedName>
    <definedName name="OSRRefT22_3x_0" localSheetId="2">Summary!$T$235:$T$236</definedName>
    <definedName name="OSRRefT22_4x_0" localSheetId="40">'200'!$T$28:$T$29</definedName>
    <definedName name="OSRRefT22_4x_0" localSheetId="41">'201'!$T$38</definedName>
    <definedName name="OSRRefT22_4x_0" localSheetId="42">'202'!$T$40</definedName>
    <definedName name="OSRRefT22_4x_0" localSheetId="43">'203'!$T$41</definedName>
    <definedName name="OSRRefT22_4x_0" localSheetId="44">'204'!$T$43</definedName>
    <definedName name="OSRRefT22_4x_0" localSheetId="45">'205'!$T$35:$T$37</definedName>
    <definedName name="OSRRefT22_4x_0" localSheetId="46">'206'!$T$40</definedName>
    <definedName name="OSRRefT22_4x_0" localSheetId="48">'300'!$T$197</definedName>
    <definedName name="OSRRefT22_4x_0" localSheetId="49">'300 &amp; 317'!$T$223</definedName>
    <definedName name="OSRRefT22_4x_0" localSheetId="50">'301'!$T$43</definedName>
    <definedName name="OSRRefT22_4x_0" localSheetId="53">'307'!$T$38</definedName>
    <definedName name="OSRRefT22_4x_0" localSheetId="55">'308'!$T$89</definedName>
    <definedName name="OSRRefT22_4x_0" localSheetId="67">'309'!$T$43</definedName>
    <definedName name="OSRRefT22_4x_0" localSheetId="66">'310'!$T$54</definedName>
    <definedName name="OSRRefT22_4x_0" localSheetId="74">'310 &amp; 491'!$T$65</definedName>
    <definedName name="OSRRefT22_4x_0" localSheetId="56">'311'!$T$87</definedName>
    <definedName name="OSRRefT22_4x_0" localSheetId="68">'313'!$T$51</definedName>
    <definedName name="OSRRefT22_4x_0" localSheetId="54">'314'!$T$76</definedName>
    <definedName name="OSRRefT22_4x_0" localSheetId="59">'315'!$T$78</definedName>
    <definedName name="OSRRefT22_4x_0" localSheetId="62">'316'!$T$53</definedName>
    <definedName name="OSRRefT22_4x_0" localSheetId="65">'317'!$T$79</definedName>
    <definedName name="OSRRefT22_4x_0" localSheetId="63">'320'!$T$51:$T$52</definedName>
    <definedName name="OSRRefT22_4x_0" localSheetId="69">'321'!$T$42</definedName>
    <definedName name="OSRRefT22_4x_0" localSheetId="70">'322'!$T$43</definedName>
    <definedName name="OSRRefT22_4x_0" localSheetId="71">'325'!$T$44</definedName>
    <definedName name="OSRRefT22_4x_0" localSheetId="60">'326'!$T$81</definedName>
    <definedName name="OSRRefT22_4x_0" localSheetId="52">'330'!$T$107:$T$108</definedName>
    <definedName name="OSRRefT22_4x_0" localSheetId="58">'331'!$T$96</definedName>
    <definedName name="OSRRefT22_4x_0" localSheetId="61">'332'!$T$66</definedName>
    <definedName name="OSRRefT22_4x_0" localSheetId="76">'405'!$T$43</definedName>
    <definedName name="OSRRefT22_4x_0" localSheetId="77">'406'!$T$44</definedName>
    <definedName name="OSRRefT22_4x_0" localSheetId="78">'411'!$T$41:$T$43</definedName>
    <definedName name="OSRRefT22_4x_0" localSheetId="79">'412'!$T$45</definedName>
    <definedName name="OSRRefT22_4x_0" localSheetId="81">'413'!$T$44</definedName>
    <definedName name="OSRRefT22_4x_0" localSheetId="82">'414'!$T$44</definedName>
    <definedName name="OSRRefT22_4x_0" localSheetId="83">'415'!$T$44</definedName>
    <definedName name="OSRRefT22_4x_0" localSheetId="84">'418'!$T$44</definedName>
    <definedName name="OSRRefT22_4x_0" localSheetId="80">'420'!$T$42</definedName>
    <definedName name="OSRRefT22_4x_0" localSheetId="85">'423'!$T$37</definedName>
    <definedName name="OSRRefT22_4x_0" localSheetId="86">'424'!$T$40</definedName>
    <definedName name="OSRRefT22_4x_0" localSheetId="87">'425'!$T$48</definedName>
    <definedName name="OSRRefT22_4x_0" localSheetId="90">'430'!$T$35</definedName>
    <definedName name="OSRRefT22_4x_0" localSheetId="91">'433'!$T$47</definedName>
    <definedName name="OSRRefT22_4x_0" localSheetId="92">'435'!$T$37</definedName>
    <definedName name="OSRRefT22_4x_0" localSheetId="93">'444'!$T$46</definedName>
    <definedName name="OSRRefT22_4x_0" localSheetId="95">'450'!$T$46</definedName>
    <definedName name="OSRRefT22_4x_0" localSheetId="75">'491'!$T$56</definedName>
    <definedName name="OSRRefT22_4x_0" localSheetId="89">'492'!$T$50</definedName>
    <definedName name="OSRRefT22_4x_0" localSheetId="97">'501'!$T$41</definedName>
    <definedName name="OSRRefT22_4x_0" localSheetId="39">'Div 2'!$T$44</definedName>
    <definedName name="OSRRefT22_4x_0" localSheetId="47">'Div 3'!$T$202</definedName>
    <definedName name="OSRRefT22_4x_0" localSheetId="73">'Div 4'!$T$57</definedName>
    <definedName name="OSRRefT22_4x_0" localSheetId="96">'Div 5'!$T$41</definedName>
    <definedName name="OSRRefT22_4x_0" localSheetId="64">'Div 6'!$T$79</definedName>
    <definedName name="OSRRefT22_4x_0" localSheetId="2">Summary!$T$238</definedName>
    <definedName name="OSRRefT22_5x_0" localSheetId="41">'201'!$T$40</definedName>
    <definedName name="OSRRefT22_5x_0" localSheetId="42">'202'!$T$42</definedName>
    <definedName name="OSRRefT22_5x_0" localSheetId="43">'203'!$T$43</definedName>
    <definedName name="OSRRefT22_5x_0" localSheetId="44">'204'!$T$45</definedName>
    <definedName name="OSRRefT22_5x_0" localSheetId="45">'205'!$T$39</definedName>
    <definedName name="OSRRefT22_5x_0" localSheetId="46">'206'!$T$42</definedName>
    <definedName name="OSRRefT22_5x_0" localSheetId="48">'300'!$T$199:$T$200</definedName>
    <definedName name="OSRRefT22_5x_0" localSheetId="49">'300 &amp; 317'!$T$225:$T$226</definedName>
    <definedName name="OSRRefT22_5x_0" localSheetId="50">'301'!$T$45:$T$46</definedName>
    <definedName name="OSRRefT22_5x_0" localSheetId="53">'307'!$T$40</definedName>
    <definedName name="OSRRefT22_5x_0" localSheetId="55">'308'!$T$91</definedName>
    <definedName name="OSRRefT22_5x_0" localSheetId="67">'309'!$T$45</definedName>
    <definedName name="OSRRefT22_5x_0" localSheetId="66">'310'!$T$56:$T$57</definedName>
    <definedName name="OSRRefT22_5x_0" localSheetId="74">'310 &amp; 491'!$T$67:$T$69</definedName>
    <definedName name="OSRRefT22_5x_0" localSheetId="56">'311'!$T$89</definedName>
    <definedName name="OSRRefT22_5x_0" localSheetId="68">'313'!$T$53</definedName>
    <definedName name="OSRRefT22_5x_0" localSheetId="54">'314'!$T$78</definedName>
    <definedName name="OSRRefT22_5x_0" localSheetId="59">'315'!$T$80:$T$81</definedName>
    <definedName name="OSRRefT22_5x_0" localSheetId="62">'316'!$T$55</definedName>
    <definedName name="OSRRefT22_5x_0" localSheetId="65">'317'!$T$81</definedName>
    <definedName name="OSRRefT22_5x_0" localSheetId="63">'320'!$T$54</definedName>
    <definedName name="OSRRefT22_5x_0" localSheetId="69">'321'!$T$44</definedName>
    <definedName name="OSRRefT22_5x_0" localSheetId="70">'322'!$T$45</definedName>
    <definedName name="OSRRefT22_5x_0" localSheetId="71">'325'!$T$46:$T$47</definedName>
    <definedName name="OSRRefT22_5x_0" localSheetId="60">'326'!$T$83</definedName>
    <definedName name="OSRRefT22_5x_0" localSheetId="52">'330'!$T$110</definedName>
    <definedName name="OSRRefT22_5x_0" localSheetId="58">'331'!$T$98:$T$99</definedName>
    <definedName name="OSRRefT22_5x_0" localSheetId="61">'332'!$T$68</definedName>
    <definedName name="OSRRefT22_5x_0" localSheetId="76">'405'!$T$45:$T$46</definedName>
    <definedName name="OSRRefT22_5x_0" localSheetId="77">'406'!$T$46</definedName>
    <definedName name="OSRRefT22_5x_0" localSheetId="78">'411'!$T$45</definedName>
    <definedName name="OSRRefT22_5x_0" localSheetId="79">'412'!$T$47</definedName>
    <definedName name="OSRRefT22_5x_0" localSheetId="81">'413'!$T$46</definedName>
    <definedName name="OSRRefT22_5x_0" localSheetId="82">'414'!$T$46</definedName>
    <definedName name="OSRRefT22_5x_0" localSheetId="83">'415'!$T$46:$T$47</definedName>
    <definedName name="OSRRefT22_5x_0" localSheetId="84">'418'!$T$46:$T$47</definedName>
    <definedName name="OSRRefT22_5x_0" localSheetId="80">'420'!$T$44</definedName>
    <definedName name="OSRRefT22_5x_0" localSheetId="85">'423'!$T$39</definedName>
    <definedName name="OSRRefT22_5x_0" localSheetId="86">'424'!$T$42</definedName>
    <definedName name="OSRRefT22_5x_0" localSheetId="87">'425'!$T$50</definedName>
    <definedName name="OSRRefT22_5x_0" localSheetId="90">'430'!$T$37</definedName>
    <definedName name="OSRRefT22_5x_0" localSheetId="91">'433'!$T$49</definedName>
    <definedName name="OSRRefT22_5x_0" localSheetId="92">'435'!$T$39</definedName>
    <definedName name="OSRRefT22_5x_0" localSheetId="93">'444'!$T$48</definedName>
    <definedName name="OSRRefT22_5x_0" localSheetId="95">'450'!$T$48</definedName>
    <definedName name="OSRRefT22_5x_0" localSheetId="75">'491'!$T$58:$T$60</definedName>
    <definedName name="OSRRefT22_5x_0" localSheetId="89">'492'!$T$52</definedName>
    <definedName name="OSRRefT22_5x_0" localSheetId="97">'501'!$T$43:$T$44</definedName>
    <definedName name="OSRRefT22_5x_0" localSheetId="39">'Div 2'!$T$46:$T$47</definedName>
    <definedName name="OSRRefT22_5x_0" localSheetId="47">'Div 3'!$T$204:$T$205</definedName>
    <definedName name="OSRRefT22_5x_0" localSheetId="73">'Div 4'!$T$59:$T$61</definedName>
    <definedName name="OSRRefT22_5x_0" localSheetId="96">'Div 5'!$T$43:$T$44</definedName>
    <definedName name="OSRRefT22_5x_0" localSheetId="64">'Div 6'!$T$81</definedName>
    <definedName name="OSRRefT22_5x_0" localSheetId="2">Summary!$T$240:$T$242</definedName>
    <definedName name="OSRRefT22_6x_0" localSheetId="41">'201'!$T$42</definedName>
    <definedName name="OSRRefT22_6x_0" localSheetId="42">'202'!$T$44</definedName>
    <definedName name="OSRRefT22_6x_0" localSheetId="43">'203'!$T$45</definedName>
    <definedName name="OSRRefT22_6x_0" localSheetId="44">'204'!$T$47:$T$50</definedName>
    <definedName name="OSRRefT22_6x_0" localSheetId="45">'205'!$T$41:$T$42</definedName>
    <definedName name="OSRRefT22_6x_0" localSheetId="46">'206'!$T$44:$T$45</definedName>
    <definedName name="OSRRefT22_6x_0" localSheetId="48">'300'!$T$202:$T$203</definedName>
    <definedName name="OSRRefT22_6x_0" localSheetId="49">'300 &amp; 317'!$T$228:$T$229</definedName>
    <definedName name="OSRRefT22_6x_0" localSheetId="50">'301'!$T$48:$T$49</definedName>
    <definedName name="OSRRefT22_6x_0" localSheetId="53">'307'!$T$42</definedName>
    <definedName name="OSRRefT22_6x_0" localSheetId="55">'308'!$T$93:$T$94</definedName>
    <definedName name="OSRRefT22_6x_0" localSheetId="67">'309'!$T$47</definedName>
    <definedName name="OSRRefT22_6x_0" localSheetId="66">'310'!$T$59</definedName>
    <definedName name="OSRRefT22_6x_0" localSheetId="74">'310 &amp; 491'!$T$71</definedName>
    <definedName name="OSRRefT22_6x_0" localSheetId="56">'311'!$T$91:$T$92</definedName>
    <definedName name="OSRRefT22_6x_0" localSheetId="68">'313'!$T$55</definedName>
    <definedName name="OSRRefT22_6x_0" localSheetId="54">'314'!$T$80</definedName>
    <definedName name="OSRRefT22_6x_0" localSheetId="59">'315'!$T$83</definedName>
    <definedName name="OSRRefT22_6x_0" localSheetId="62">'316'!$T$57:$T$58</definedName>
    <definedName name="OSRRefT22_6x_0" localSheetId="65">'317'!$T$83</definedName>
    <definedName name="OSRRefT22_6x_0" localSheetId="63">'320'!$T$56</definedName>
    <definedName name="OSRRefT22_6x_0" localSheetId="69">'321'!$T$46</definedName>
    <definedName name="OSRRefT22_6x_0" localSheetId="70">'322'!$T$47</definedName>
    <definedName name="OSRRefT22_6x_0" localSheetId="71">'325'!$T$49</definedName>
    <definedName name="OSRRefT22_6x_0" localSheetId="60">'326'!$T$85</definedName>
    <definedName name="OSRRefT22_6x_0" localSheetId="52">'330'!$T$112</definedName>
    <definedName name="OSRRefT22_6x_0" localSheetId="58">'331'!$T$101</definedName>
    <definedName name="OSRRefT22_6x_0" localSheetId="61">'332'!$T$70:$T$71</definedName>
    <definedName name="OSRRefT22_6x_0" localSheetId="76">'405'!$T$48</definedName>
    <definedName name="OSRRefT22_6x_0" localSheetId="77">'406'!$T$48</definedName>
    <definedName name="OSRRefT22_6x_0" localSheetId="78">'411'!$T$47</definedName>
    <definedName name="OSRRefT22_6x_0" localSheetId="79">'412'!$T$49</definedName>
    <definedName name="OSRRefT22_6x_0" localSheetId="81">'413'!$T$48</definedName>
    <definedName name="OSRRefT22_6x_0" localSheetId="82">'414'!$T$48</definedName>
    <definedName name="OSRRefT22_6x_0" localSheetId="83">'415'!$T$49</definedName>
    <definedName name="OSRRefT22_6x_0" localSheetId="84">'418'!$T$49</definedName>
    <definedName name="OSRRefT22_6x_0" localSheetId="80">'420'!$T$46:$T$47</definedName>
    <definedName name="OSRRefT22_6x_0" localSheetId="85">'423'!$T$41</definedName>
    <definedName name="OSRRefT22_6x_0" localSheetId="86">'424'!$T$44</definedName>
    <definedName name="OSRRefT22_6x_0" localSheetId="87">'425'!$T$52</definedName>
    <definedName name="OSRRefT22_6x_0" localSheetId="90">'430'!$T$39:$T$41</definedName>
    <definedName name="OSRRefT22_6x_0" localSheetId="91">'433'!$T$51</definedName>
    <definedName name="OSRRefT22_6x_0" localSheetId="92">'435'!$T$41</definedName>
    <definedName name="OSRRefT22_6x_0" localSheetId="93">'444'!$T$50</definedName>
    <definedName name="OSRRefT22_6x_0" localSheetId="95">'450'!$T$50</definedName>
    <definedName name="OSRRefT22_6x_0" localSheetId="75">'491'!$T$62</definedName>
    <definedName name="OSRRefT22_6x_0" localSheetId="89">'492'!$T$54</definedName>
    <definedName name="OSRRefT22_6x_0" localSheetId="97">'501'!$T$46</definedName>
    <definedName name="OSRRefT22_6x_0" localSheetId="39">'Div 2'!$T$49</definedName>
    <definedName name="OSRRefT22_6x_0" localSheetId="47">'Div 3'!$T$207:$T$208</definedName>
    <definedName name="OSRRefT22_6x_0" localSheetId="73">'Div 4'!$T$63</definedName>
    <definedName name="OSRRefT22_6x_0" localSheetId="96">'Div 5'!$T$46</definedName>
    <definedName name="OSRRefT22_6x_0" localSheetId="64">'Div 6'!$T$83</definedName>
    <definedName name="OSRRefT22_6x_0" localSheetId="2">Summary!$T$244:$T$245</definedName>
    <definedName name="OSRRefT22_7x_0" localSheetId="41">'201'!$T$44</definedName>
    <definedName name="OSRRefT22_7x_0" localSheetId="42">'202'!$T$46</definedName>
    <definedName name="OSRRefT22_7x_0" localSheetId="43">'203'!$T$47</definedName>
    <definedName name="OSRRefT22_7x_0" localSheetId="44">'204'!$T$52:$T$53</definedName>
    <definedName name="OSRRefT22_7x_0" localSheetId="45">'205'!$T$44</definedName>
    <definedName name="OSRRefT22_7x_0" localSheetId="46">'206'!$T$47</definedName>
    <definedName name="OSRRefT22_7x_0" localSheetId="48">'300'!$T$205</definedName>
    <definedName name="OSRRefT22_7x_0" localSheetId="49">'300 &amp; 317'!$T$231</definedName>
    <definedName name="OSRRefT22_7x_0" localSheetId="50">'301'!$T$51</definedName>
    <definedName name="OSRRefT22_7x_0" localSheetId="53">'307'!$T$44</definedName>
    <definedName name="OSRRefT22_7x_0" localSheetId="55">'308'!$T$96</definedName>
    <definedName name="OSRRefT22_7x_0" localSheetId="67">'309'!$T$49</definedName>
    <definedName name="OSRRefT22_7x_0" localSheetId="66">'310'!$T$61</definedName>
    <definedName name="OSRRefT22_7x_0" localSheetId="74">'310 &amp; 491'!$T$73</definedName>
    <definedName name="OSRRefT22_7x_0" localSheetId="56">'311'!$T$94</definedName>
    <definedName name="OSRRefT22_7x_0" localSheetId="68">'313'!$T$57:$T$58</definedName>
    <definedName name="OSRRefT22_7x_0" localSheetId="54">'314'!$T$82:$T$84</definedName>
    <definedName name="OSRRefT22_7x_0" localSheetId="59">'315'!$T$85</definedName>
    <definedName name="OSRRefT22_7x_0" localSheetId="62">'316'!$T$60</definedName>
    <definedName name="OSRRefT22_7x_0" localSheetId="65">'317'!$T$85:$T$86</definedName>
    <definedName name="OSRRefT22_7x_0" localSheetId="63">'320'!$T$58:$T$60</definedName>
    <definedName name="OSRRefT22_7x_0" localSheetId="69">'321'!$T$48:$T$50</definedName>
    <definedName name="OSRRefT22_7x_0" localSheetId="70">'322'!$T$49</definedName>
    <definedName name="OSRRefT22_7x_0" localSheetId="71">'325'!$T$51</definedName>
    <definedName name="OSRRefT22_7x_0" localSheetId="60">'326'!$T$87</definedName>
    <definedName name="OSRRefT22_7x_0" localSheetId="52">'330'!$T$114</definedName>
    <definedName name="OSRRefT22_7x_0" localSheetId="58">'331'!$T$103</definedName>
    <definedName name="OSRRefT22_7x_0" localSheetId="61">'332'!$T$73</definedName>
    <definedName name="OSRRefT22_7x_0" localSheetId="76">'405'!$T$50</definedName>
    <definedName name="OSRRefT22_7x_0" localSheetId="77">'406'!$T$50</definedName>
    <definedName name="OSRRefT22_7x_0" localSheetId="78">'411'!$T$49</definedName>
    <definedName name="OSRRefT22_7x_0" localSheetId="79">'412'!$T$51</definedName>
    <definedName name="OSRRefT22_7x_0" localSheetId="81">'413'!$T$50</definedName>
    <definedName name="OSRRefT22_7x_0" localSheetId="82">'414'!$T$50</definedName>
    <definedName name="OSRRefT22_7x_0" localSheetId="83">'415'!$T$51</definedName>
    <definedName name="OSRRefT22_7x_0" localSheetId="84">'418'!$T$51</definedName>
    <definedName name="OSRRefT22_7x_0" localSheetId="80">'420'!$T$49</definedName>
    <definedName name="OSRRefT22_7x_0" localSheetId="86">'424'!$T$46</definedName>
    <definedName name="OSRRefT22_7x_0" localSheetId="87">'425'!$T$54</definedName>
    <definedName name="OSRRefT22_7x_0" localSheetId="90">'430'!$T$43</definedName>
    <definedName name="OSRRefT22_7x_0" localSheetId="91">'433'!$T$53</definedName>
    <definedName name="OSRRefT22_7x_0" localSheetId="92">'435'!$T$43</definedName>
    <definedName name="OSRRefT22_7x_0" localSheetId="93">'444'!$T$52</definedName>
    <definedName name="OSRRefT22_7x_0" localSheetId="95">'450'!$T$52</definedName>
    <definedName name="OSRRefT22_7x_0" localSheetId="75">'491'!$T$64</definedName>
    <definedName name="OSRRefT22_7x_0" localSheetId="89">'492'!$T$56</definedName>
    <definedName name="OSRRefT22_7x_0" localSheetId="97">'501'!$T$48</definedName>
    <definedName name="OSRRefT22_7x_0" localSheetId="39">'Div 2'!$T$51</definedName>
    <definedName name="OSRRefT22_7x_0" localSheetId="47">'Div 3'!$T$210</definedName>
    <definedName name="OSRRefT22_7x_0" localSheetId="73">'Div 4'!$T$65</definedName>
    <definedName name="OSRRefT22_7x_0" localSheetId="96">'Div 5'!$T$48</definedName>
    <definedName name="OSRRefT22_7x_0" localSheetId="64">'Div 6'!$T$85:$T$86</definedName>
    <definedName name="OSRRefT22_7x_0" localSheetId="2">Summary!$T$247</definedName>
    <definedName name="OSRRefT22_8x_0" localSheetId="41">'201'!$T$46</definedName>
    <definedName name="OSRRefT22_8x_0" localSheetId="42">'202'!$T$48</definedName>
    <definedName name="OSRRefT22_8x_0" localSheetId="43">'203'!$T$49</definedName>
    <definedName name="OSRRefT22_8x_0" localSheetId="44">'204'!$T$55:$T$56</definedName>
    <definedName name="OSRRefT22_8x_0" localSheetId="45">'205'!$T$46</definedName>
    <definedName name="OSRRefT22_8x_0" localSheetId="46">'206'!$T$49</definedName>
    <definedName name="OSRRefT22_8x_0" localSheetId="48">'300'!$T$207</definedName>
    <definedName name="OSRRefT22_8x_0" localSheetId="49">'300 &amp; 317'!$T$233</definedName>
    <definedName name="OSRRefT22_8x_0" localSheetId="50">'301'!$T$53</definedName>
    <definedName name="OSRRefT22_8x_0" localSheetId="53">'307'!$T$46</definedName>
    <definedName name="OSRRefT22_8x_0" localSheetId="55">'308'!$T$98</definedName>
    <definedName name="OSRRefT22_8x_0" localSheetId="67">'309'!$T$51</definedName>
    <definedName name="OSRRefT22_8x_0" localSheetId="66">'310'!$T$63</definedName>
    <definedName name="OSRRefT22_8x_0" localSheetId="74">'310 &amp; 491'!$T$75</definedName>
    <definedName name="OSRRefT22_8x_0" localSheetId="56">'311'!$T$96</definedName>
    <definedName name="OSRRefT22_8x_0" localSheetId="68">'313'!$T$60</definedName>
    <definedName name="OSRRefT22_8x_0" localSheetId="54">'314'!$T$86</definedName>
    <definedName name="OSRRefT22_8x_0" localSheetId="59">'315'!$T$87</definedName>
    <definedName name="OSRRefT22_8x_0" localSheetId="62">'316'!$T$62:$T$63</definedName>
    <definedName name="OSRRefT22_8x_0" localSheetId="65">'317'!$T$88</definedName>
    <definedName name="OSRRefT22_8x_0" localSheetId="63">'320'!$T$62</definedName>
    <definedName name="OSRRefT22_8x_0" localSheetId="69">'321'!$T$52</definedName>
    <definedName name="OSRRefT22_8x_0" localSheetId="70">'322'!$T$51</definedName>
    <definedName name="OSRRefT22_8x_0" localSheetId="71">'325'!$T$53</definedName>
    <definedName name="OSRRefT22_8x_0" localSheetId="60">'326'!$T$89</definedName>
    <definedName name="OSRRefT22_8x_0" localSheetId="52">'330'!$T$116</definedName>
    <definedName name="OSRRefT22_8x_0" localSheetId="58">'331'!$T$105:$T$106</definedName>
    <definedName name="OSRRefT22_8x_0" localSheetId="61">'332'!$T$75</definedName>
    <definedName name="OSRRefT22_8x_0" localSheetId="76">'405'!$T$52</definedName>
    <definedName name="OSRRefT22_8x_0" localSheetId="77">'406'!$T$52</definedName>
    <definedName name="OSRRefT22_8x_0" localSheetId="78">'411'!$T$51</definedName>
    <definedName name="OSRRefT22_8x_0" localSheetId="79">'412'!$T$53</definedName>
    <definedName name="OSRRefT22_8x_0" localSheetId="81">'413'!$T$52:$T$54</definedName>
    <definedName name="OSRRefT22_8x_0" localSheetId="82">'414'!$T$52</definedName>
    <definedName name="OSRRefT22_8x_0" localSheetId="83">'415'!$T$53</definedName>
    <definedName name="OSRRefT22_8x_0" localSheetId="84">'418'!$T$53</definedName>
    <definedName name="OSRRefT22_8x_0" localSheetId="86">'424'!$T$48</definedName>
    <definedName name="OSRRefT22_8x_0" localSheetId="87">'425'!$T$56</definedName>
    <definedName name="OSRRefT22_8x_0" localSheetId="90">'430'!$T$45</definedName>
    <definedName name="OSRRefT22_8x_0" localSheetId="91">'433'!$T$55</definedName>
    <definedName name="OSRRefT22_8x_0" localSheetId="92">'435'!$T$45:$T$48</definedName>
    <definedName name="OSRRefT22_8x_0" localSheetId="93">'444'!$T$54</definedName>
    <definedName name="OSRRefT22_8x_0" localSheetId="95">'450'!$T$54</definedName>
    <definedName name="OSRRefT22_8x_0" localSheetId="75">'491'!$T$66</definedName>
    <definedName name="OSRRefT22_8x_0" localSheetId="89">'492'!$T$58</definedName>
    <definedName name="OSRRefT22_8x_0" localSheetId="97">'501'!$T$50</definedName>
    <definedName name="OSRRefT22_8x_0" localSheetId="39">'Div 2'!$T$53</definedName>
    <definedName name="OSRRefT22_8x_0" localSheetId="47">'Div 3'!$T$212</definedName>
    <definedName name="OSRRefT22_8x_0" localSheetId="73">'Div 4'!$T$67</definedName>
    <definedName name="OSRRefT22_8x_0" localSheetId="96">'Div 5'!$T$50</definedName>
    <definedName name="OSRRefT22_8x_0" localSheetId="64">'Div 6'!$T$88</definedName>
    <definedName name="OSRRefT22_8x_0" localSheetId="2">Summary!$T$249</definedName>
    <definedName name="OSRRefT22_9x_0" localSheetId="41">'201'!$T$48</definedName>
    <definedName name="OSRRefT22_9x_0" localSheetId="42">'202'!$T$50</definedName>
    <definedName name="OSRRefT22_9x_0" localSheetId="43">'203'!$T$51:$T$53</definedName>
    <definedName name="OSRRefT22_9x_0" localSheetId="44">'204'!$T$58</definedName>
    <definedName name="OSRRefT22_9x_0" localSheetId="48">'300'!$T$209</definedName>
    <definedName name="OSRRefT22_9x_0" localSheetId="49">'300 &amp; 317'!$T$235</definedName>
    <definedName name="OSRRefT22_9x_0" localSheetId="50">'301'!$T$55</definedName>
    <definedName name="OSRRefT22_9x_0" localSheetId="53">'307'!$T$48:$T$49</definedName>
    <definedName name="OSRRefT22_9x_0" localSheetId="55">'308'!$T$100:$T$102</definedName>
    <definedName name="OSRRefT22_9x_0" localSheetId="67">'309'!$T$53:$T$54</definedName>
    <definedName name="OSRRefT22_9x_0" localSheetId="66">'310'!$T$65:$T$66</definedName>
    <definedName name="OSRRefT22_9x_0" localSheetId="74">'310 &amp; 491'!$T$77</definedName>
    <definedName name="OSRRefT22_9x_0" localSheetId="56">'311'!$T$98:$T$100</definedName>
    <definedName name="OSRRefT22_9x_0" localSheetId="68">'313'!$T$62:$T$64</definedName>
    <definedName name="OSRRefT22_9x_0" localSheetId="54">'314'!$T$88</definedName>
    <definedName name="OSRRefT22_9x_0" localSheetId="59">'315'!$T$89:$T$91</definedName>
    <definedName name="OSRRefT22_9x_0" localSheetId="62">'316'!$T$65</definedName>
    <definedName name="OSRRefT22_9x_0" localSheetId="65">'317'!$T$90</definedName>
    <definedName name="OSRRefT22_9x_0" localSheetId="69">'321'!$T$54:$T$56</definedName>
    <definedName name="OSRRefT22_9x_0" localSheetId="70">'322'!$T$53</definedName>
    <definedName name="OSRRefT22_9x_0" localSheetId="71">'325'!$T$55</definedName>
    <definedName name="OSRRefT22_9x_0" localSheetId="60">'326'!$T$91</definedName>
    <definedName name="OSRRefT22_9x_0" localSheetId="52">'330'!$T$118</definedName>
    <definedName name="OSRRefT22_9x_0" localSheetId="58">'331'!$T$108</definedName>
    <definedName name="OSRRefT22_9x_0" localSheetId="61">'332'!$T$77:$T$78</definedName>
    <definedName name="OSRRefT22_9x_0" localSheetId="76">'405'!$T$54</definedName>
    <definedName name="OSRRefT22_9x_0" localSheetId="77">'406'!$T$54:$T$56</definedName>
    <definedName name="OSRRefT22_9x_0" localSheetId="78">'411'!$T$53</definedName>
    <definedName name="OSRRefT22_9x_0" localSheetId="79">'412'!$T$55:$T$57</definedName>
    <definedName name="OSRRefT22_9x_0" localSheetId="81">'413'!$T$56:$T$57</definedName>
    <definedName name="OSRRefT22_9x_0" localSheetId="82">'414'!$T$54:$T$55</definedName>
    <definedName name="OSRRefT22_9x_0" localSheetId="83">'415'!$T$55</definedName>
    <definedName name="OSRRefT22_9x_0" localSheetId="84">'418'!$T$55</definedName>
    <definedName name="OSRRefT22_9x_0" localSheetId="86">'424'!$T$50:$T$51</definedName>
    <definedName name="OSRRefT22_9x_0" localSheetId="87">'425'!$T$58:$T$60</definedName>
    <definedName name="OSRRefT22_9x_0" localSheetId="90">'430'!$T$47</definedName>
    <definedName name="OSRRefT22_9x_0" localSheetId="91">'433'!$T$57</definedName>
    <definedName name="OSRRefT22_9x_0" localSheetId="92">'435'!$T$50</definedName>
    <definedName name="OSRRefT22_9x_0" localSheetId="93">'444'!$T$56</definedName>
    <definedName name="OSRRefT22_9x_0" localSheetId="95">'450'!$T$56</definedName>
    <definedName name="OSRRefT22_9x_0" localSheetId="75">'491'!$T$68</definedName>
    <definedName name="OSRRefT22_9x_0" localSheetId="89">'492'!$T$60</definedName>
    <definedName name="OSRRefT22_9x_0" localSheetId="97">'501'!$T$52</definedName>
    <definedName name="OSRRefT22_9x_0" localSheetId="39">'Div 2'!$T$55</definedName>
    <definedName name="OSRRefT22_9x_0" localSheetId="47">'Div 3'!$T$214</definedName>
    <definedName name="OSRRefT22_9x_0" localSheetId="73">'Div 4'!$T$69</definedName>
    <definedName name="OSRRefT22_9x_0" localSheetId="96">'Div 5'!$T$52</definedName>
    <definedName name="OSRRefT22_9x_0" localSheetId="64">'Div 6'!$T$90</definedName>
    <definedName name="OSRRefT22_9x_0" localSheetId="2">Summary!$T$251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'201'!$T$20:$T$28,'201'!$T$30:$T$32,'201'!$T$34,'201'!$T$36,'201'!$T$38,'201'!$T$40,'201'!$T$42,'201'!$T$44,'201'!$T$46,'201'!$T$48,'201'!$T$50:$T$52,'201'!$T$54:$T$56,'201'!$T$58,'201'!$T$60:$T$63,'201'!$T$65,'201'!$T$67,'201'!$T$69:$T$70</definedName>
    <definedName name="OSRRefT22x_0" localSheetId="42">'202'!$T$20:$T$27,'202'!$T$29:$T$34,'202'!$T$36,'202'!$T$38,'202'!$T$40,'202'!$T$42,'202'!$T$44,'202'!$T$46,'202'!$T$48,'202'!$T$50,'202'!$T$52:$T$54,'202'!$T$56,'202'!$T$58,'202'!$T$60:$T$62,'202'!$T$64,'202'!$T$66,'202'!$T$68</definedName>
    <definedName name="OSRRefT22x_0" localSheetId="43">'203'!$T$20:$T$29,'203'!$T$31:$T$35,'203'!$T$37,'203'!$T$39,'203'!$T$41,'203'!$T$43,'203'!$T$45,'203'!$T$47,'203'!$T$49,'203'!$T$51:$T$53,'203'!$T$55:$T$56,'203'!$T$58:$T$59,'203'!$T$61:$T$63,'203'!$T$65,'203'!$T$67,'203'!$T$69</definedName>
    <definedName name="OSRRefT22x_0" localSheetId="44">'204'!$T$20:$T$29,'204'!$T$31:$T$36,'204'!$T$38,'204'!$T$40:$T$41,'204'!$T$43,'204'!$T$45,'204'!$T$47:$T$50,'204'!$T$52:$T$53,'204'!$T$55:$T$56,'204'!$T$58,'204'!$T$60:$T$61</definedName>
    <definedName name="OSRRefT22x_0" localSheetId="45">'205'!$T$20:$T$27,'205'!$T$29,'205'!$T$31,'205'!$T$33,'205'!$T$35:$T$37,'205'!$T$39,'205'!$T$41:$T$42,'205'!$T$44,'205'!$T$46</definedName>
    <definedName name="OSRRefT22x_0" localSheetId="46">'206'!$T$20:$T$27,'206'!$T$29:$T$34,'206'!$T$36,'206'!$T$38,'206'!$T$40,'206'!$T$42,'206'!$T$44:$T$45,'206'!$T$47,'206'!$T$49</definedName>
    <definedName name="OSRRefT22x_0" localSheetId="48">'300'!$T$174:$T$182,'300'!$T$184:$T$190,'300'!$T$192,'300'!$T$194:$T$195,'300'!$T$197,'300'!$T$199:$T$200,'300'!$T$202:$T$203,'300'!$T$205,'300'!$T$207,'300'!$T$209,'300'!$T$211:$T$212,'300'!$T$214,'300'!$T$216,'300'!$T$218,'300'!$T$220,'300'!$T$222,'300'!$T$224:$T$227,'300'!$T$229:$T$231,'300'!$T$233:$T$236,'300'!$T$238:$T$239,'300'!$T$241:$T$248,'300'!$T$250:$T$251,'300'!$T$253,'300'!$T$255:$T$257,'300'!$T$259</definedName>
    <definedName name="OSRRefT22x_0" localSheetId="49">'300 &amp; 317'!$T$200:$T$208,'300 &amp; 317'!$T$210:$T$216,'300 &amp; 317'!$T$218,'300 &amp; 317'!$T$220:$T$221,'300 &amp; 317'!$T$223,'300 &amp; 317'!$T$225:$T$226,'300 &amp; 317'!$T$228:$T$229,'300 &amp; 317'!$T$231,'300 &amp; 317'!$T$233,'300 &amp; 317'!$T$235,'300 &amp; 317'!$T$237:$T$238,'300 &amp; 317'!$T$240,'300 &amp; 317'!$T$242,'300 &amp; 317'!$T$244,'300 &amp; 317'!$T$246,'300 &amp; 317'!$T$248,'300 &amp; 317'!$T$250:$T$253,'300 &amp; 317'!$T$255:$T$257,'300 &amp; 317'!$T$259:$T$262,'300 &amp; 317'!$T$264:$T$265,'300 &amp; 317'!$T$267:$T$274,'300 &amp; 317'!$T$276:$T$277,'300 &amp; 317'!$T$279,'300 &amp; 317'!$T$281:$T$283,'300 &amp; 317'!$T$285</definedName>
    <definedName name="OSRRefT22x_0" localSheetId="50">'301'!$T$21:$T$28,'301'!$T$30:$T$36,'301'!$T$38,'301'!$T$40:$T$41,'301'!$T$43,'301'!$T$45:$T$46,'301'!$T$48:$T$49,'301'!$T$51,'301'!$T$53,'301'!$T$55,'301'!$T$57,'301'!$T$59,'301'!$T$61,'301'!$T$63,'301'!$T$65,'301'!$T$67:$T$70,'301'!$T$72,'301'!$T$74:$T$76,'301'!$T$78:$T$79,'301'!$T$81:$T$87,'301'!$T$89,'301'!$T$91,'301'!$T$93:$T$95,'301'!$T$97</definedName>
    <definedName name="OSRRefT22x_0" localSheetId="53">'307'!$T$20:$T$27,'307'!$T$29:$T$31,'307'!$T$33,'307'!$T$35:$T$36,'307'!$T$38,'307'!$T$40,'307'!$T$42,'307'!$T$44,'307'!$T$46,'307'!$T$48:$T$49,'307'!$T$51:$T$52,'307'!$T$54</definedName>
    <definedName name="OSRRefT22x_0" localSheetId="55">'308'!$T$68:$T$76,'308'!$T$78:$T$82,'308'!$T$84,'308'!$T$86:$T$87,'308'!$T$89,'308'!$T$91,'308'!$T$93:$T$94,'308'!$T$96,'308'!$T$98,'308'!$T$100:$T$102,'308'!$T$104:$T$105,'308'!$T$107:$T$110,'308'!$T$112:$T$113,'308'!$T$115,'308'!$T$117</definedName>
    <definedName name="OSRRefT22x_0" localSheetId="67">'309'!$T$24:$T$31,'309'!$T$33:$T$37,'309'!$T$39,'309'!$T$41,'309'!$T$43,'309'!$T$45,'309'!$T$47,'309'!$T$49,'309'!$T$51,'309'!$T$53:$T$54,'309'!$T$56:$T$58,'309'!$T$60,'309'!$T$62:$T$68,'309'!$T$70</definedName>
    <definedName name="OSRRefT22x_0" localSheetId="66">'310'!$T$34:$T$41,'310'!$T$43:$T$48,'310'!$T$50,'310'!$T$52,'310'!$T$54,'310'!$T$56:$T$57,'310'!$T$59,'310'!$T$61,'310'!$T$63,'310'!$T$65:$T$66,'310'!$T$68,'310'!$T$70,'310'!$T$72,'310'!$T$74,'310'!$T$76:$T$78,'310'!$T$80,'310'!$T$82:$T$85,'310'!$T$87:$T$88,'310'!$T$90:$T$97,'310'!$T$99,'310'!$T$101,'310'!$T$103,'310'!$T$105</definedName>
    <definedName name="OSRRefT22x_0" localSheetId="74">'310 &amp; 491'!$T$43:$T$51,'310 &amp; 491'!$T$53:$T$59,'310 &amp; 491'!$T$61,'310 &amp; 491'!$T$63,'310 &amp; 491'!$T$65,'310 &amp; 491'!$T$67:$T$69,'310 &amp; 491'!$T$71,'310 &amp; 491'!$T$73,'310 &amp; 491'!$T$75,'310 &amp; 491'!$T$77,'310 &amp; 491'!$T$79:$T$80,'310 &amp; 491'!$T$82:$T$83,'310 &amp; 491'!$T$85,'310 &amp; 491'!$T$87,'310 &amp; 491'!$T$89,'310 &amp; 491'!$T$91,'310 &amp; 491'!$T$93:$T$96,'310 &amp; 491'!$T$98:$T$99,'310 &amp; 491'!$T$101:$T$105,'310 &amp; 491'!$T$107:$T$108,'310 &amp; 491'!$T$110:$T$119,'310 &amp; 491'!$T$121,'310 &amp; 491'!$T$123,'310 &amp; 491'!$T$125:$T$127,'310 &amp; 491'!$T$129</definedName>
    <definedName name="OSRRefT22x_0" localSheetId="56">'311'!$T$66:$T$74,'311'!$T$76:$T$80,'311'!$T$82,'311'!$T$84:$T$85,'311'!$T$87,'311'!$T$89,'311'!$T$91:$T$92,'311'!$T$94,'311'!$T$96,'311'!$T$98:$T$100,'311'!$T$102:$T$103,'311'!$T$105:$T$108,'311'!$T$110:$T$111,'311'!$T$113,'311'!$T$115</definedName>
    <definedName name="OSRRefT22x_0" localSheetId="68">'313'!$T$31:$T$38,'313'!$T$40:$T$45,'313'!$T$47,'313'!$T$49,'313'!$T$51,'313'!$T$53,'313'!$T$55,'313'!$T$57:$T$58,'313'!$T$60,'313'!$T$62:$T$64,'313'!$T$66:$T$67,'313'!$T$69:$T$70,'313'!$T$72:$T$77,'313'!$T$79,'313'!$T$81</definedName>
    <definedName name="OSRRefT22x_0" localSheetId="54">'314'!$T$56:$T$64,'314'!$T$66:$T$69,'314'!$T$71,'314'!$T$73:$T$74,'314'!$T$76,'314'!$T$78,'314'!$T$80,'314'!$T$82:$T$84,'314'!$T$86,'314'!$T$88,'314'!$T$90</definedName>
    <definedName name="OSRRefT22x_0" localSheetId="59">'315'!$T$57:$T$64,'315'!$T$66:$T$71,'315'!$T$73,'315'!$T$75:$T$76,'315'!$T$78,'315'!$T$80:$T$81,'315'!$T$83,'315'!$T$85,'315'!$T$87,'315'!$T$89:$T$91,'315'!$T$93:$T$94,'315'!$T$96:$T$97,'315'!$T$99:$T$103,'315'!$T$105,'315'!$T$107,'315'!$T$109:$T$110</definedName>
    <definedName name="OSRRefT22x_0" localSheetId="62">'316'!$T$35:$T$42,'316'!$T$44:$T$47,'316'!$T$49,'316'!$T$51,'316'!$T$53,'316'!$T$55,'316'!$T$57:$T$58,'316'!$T$60,'316'!$T$62:$T$63,'316'!$T$65,'316'!$T$67:$T$71,'316'!$T$73,'316'!$T$75</definedName>
    <definedName name="OSRRefT22x_0" localSheetId="65">'317'!$T$59:$T$67,'317'!$T$69:$T$73,'317'!$T$75,'317'!$T$77,'317'!$T$79,'317'!$T$81,'317'!$T$83,'317'!$T$85:$T$86,'317'!$T$88,'317'!$T$90,'317'!$T$92,'317'!$T$94,'317'!$T$96:$T$97,'317'!$T$99,'317'!$T$101,'317'!$T$103:$T$104</definedName>
    <definedName name="OSRRefT22x_0" localSheetId="63">'320'!$T$31:$T$38,'320'!$T$40:$T$45,'320'!$T$47,'320'!$T$49,'320'!$T$51:$T$52,'320'!$T$54,'320'!$T$56,'320'!$T$58:$T$60,'320'!$T$62</definedName>
    <definedName name="OSRRefT22x_0" localSheetId="69">'321'!$T$24:$T$30,'321'!$T$32:$T$36,'321'!$T$38,'321'!$T$40,'321'!$T$42,'321'!$T$44,'321'!$T$46,'321'!$T$48:$T$50,'321'!$T$52,'321'!$T$54:$T$56,'321'!$T$58:$T$63,'321'!$T$65,'321'!$T$67,'321'!$T$69</definedName>
    <definedName name="OSRRefT22x_0" localSheetId="70">'322'!$T$24:$T$31,'322'!$T$33:$T$37,'322'!$T$39,'322'!$T$41,'322'!$T$43,'322'!$T$45,'322'!$T$47,'322'!$T$49,'322'!$T$51,'322'!$T$53,'322'!$T$55,'322'!$T$57:$T$58,'322'!$T$60:$T$62,'322'!$T$64,'322'!$T$66:$T$72,'322'!$T$74,'322'!$T$76,'322'!$T$78</definedName>
    <definedName name="OSRRefT22x_0" localSheetId="57">'324'!$T$26</definedName>
    <definedName name="OSRRefT22x_0" localSheetId="71">'325'!$T$24:$T$31,'325'!$T$33:$T$38,'325'!$T$40,'325'!$T$42,'325'!$T$44,'325'!$T$46:$T$47,'325'!$T$49,'325'!$T$51,'325'!$T$53,'325'!$T$55,'325'!$T$57,'325'!$T$59:$T$61,'325'!$T$63:$T$66,'325'!$T$68:$T$69,'325'!$T$71:$T$76,'325'!$T$78,'325'!$T$80,'325'!$T$82</definedName>
    <definedName name="OSRRefT22x_0" localSheetId="60">'326'!$T$62:$T$69,'326'!$T$71:$T$75,'326'!$T$77,'326'!$T$79,'326'!$T$81,'326'!$T$83,'326'!$T$85,'326'!$T$87,'326'!$T$89,'326'!$T$91,'326'!$T$93,'326'!$T$95,'326'!$T$97,'326'!$T$99:$T$100,'326'!$T$102:$T$104,'326'!$T$106:$T$107,'326'!$T$109:$T$113,'326'!$T$115,'326'!$T$117,'326'!$T$119,'326'!$T$121</definedName>
    <definedName name="OSRRefT22x_0" localSheetId="72">'327'!$T$22,'327'!$T$24,'327'!$T$26</definedName>
    <definedName name="OSRRefT22x_0" localSheetId="52">'330'!$T$87:$T$95,'330'!$T$97:$T$101,'330'!$T$103,'330'!$T$105,'330'!$T$107:$T$108,'330'!$T$110,'330'!$T$112,'330'!$T$114,'330'!$T$116,'330'!$T$118,'330'!$T$120,'330'!$T$122:$T$123,'330'!$T$125:$T$126,'330'!$T$128,'330'!$T$130:$T$132,'330'!$T$134,'330'!$T$136,'330'!$T$138</definedName>
    <definedName name="OSRRefT22x_0" localSheetId="58">'331'!$T$76:$T$83,'331'!$T$85:$T$90,'331'!$T$92,'331'!$T$94,'331'!$T$96,'331'!$T$98:$T$99,'331'!$T$101,'331'!$T$103,'331'!$T$105:$T$106,'331'!$T$108,'331'!$T$110,'331'!$T$112,'331'!$T$114,'331'!$T$116,'331'!$T$118:$T$120,'331'!$T$122:$T$123,'331'!$T$125:$T$127,'331'!$T$129:$T$130,'331'!$T$132:$T$137,'331'!$T$139,'331'!$T$141,'331'!$T$143:$T$144,'331'!$T$146</definedName>
    <definedName name="OSRRefT22x_0" localSheetId="61">'332'!$T$46:$T$53,'332'!$T$55:$T$60,'332'!$T$62,'332'!$T$64,'332'!$T$66,'332'!$T$68,'332'!$T$70:$T$71,'332'!$T$73,'332'!$T$75,'332'!$T$77:$T$78,'332'!$T$80,'332'!$T$82:$T$86,'332'!$T$88,'332'!$T$90</definedName>
    <definedName name="OSRRefT22x_0" localSheetId="76">'405'!$T$24:$T$31,'405'!$T$33:$T$37,'405'!$T$39,'405'!$T$41,'405'!$T$43,'405'!$T$45:$T$46,'405'!$T$48,'405'!$T$50,'405'!$T$52,'405'!$T$54,'405'!$T$56:$T$57,'405'!$T$59,'405'!$T$61:$T$63,'405'!$T$65:$T$66,'405'!$T$68:$T$74,'405'!$T$76,'405'!$T$78,'405'!$T$80,'405'!$T$82</definedName>
    <definedName name="OSRRefT22x_0" localSheetId="77">'406'!$T$24:$T$31,'406'!$T$33:$T$38,'406'!$T$40,'406'!$T$42,'406'!$T$44,'406'!$T$46,'406'!$T$48,'406'!$T$50,'406'!$T$52,'406'!$T$54:$T$56,'406'!$T$58:$T$59,'406'!$T$61:$T$66,'406'!$T$68,'406'!$T$70,'406'!$T$72:$T$73</definedName>
    <definedName name="OSRRefT22x_0" localSheetId="78">'411'!$T$20:$T$28,'411'!$T$30:$T$35,'411'!$T$37,'411'!$T$39,'411'!$T$41:$T$43,'411'!$T$45,'411'!$T$47,'411'!$T$49,'411'!$T$51,'411'!$T$53,'411'!$T$55,'411'!$T$57,'411'!$T$59:$T$62,'411'!$T$64:$T$68,'411'!$T$70:$T$71,'411'!$T$73:$T$81,'411'!$T$83,'411'!$T$85,'411'!$T$87:$T$89,'411'!$T$91</definedName>
    <definedName name="OSRRefT22x_0" localSheetId="79">'412'!$T$25:$T$32,'412'!$T$34:$T$39,'412'!$T$41,'412'!$T$43,'412'!$T$45,'412'!$T$47,'412'!$T$49,'412'!$T$51,'412'!$T$53,'412'!$T$55:$T$57,'412'!$T$59,'412'!$T$61:$T$63,'412'!$T$65:$T$72,'412'!$T$74,'412'!$T$76</definedName>
    <definedName name="OSRRefT22x_0" localSheetId="81">'413'!$T$24:$T$31,'413'!$T$33:$T$38,'413'!$T$40,'413'!$T$42,'413'!$T$44,'413'!$T$46,'413'!$T$48,'413'!$T$50,'413'!$T$52:$T$54,'413'!$T$56:$T$57,'413'!$T$59:$T$64,'413'!$T$66,'413'!$T$68,'413'!$T$70</definedName>
    <definedName name="OSRRefT22x_0" localSheetId="82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3">'415'!$T$24:$T$31,'415'!$T$33:$T$38,'415'!$T$40,'415'!$T$42,'415'!$T$44,'415'!$T$46:$T$47,'415'!$T$49,'415'!$T$51,'415'!$T$53,'415'!$T$55,'415'!$T$57,'415'!$T$59:$T$62,'415'!$T$64:$T$68,'415'!$T$70:$T$71,'415'!$T$73:$T$80,'415'!$T$82,'415'!$T$84,'415'!$T$86,'415'!$T$88</definedName>
    <definedName name="OSRRefT22x_0" localSheetId="84">'418'!$T$24:$T$31,'418'!$T$33:$T$38,'418'!$T$40,'418'!$T$42,'418'!$T$44,'418'!$T$46:$T$47,'418'!$T$49,'418'!$T$51,'418'!$T$53,'418'!$T$55,'418'!$T$57:$T$58,'418'!$T$60:$T$62,'418'!$T$64:$T$66,'418'!$T$68:$T$69,'418'!$T$71:$T$78,'418'!$T$80,'418'!$T$82</definedName>
    <definedName name="OSRRefT22x_0" localSheetId="80">'420'!$T$24:$T$31,'420'!$T$33:$T$36,'420'!$T$38,'420'!$T$40,'420'!$T$42,'420'!$T$44,'420'!$T$46:$T$47,'420'!$T$49</definedName>
    <definedName name="OSRRefT22x_0" localSheetId="85">'423'!$T$21:$T$28,'423'!$T$30:$T$31,'423'!$T$33,'423'!$T$35,'423'!$T$37,'423'!$T$39,'423'!$T$41</definedName>
    <definedName name="OSRRefT22x_0" localSheetId="86">'424'!$T$26:$T$28,'424'!$T$30:$T$34,'424'!$T$36,'424'!$T$38,'424'!$T$40,'424'!$T$42,'424'!$T$44,'424'!$T$46,'424'!$T$48,'424'!$T$50:$T$51,'424'!$T$53,'424'!$T$55,'424'!$T$57:$T$63,'424'!$T$65</definedName>
    <definedName name="OSRRefT22x_0" localSheetId="87">'425'!$T$27:$T$35,'425'!$T$37:$T$42,'425'!$T$44,'425'!$T$46,'425'!$T$48,'425'!$T$50,'425'!$T$52,'425'!$T$54,'425'!$T$56,'425'!$T$58:$T$60,'425'!$T$62,'425'!$T$64:$T$66,'425'!$T$68:$T$74,'425'!$T$76,'425'!$T$78,'425'!$T$80</definedName>
    <definedName name="OSRRefT22x_0" localSheetId="90">'430'!$T$20:$T$27,'430'!$T$29,'430'!$T$31,'430'!$T$33,'430'!$T$35,'430'!$T$37,'430'!$T$39:$T$41,'430'!$T$43,'430'!$T$45,'430'!$T$47</definedName>
    <definedName name="OSRRefT22x_0" localSheetId="91">'433'!$T$26:$T$34,'433'!$T$36:$T$41,'433'!$T$43,'433'!$T$45,'433'!$T$47,'433'!$T$49,'433'!$T$51,'433'!$T$53,'433'!$T$55,'433'!$T$57,'433'!$T$59:$T$61,'433'!$T$63:$T$65,'433'!$T$67:$T$74,'433'!$T$76,'433'!$T$78,'433'!$T$80:$T$81</definedName>
    <definedName name="OSRRefT22x_0" localSheetId="92">'435'!$T$25:$T$27,'435'!$T$29:$T$31,'435'!$T$33,'435'!$T$35,'435'!$T$37,'435'!$T$39,'435'!$T$41,'435'!$T$43,'435'!$T$45:$T$48,'435'!$T$50</definedName>
    <definedName name="OSRRefT22x_0" localSheetId="93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4">'445'!$T$20</definedName>
    <definedName name="OSRRefT22x_0" localSheetId="95">'450'!$T$25:$T$33,'450'!$T$35:$T$40,'450'!$T$42,'450'!$T$44,'450'!$T$46,'450'!$T$48,'450'!$T$50,'450'!$T$52,'450'!$T$54,'450'!$T$56,'450'!$T$58,'450'!$T$60,'450'!$T$62:$T$64,'450'!$T$66:$T$68,'450'!$T$70:$T$76,'450'!$T$78,'450'!$T$80,'450'!$T$82:$T$83</definedName>
    <definedName name="OSRRefT22x_0" localSheetId="88">'455'!$T$20:$T$26,'455'!$T$28:$T$29,'455'!$T$31</definedName>
    <definedName name="OSRRefT22x_0" localSheetId="75">'491'!$T$34:$T$42,'491'!$T$44:$T$50,'491'!$T$52,'491'!$T$54,'491'!$T$56,'491'!$T$58:$T$60,'491'!$T$62,'491'!$T$64,'491'!$T$66,'491'!$T$68,'491'!$T$70,'491'!$T$72:$T$73,'491'!$T$75,'491'!$T$77,'491'!$T$79,'491'!$T$81,'491'!$T$83:$T$86,'491'!$T$88:$T$89,'491'!$T$91:$T$95,'491'!$T$97:$T$98,'491'!$T$100:$T$109,'491'!$T$111,'491'!$T$113,'491'!$T$115:$T$117,'491'!$T$119</definedName>
    <definedName name="OSRRefT22x_0" localSheetId="89">'492'!$T$28:$T$36,'492'!$T$38:$T$44,'492'!$T$46,'492'!$T$48,'492'!$T$50,'492'!$T$52,'492'!$T$54,'492'!$T$56,'492'!$T$58,'492'!$T$60,'492'!$T$62,'492'!$T$64,'492'!$T$66,'492'!$T$68:$T$70,'492'!$T$72:$T$74,'492'!$T$76:$T$84,'492'!$T$86,'492'!$T$88,'492'!$T$90:$T$91</definedName>
    <definedName name="OSRRefT22x_0" localSheetId="97">'501'!$T$21:$T$28,'501'!$T$30:$T$35,'501'!$T$37,'501'!$T$39,'501'!$T$41,'501'!$T$43:$T$44,'501'!$T$46,'501'!$T$48,'501'!$T$50,'501'!$T$52,'501'!$T$54:$T$56,'501'!$T$58,'501'!$T$60:$T$63,'501'!$T$65,'501'!$T$67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2'!$T$66:$T$69,'Div 2'!$T$71:$T$72,'Div 2'!$T$74:$T$75,'Div 2'!$T$77:$T$81,'Div 2'!$T$83:$T$84,'Div 2'!$T$86,'Div 2'!$T$88:$T$89</definedName>
    <definedName name="OSRRefT22x_0" localSheetId="47">'Div 3'!$T$179:$T$187,'Div 3'!$T$189:$T$195,'Div 3'!$T$197,'Div 3'!$T$199:$T$200,'Div 3'!$T$202,'Div 3'!$T$204:$T$205,'Div 3'!$T$207:$T$208,'Div 3'!$T$210,'Div 3'!$T$212,'Div 3'!$T$214,'Div 3'!$T$216:$T$217,'Div 3'!$T$219,'Div 3'!$T$221,'Div 3'!$T$223,'Div 3'!$T$225,'Div 3'!$T$227,'Div 3'!$T$229,'Div 3'!$T$231:$T$234,'Div 3'!$T$236:$T$238,'Div 3'!$T$240:$T$244,'Div 3'!$T$246:$T$247,'Div 3'!$T$249:$T$257,'Div 3'!$T$259:$T$260,'Div 3'!$T$262,'Div 3'!$T$264:$T$266,'Div 3'!$T$268</definedName>
    <definedName name="OSRRefT22x_0" localSheetId="73">'Div 4'!$T$35:$T$43,'Div 4'!$T$45:$T$51,'Div 4'!$T$53,'Div 4'!$T$55,'Div 4'!$T$57,'Div 4'!$T$59:$T$61,'Div 4'!$T$63,'Div 4'!$T$65,'Div 4'!$T$67,'Div 4'!$T$69,'Div 4'!$T$71,'Div 4'!$T$73:$T$74,'Div 4'!$T$76,'Div 4'!$T$78,'Div 4'!$T$80,'Div 4'!$T$82,'Div 4'!$T$84,'Div 4'!$T$86:$T$89,'Div 4'!$T$91:$T$92,'Div 4'!$T$94:$T$98,'Div 4'!$T$100:$T$101,'Div 4'!$T$103:$T$112,'Div 4'!$T$114,'Div 4'!$T$116,'Div 4'!$T$118:$T$120,'Div 4'!$T$122</definedName>
    <definedName name="OSRRefT22x_0" localSheetId="96">'Div 5'!$T$21:$T$28,'Div 5'!$T$30:$T$35,'Div 5'!$T$37,'Div 5'!$T$39,'Div 5'!$T$41,'Div 5'!$T$43:$T$44,'Div 5'!$T$46,'Div 5'!$T$48,'Div 5'!$T$50,'Div 5'!$T$52,'Div 5'!$T$54:$T$56,'Div 5'!$T$58,'Div 5'!$T$60:$T$63,'Div 5'!$T$65,'Div 5'!$T$67</definedName>
    <definedName name="OSRRefT22x_0" localSheetId="64">'Div 6'!$T$59:$T$67,'Div 6'!$T$69:$T$73,'Div 6'!$T$75,'Div 6'!$T$77,'Div 6'!$T$79,'Div 6'!$T$81,'Div 6'!$T$83,'Div 6'!$T$85:$T$86,'Div 6'!$T$88,'Div 6'!$T$90,'Div 6'!$T$92,'Div 6'!$T$94,'Div 6'!$T$96:$T$97,'Div 6'!$T$99,'Div 6'!$T$101,'Div 6'!$T$103:$T$104</definedName>
    <definedName name="OSRRefT22x_0" localSheetId="2">Summary!$T$215:$T$223,Summary!$T$225:$T$231,Summary!$T$233,Summary!$T$235:$T$236,Summary!$T$238,Summary!$T$240:$T$242,Summary!$T$244:$T$245,Summary!$T$247,Summary!$T$249,Summary!$T$251,Summary!$T$253:$T$254,Summary!$T$256:$T$257,Summary!$T$259,Summary!$T$261,Summary!$T$263,Summary!$T$265,Summary!$T$267,Summary!$T$269,Summary!$T$271:$T$274,Summary!$T$276:$T$278,Summary!$T$280:$T$284,Summary!$T$286:$T$287,Summary!$T$289:$T$298,Summary!$T$300:$T$301,Summary!$T$303,Summary!$T$305:$T$307,Summary!$T$309</definedName>
    <definedName name="OSRRefT25x_0" localSheetId="48">'300'!$T$262:$T$270</definedName>
    <definedName name="OSRRefT25x_0" localSheetId="49">'300 &amp; 317'!$T$288:$T$299</definedName>
    <definedName name="OSRRefT25x_0" localSheetId="50">'301'!$T$100:$T$102</definedName>
    <definedName name="OSRRefT25x_0" localSheetId="55">'308'!$T$120:$T$122</definedName>
    <definedName name="OSRRefT25x_0" localSheetId="74">'310 &amp; 491'!$T$132:$T$134</definedName>
    <definedName name="OSRRefT25x_0" localSheetId="56">'311'!$T$118:$T$120</definedName>
    <definedName name="OSRRefT25x_0" localSheetId="59">'315'!$T$113</definedName>
    <definedName name="OSRRefT25x_0" localSheetId="62">'316'!$T$78</definedName>
    <definedName name="OSRRefT25x_0" localSheetId="65">'317'!$T$107:$T$110</definedName>
    <definedName name="OSRRefT25x_0" localSheetId="63">'320'!$T$65:$T$69</definedName>
    <definedName name="OSRRefT25x_0" localSheetId="52">'330'!$T$141</definedName>
    <definedName name="OSRRefT25x_0" localSheetId="58">'331'!$T$149</definedName>
    <definedName name="OSRRefT25x_0" localSheetId="61">'332'!$T$93:$T$98</definedName>
    <definedName name="OSRRefT25x_0" localSheetId="78">'411'!$T$94:$T$95</definedName>
    <definedName name="OSRRefT25x_0" localSheetId="81">'413'!$T$73</definedName>
    <definedName name="OSRRefT25x_0" localSheetId="83">'415'!$T$91</definedName>
    <definedName name="OSRRefT25x_0" localSheetId="84">'418'!$T$85</definedName>
    <definedName name="OSRRefT25x_0" localSheetId="85">'423'!$T$44</definedName>
    <definedName name="OSRRefT25x_0" localSheetId="86">'424'!$T$68</definedName>
    <definedName name="OSRRefT25x_0" localSheetId="87">'425'!$T$83</definedName>
    <definedName name="OSRRefT25x_0" localSheetId="88">'455'!$T$34:$T$35</definedName>
    <definedName name="OSRRefT25x_0" localSheetId="75">'491'!$T$122:$T$124</definedName>
    <definedName name="OSRRefT25x_0" localSheetId="97">'501'!$T$70:$T$71</definedName>
    <definedName name="OSRRefT25x_0" localSheetId="47">'Div 3'!$T$271:$T$279</definedName>
    <definedName name="OSRRefT25x_0" localSheetId="73">'Div 4'!$T$125:$T$127</definedName>
    <definedName name="OSRRefT25x_0" localSheetId="96">'Div 5'!$T$70:$T$71</definedName>
    <definedName name="OSRRefT25x_0" localSheetId="64">'Div 6'!$T$107:$T$110</definedName>
    <definedName name="OSRRefT25x_0" localSheetId="2">Summary!$T$312:$T$324</definedName>
    <definedName name="_xlnm.Print_Area" localSheetId="38">'100'!$A$1:$Z$34</definedName>
    <definedName name="_xlnm.Print_Area" localSheetId="40">'200'!$A$1:$Z$43</definedName>
    <definedName name="_xlnm.Print_Area" localSheetId="41">'201'!$A$1:$Z$84</definedName>
    <definedName name="_xlnm.Print_Area" localSheetId="42">'202'!$A$1:$Z$82</definedName>
    <definedName name="_xlnm.Print_Area" localSheetId="43">'203'!$A$1:$Z$83</definedName>
    <definedName name="_xlnm.Print_Area" localSheetId="44">'204'!$A$1:$Z$75</definedName>
    <definedName name="_xlnm.Print_Area" localSheetId="45">'205'!$A$1:$Z$60</definedName>
    <definedName name="_xlnm.Print_Area" localSheetId="46">'206'!$A$1:$Z$63</definedName>
    <definedName name="_xlnm.Print_Area" localSheetId="48">'300'!$A$1:$Z$282</definedName>
    <definedName name="_xlnm.Print_Area" localSheetId="49">'300 &amp; 317'!$A$1:$Z$311</definedName>
    <definedName name="_xlnm.Print_Area" localSheetId="50">'301'!$A$1:$Z$114</definedName>
    <definedName name="_xlnm.Print_Area" localSheetId="51">'306'!$A$1:$Z$32</definedName>
    <definedName name="_xlnm.Print_Area" localSheetId="53">'307'!$A$1:$Z$68</definedName>
    <definedName name="_xlnm.Print_Area" localSheetId="55">'308'!$A$1:$Z$134</definedName>
    <definedName name="_xlnm.Print_Area" localSheetId="67">'309'!$A$1:$Z$84</definedName>
    <definedName name="_xlnm.Print_Area" localSheetId="66">'310'!$A$1:$Z$119</definedName>
    <definedName name="_xlnm.Print_Area" localSheetId="74">'310 &amp; 491'!$A$1:$Z$146</definedName>
    <definedName name="_xlnm.Print_Area" localSheetId="56">'311'!$A$1:$Z$132</definedName>
    <definedName name="_xlnm.Print_Area" localSheetId="68">'313'!$A$1:$Z$95</definedName>
    <definedName name="_xlnm.Print_Area" localSheetId="54">'314'!$A$1:$Z$104</definedName>
    <definedName name="_xlnm.Print_Area" localSheetId="59">'315'!$A$1:$Z$125</definedName>
    <definedName name="_xlnm.Print_Area" localSheetId="62">'316'!$A$1:$Z$90</definedName>
    <definedName name="_xlnm.Print_Area" localSheetId="65">'317'!$A$1:$Z$122</definedName>
    <definedName name="_xlnm.Print_Area" localSheetId="63">'320'!$A$1:$Z$81</definedName>
    <definedName name="_xlnm.Print_Area" localSheetId="69">'321'!$A$1:$Z$83</definedName>
    <definedName name="_xlnm.Print_Area" localSheetId="70">'322'!$A$1:$Z$92</definedName>
    <definedName name="_xlnm.Print_Area" localSheetId="57">'324'!$A$1:$Z$40</definedName>
    <definedName name="_xlnm.Print_Area" localSheetId="71">'325'!$A$1:$Z$96</definedName>
    <definedName name="_xlnm.Print_Area" localSheetId="60">'326'!$A$1:$Z$135</definedName>
    <definedName name="_xlnm.Print_Area" localSheetId="72">'327'!$A$1:$Z$40</definedName>
    <definedName name="_xlnm.Print_Area" localSheetId="52">'330'!$A$1:$Z$153</definedName>
    <definedName name="_xlnm.Print_Area" localSheetId="58">'331'!$A$1:$Z$161</definedName>
    <definedName name="_xlnm.Print_Area" localSheetId="61">'332'!$A$1:$Z$110</definedName>
    <definedName name="_xlnm.Print_Area" localSheetId="76">'405'!$A$1:$Z$96</definedName>
    <definedName name="_xlnm.Print_Area" localSheetId="77">'406'!$A$1:$Z$87</definedName>
    <definedName name="_xlnm.Print_Area" localSheetId="78">'411'!$A$1:$Z$107</definedName>
    <definedName name="_xlnm.Print_Area" localSheetId="79">'412'!$A$1:$Z$90</definedName>
    <definedName name="_xlnm.Print_Area" localSheetId="81">'413'!$A$1:$Z$85</definedName>
    <definedName name="_xlnm.Print_Area" localSheetId="82">'414'!$A$1:$Z$87</definedName>
    <definedName name="_xlnm.Print_Area" localSheetId="83">'415'!$A$1:$Z$103</definedName>
    <definedName name="_xlnm.Print_Area" localSheetId="84">'418'!$A$1:$Z$97</definedName>
    <definedName name="_xlnm.Print_Area" localSheetId="80">'420'!$A$1:$Z$63</definedName>
    <definedName name="_xlnm.Print_Area" localSheetId="85">'423'!$A$1:$Z$56</definedName>
    <definedName name="_xlnm.Print_Area" localSheetId="86">'424'!$A$1:$Z$80</definedName>
    <definedName name="_xlnm.Print_Area" localSheetId="87">'425'!$A$1:$Z$95</definedName>
    <definedName name="_xlnm.Print_Area" localSheetId="90">'430'!$A$1:$Z$61</definedName>
    <definedName name="_xlnm.Print_Area" localSheetId="91">'433'!$A$1:$Z$95</definedName>
    <definedName name="_xlnm.Print_Area" localSheetId="92">'435'!$A$1:$Z$64</definedName>
    <definedName name="_xlnm.Print_Area" localSheetId="93">'444'!$A$1:$Z$95</definedName>
    <definedName name="_xlnm.Print_Area" localSheetId="94">'445'!$A$1:$Z$34</definedName>
    <definedName name="_xlnm.Print_Area" localSheetId="95">'450'!$A$1:$Z$97</definedName>
    <definedName name="_xlnm.Print_Area" localSheetId="88">'455'!$A$1:$Z$47</definedName>
    <definedName name="_xlnm.Print_Area" localSheetId="75">'491'!$A$1:$Z$136</definedName>
    <definedName name="_xlnm.Print_Area" localSheetId="89">'492'!$A$1:$Z$105</definedName>
    <definedName name="_xlnm.Print_Area" localSheetId="97">'501'!$A$1:$Z$83</definedName>
    <definedName name="_xlnm.Print_Area" localSheetId="98">Dept!$A$1:$Z$39</definedName>
    <definedName name="_xlnm.Print_Area" localSheetId="5">'Div 1'!$A$1:$Z$34</definedName>
    <definedName name="_xlnm.Print_Area" localSheetId="39">'Div 2'!$A$1:$Z$103</definedName>
    <definedName name="_xlnm.Print_Area" localSheetId="47">'Div 3'!$A$1:$Z$291</definedName>
    <definedName name="_xlnm.Print_Area" localSheetId="73">'Div 4'!$A$1:$Z$139</definedName>
    <definedName name="_xlnm.Print_Area" localSheetId="96">'Div 5'!$A$1:$Z$83</definedName>
    <definedName name="_xlnm.Print_Area" localSheetId="64">'Div 6'!$A$1:$Z$122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Summary!$A$1:$Z$338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'445'!$A:$C,'445'!$1:$10</definedName>
    <definedName name="_xlnm.Print_Titles" localSheetId="95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5" i="109" l="1"/>
  <c r="X75" i="109"/>
  <c r="N75" i="109"/>
  <c r="L75" i="109"/>
  <c r="X71" i="109"/>
  <c r="T71" i="109"/>
  <c r="P71" i="109"/>
  <c r="L71" i="109"/>
  <c r="H71" i="109"/>
  <c r="N71" i="109" s="1"/>
  <c r="D71" i="109"/>
  <c r="B71" i="109"/>
  <c r="T70" i="109"/>
  <c r="P70" i="109"/>
  <c r="X70" i="109" s="1"/>
  <c r="Z70" i="109" s="1"/>
  <c r="N70" i="109"/>
  <c r="H70" i="109"/>
  <c r="D70" i="109"/>
  <c r="L70" i="109" s="1"/>
  <c r="B70" i="109"/>
  <c r="T69" i="109"/>
  <c r="P69" i="109"/>
  <c r="X69" i="109" s="1"/>
  <c r="H69" i="109"/>
  <c r="D69" i="109"/>
  <c r="L69" i="109" s="1"/>
  <c r="Z67" i="109"/>
  <c r="X67" i="109"/>
  <c r="N67" i="109"/>
  <c r="L67" i="109"/>
  <c r="B67" i="109"/>
  <c r="X66" i="109"/>
  <c r="Z66" i="109" s="1"/>
  <c r="T66" i="109"/>
  <c r="P66" i="109"/>
  <c r="H66" i="109"/>
  <c r="N66" i="109" s="1"/>
  <c r="D66" i="109"/>
  <c r="L66" i="109" s="1"/>
  <c r="B66" i="109"/>
  <c r="X65" i="109"/>
  <c r="Z65" i="109" s="1"/>
  <c r="L65" i="109"/>
  <c r="N65" i="109" s="1"/>
  <c r="F65" i="109"/>
  <c r="B65" i="109"/>
  <c r="X64" i="109"/>
  <c r="T64" i="109"/>
  <c r="Z64" i="109" s="1"/>
  <c r="P64" i="109"/>
  <c r="H64" i="109"/>
  <c r="N64" i="109" s="1"/>
  <c r="D64" i="109"/>
  <c r="L64" i="109" s="1"/>
  <c r="B64" i="109"/>
  <c r="Z63" i="109"/>
  <c r="X63" i="109"/>
  <c r="R63" i="109"/>
  <c r="N63" i="109"/>
  <c r="L63" i="109"/>
  <c r="B63" i="109"/>
  <c r="Z62" i="109"/>
  <c r="X62" i="109"/>
  <c r="N62" i="109"/>
  <c r="L62" i="109"/>
  <c r="B62" i="109"/>
  <c r="X61" i="109"/>
  <c r="Z61" i="109" s="1"/>
  <c r="N61" i="109"/>
  <c r="L61" i="109"/>
  <c r="B61" i="109"/>
  <c r="Z60" i="109"/>
  <c r="X60" i="109"/>
  <c r="N60" i="109"/>
  <c r="L60" i="109"/>
  <c r="B60" i="109"/>
  <c r="T59" i="109"/>
  <c r="P59" i="109"/>
  <c r="X59" i="109" s="1"/>
  <c r="H59" i="109"/>
  <c r="D59" i="109"/>
  <c r="L59" i="109" s="1"/>
  <c r="B59" i="109"/>
  <c r="X58" i="109"/>
  <c r="Z58" i="109" s="1"/>
  <c r="N58" i="109"/>
  <c r="L58" i="109"/>
  <c r="B58" i="109"/>
  <c r="T57" i="109"/>
  <c r="P57" i="109"/>
  <c r="X57" i="109" s="1"/>
  <c r="H57" i="109"/>
  <c r="D57" i="109"/>
  <c r="L57" i="109" s="1"/>
  <c r="B57" i="109"/>
  <c r="X56" i="109"/>
  <c r="Z56" i="109" s="1"/>
  <c r="N56" i="109"/>
  <c r="L56" i="109"/>
  <c r="B56" i="109"/>
  <c r="X55" i="109"/>
  <c r="Z55" i="109" s="1"/>
  <c r="N55" i="109"/>
  <c r="L55" i="109"/>
  <c r="B55" i="109"/>
  <c r="Z54" i="109"/>
  <c r="X54" i="109"/>
  <c r="N54" i="109"/>
  <c r="L54" i="109"/>
  <c r="B54" i="109"/>
  <c r="T53" i="109"/>
  <c r="P53" i="109"/>
  <c r="X53" i="109" s="1"/>
  <c r="N53" i="109"/>
  <c r="L53" i="109"/>
  <c r="H53" i="109"/>
  <c r="D53" i="109"/>
  <c r="B53" i="109"/>
  <c r="Z52" i="109"/>
  <c r="X52" i="109"/>
  <c r="N52" i="109"/>
  <c r="L52" i="109"/>
  <c r="B52" i="109"/>
  <c r="T51" i="109"/>
  <c r="P51" i="109"/>
  <c r="H51" i="109"/>
  <c r="D51" i="109"/>
  <c r="B51" i="109"/>
  <c r="X50" i="109"/>
  <c r="Z50" i="109" s="1"/>
  <c r="V50" i="109"/>
  <c r="N50" i="109"/>
  <c r="L50" i="109"/>
  <c r="B50" i="109"/>
  <c r="T49" i="109"/>
  <c r="P49" i="109"/>
  <c r="X49" i="109" s="1"/>
  <c r="H49" i="109"/>
  <c r="N49" i="109" s="1"/>
  <c r="D49" i="109"/>
  <c r="L49" i="109" s="1"/>
  <c r="B49" i="109"/>
  <c r="X48" i="109"/>
  <c r="Z48" i="109" s="1"/>
  <c r="L48" i="109"/>
  <c r="N48" i="109" s="1"/>
  <c r="B48" i="109"/>
  <c r="X47" i="109"/>
  <c r="Z47" i="109" s="1"/>
  <c r="T47" i="109"/>
  <c r="P47" i="109"/>
  <c r="H47" i="109"/>
  <c r="D47" i="109"/>
  <c r="L47" i="109" s="1"/>
  <c r="B47" i="109"/>
  <c r="Z46" i="109"/>
  <c r="X46" i="109"/>
  <c r="N46" i="109"/>
  <c r="L46" i="109"/>
  <c r="B46" i="109"/>
  <c r="T45" i="109"/>
  <c r="P45" i="109"/>
  <c r="H45" i="109"/>
  <c r="N45" i="109" s="1"/>
  <c r="F45" i="109"/>
  <c r="D45" i="109"/>
  <c r="B45" i="109"/>
  <c r="X44" i="109"/>
  <c r="Z44" i="109" s="1"/>
  <c r="N44" i="109"/>
  <c r="L44" i="109"/>
  <c r="B44" i="109"/>
  <c r="Z43" i="109"/>
  <c r="X43" i="109"/>
  <c r="R43" i="109"/>
  <c r="N43" i="109"/>
  <c r="L43" i="109"/>
  <c r="B43" i="109"/>
  <c r="T42" i="109"/>
  <c r="P42" i="109"/>
  <c r="N42" i="109"/>
  <c r="L42" i="109"/>
  <c r="H42" i="109"/>
  <c r="D42" i="109"/>
  <c r="B42" i="109"/>
  <c r="X41" i="109"/>
  <c r="Z41" i="109" s="1"/>
  <c r="N41" i="109"/>
  <c r="L41" i="109"/>
  <c r="B41" i="109"/>
  <c r="X40" i="109"/>
  <c r="T40" i="109"/>
  <c r="R40" i="109"/>
  <c r="P40" i="109"/>
  <c r="L40" i="109"/>
  <c r="H40" i="109"/>
  <c r="N40" i="109" s="1"/>
  <c r="D40" i="109"/>
  <c r="B40" i="109"/>
  <c r="Z39" i="109"/>
  <c r="X39" i="109"/>
  <c r="N39" i="109"/>
  <c r="L39" i="109"/>
  <c r="F39" i="109"/>
  <c r="B39" i="109"/>
  <c r="T38" i="109"/>
  <c r="P38" i="109"/>
  <c r="X38" i="109" s="1"/>
  <c r="Z38" i="109" s="1"/>
  <c r="H38" i="109"/>
  <c r="D38" i="109"/>
  <c r="B38" i="109"/>
  <c r="X37" i="109"/>
  <c r="Z37" i="109" s="1"/>
  <c r="L37" i="109"/>
  <c r="N37" i="109" s="1"/>
  <c r="F37" i="109"/>
  <c r="B37" i="109"/>
  <c r="T36" i="109"/>
  <c r="P36" i="109"/>
  <c r="X36" i="109" s="1"/>
  <c r="Z36" i="109" s="1"/>
  <c r="H36" i="109"/>
  <c r="D36" i="109"/>
  <c r="B36" i="109"/>
  <c r="Z35" i="109"/>
  <c r="X35" i="109"/>
  <c r="N35" i="109"/>
  <c r="L35" i="109"/>
  <c r="F35" i="109"/>
  <c r="B35" i="109"/>
  <c r="Z34" i="109"/>
  <c r="X34" i="109"/>
  <c r="V34" i="109"/>
  <c r="N34" i="109"/>
  <c r="L34" i="109"/>
  <c r="F34" i="109"/>
  <c r="B34" i="109"/>
  <c r="X33" i="109"/>
  <c r="Z33" i="109" s="1"/>
  <c r="L33" i="109"/>
  <c r="N33" i="109" s="1"/>
  <c r="F33" i="109"/>
  <c r="B33" i="109"/>
  <c r="X32" i="109"/>
  <c r="Z32" i="109" s="1"/>
  <c r="L32" i="109"/>
  <c r="N32" i="109" s="1"/>
  <c r="B32" i="109"/>
  <c r="X31" i="109"/>
  <c r="Z31" i="109" s="1"/>
  <c r="N31" i="109"/>
  <c r="L31" i="109"/>
  <c r="F31" i="109"/>
  <c r="B31" i="109"/>
  <c r="Z30" i="109"/>
  <c r="X30" i="109"/>
  <c r="N30" i="109"/>
  <c r="L30" i="109"/>
  <c r="F30" i="109"/>
  <c r="B30" i="109"/>
  <c r="X29" i="109"/>
  <c r="T29" i="109"/>
  <c r="P29" i="109"/>
  <c r="L29" i="109"/>
  <c r="N29" i="109" s="1"/>
  <c r="H29" i="109"/>
  <c r="D29" i="109"/>
  <c r="B29" i="109"/>
  <c r="X28" i="109"/>
  <c r="Z28" i="109" s="1"/>
  <c r="R28" i="109"/>
  <c r="L28" i="109"/>
  <c r="N28" i="109" s="1"/>
  <c r="B28" i="109"/>
  <c r="Z27" i="109"/>
  <c r="X27" i="109"/>
  <c r="L27" i="109"/>
  <c r="N27" i="109" s="1"/>
  <c r="J27" i="109"/>
  <c r="F27" i="109"/>
  <c r="B27" i="109"/>
  <c r="Z26" i="109"/>
  <c r="X26" i="109"/>
  <c r="N26" i="109"/>
  <c r="L26" i="109"/>
  <c r="F26" i="109"/>
  <c r="B26" i="109"/>
  <c r="X25" i="109"/>
  <c r="Z25" i="109" s="1"/>
  <c r="R25" i="109"/>
  <c r="L25" i="109"/>
  <c r="N25" i="109" s="1"/>
  <c r="B25" i="109"/>
  <c r="Z24" i="109"/>
  <c r="X24" i="109"/>
  <c r="L24" i="109"/>
  <c r="N24" i="109" s="1"/>
  <c r="J24" i="109"/>
  <c r="B24" i="109"/>
  <c r="Z23" i="109"/>
  <c r="X23" i="109"/>
  <c r="L23" i="109"/>
  <c r="N23" i="109" s="1"/>
  <c r="B23" i="109"/>
  <c r="Z22" i="109"/>
  <c r="X22" i="109"/>
  <c r="R22" i="109"/>
  <c r="N22" i="109"/>
  <c r="L22" i="109"/>
  <c r="F22" i="109"/>
  <c r="B22" i="109"/>
  <c r="Z21" i="109"/>
  <c r="X21" i="109"/>
  <c r="R21" i="109"/>
  <c r="L21" i="109"/>
  <c r="N21" i="109" s="1"/>
  <c r="B21" i="109"/>
  <c r="X20" i="109"/>
  <c r="Z20" i="109" s="1"/>
  <c r="T20" i="109"/>
  <c r="P20" i="109"/>
  <c r="H20" i="109"/>
  <c r="N20" i="109" s="1"/>
  <c r="D20" i="109"/>
  <c r="L20" i="109" s="1"/>
  <c r="B20" i="109"/>
  <c r="T19" i="109"/>
  <c r="P19" i="109"/>
  <c r="H19" i="109"/>
  <c r="N19" i="109" s="1"/>
  <c r="D19" i="109"/>
  <c r="L19" i="109" s="1"/>
  <c r="D17" i="109"/>
  <c r="X15" i="109"/>
  <c r="T15" i="109"/>
  <c r="Z15" i="109" s="1"/>
  <c r="R15" i="109"/>
  <c r="P15" i="109"/>
  <c r="H15" i="109"/>
  <c r="N15" i="109" s="1"/>
  <c r="D15" i="109"/>
  <c r="T13" i="109"/>
  <c r="X13" i="109" s="1"/>
  <c r="Z13" i="109" s="1"/>
  <c r="P13" i="109"/>
  <c r="N13" i="109"/>
  <c r="L13" i="109"/>
  <c r="H13" i="109"/>
  <c r="D13" i="109"/>
  <c r="B13" i="109"/>
  <c r="T12" i="109"/>
  <c r="P12" i="109"/>
  <c r="H12" i="109"/>
  <c r="J37" i="109" s="1"/>
  <c r="D12" i="109"/>
  <c r="F64" i="109" s="1"/>
  <c r="D6" i="109"/>
  <c r="D4" i="109"/>
  <c r="J44" i="108"/>
  <c r="F44" i="108"/>
  <c r="J41" i="108"/>
  <c r="F41" i="108"/>
  <c r="Z39" i="108"/>
  <c r="X39" i="108"/>
  <c r="N39" i="108"/>
  <c r="L39" i="108"/>
  <c r="F39" i="108"/>
  <c r="T35" i="108"/>
  <c r="P35" i="108"/>
  <c r="N35" i="108"/>
  <c r="H35" i="108"/>
  <c r="D35" i="108"/>
  <c r="L35" i="108" s="1"/>
  <c r="B35" i="108"/>
  <c r="X34" i="108"/>
  <c r="Z34" i="108" s="1"/>
  <c r="T34" i="108"/>
  <c r="R34" i="108"/>
  <c r="P34" i="108"/>
  <c r="P33" i="108" s="1"/>
  <c r="L34" i="108"/>
  <c r="H34" i="108"/>
  <c r="N34" i="108" s="1"/>
  <c r="D34" i="108"/>
  <c r="D33" i="108" s="1"/>
  <c r="B34" i="108"/>
  <c r="J33" i="108"/>
  <c r="F33" i="108"/>
  <c r="Z31" i="108"/>
  <c r="X31" i="108"/>
  <c r="N31" i="108"/>
  <c r="L31" i="108"/>
  <c r="F31" i="108"/>
  <c r="B31" i="108"/>
  <c r="T30" i="108"/>
  <c r="X30" i="108" s="1"/>
  <c r="Z30" i="108" s="1"/>
  <c r="R30" i="108"/>
  <c r="P30" i="108"/>
  <c r="H30" i="108"/>
  <c r="N30" i="108" s="1"/>
  <c r="F30" i="108"/>
  <c r="D30" i="108"/>
  <c r="L30" i="108" s="1"/>
  <c r="B30" i="108"/>
  <c r="X29" i="108"/>
  <c r="Z29" i="108" s="1"/>
  <c r="R29" i="108"/>
  <c r="L29" i="108"/>
  <c r="N29" i="108" s="1"/>
  <c r="F29" i="108"/>
  <c r="B29" i="108"/>
  <c r="X28" i="108"/>
  <c r="Z28" i="108" s="1"/>
  <c r="R28" i="108"/>
  <c r="L28" i="108"/>
  <c r="N28" i="108" s="1"/>
  <c r="B28" i="108"/>
  <c r="T27" i="108"/>
  <c r="P27" i="108"/>
  <c r="X27" i="108" s="1"/>
  <c r="L27" i="108"/>
  <c r="H27" i="108"/>
  <c r="D27" i="108"/>
  <c r="B27" i="108"/>
  <c r="Z26" i="108"/>
  <c r="X26" i="108"/>
  <c r="L26" i="108"/>
  <c r="N26" i="108" s="1"/>
  <c r="F26" i="108"/>
  <c r="B26" i="108"/>
  <c r="X25" i="108"/>
  <c r="Z25" i="108" s="1"/>
  <c r="R25" i="108"/>
  <c r="N25" i="108"/>
  <c r="L25" i="108"/>
  <c r="F25" i="108"/>
  <c r="B25" i="108"/>
  <c r="Z24" i="108"/>
  <c r="X24" i="108"/>
  <c r="N24" i="108"/>
  <c r="L24" i="108"/>
  <c r="J24" i="108"/>
  <c r="F24" i="108"/>
  <c r="B24" i="108"/>
  <c r="X23" i="108"/>
  <c r="Z23" i="108" s="1"/>
  <c r="R23" i="108"/>
  <c r="L23" i="108"/>
  <c r="N23" i="108" s="1"/>
  <c r="F23" i="108"/>
  <c r="B23" i="108"/>
  <c r="Z22" i="108"/>
  <c r="X22" i="108"/>
  <c r="N22" i="108"/>
  <c r="L22" i="108"/>
  <c r="J22" i="108"/>
  <c r="F22" i="108"/>
  <c r="B22" i="108"/>
  <c r="X21" i="108"/>
  <c r="Z21" i="108" s="1"/>
  <c r="R21" i="108"/>
  <c r="N21" i="108"/>
  <c r="L21" i="108"/>
  <c r="F21" i="108"/>
  <c r="B21" i="108"/>
  <c r="Z20" i="108"/>
  <c r="X20" i="108"/>
  <c r="V20" i="108"/>
  <c r="N20" i="108"/>
  <c r="L20" i="108"/>
  <c r="J20" i="108"/>
  <c r="F20" i="108"/>
  <c r="B20" i="108"/>
  <c r="T19" i="108"/>
  <c r="P19" i="108"/>
  <c r="X19" i="108" s="1"/>
  <c r="H19" i="108"/>
  <c r="F19" i="108"/>
  <c r="D19" i="108"/>
  <c r="B19" i="108"/>
  <c r="V18" i="108"/>
  <c r="T18" i="108"/>
  <c r="R18" i="108"/>
  <c r="P18" i="108"/>
  <c r="J18" i="108"/>
  <c r="H18" i="108"/>
  <c r="F18" i="108"/>
  <c r="D18" i="108"/>
  <c r="L18" i="108" s="1"/>
  <c r="N18" i="108" s="1"/>
  <c r="R16" i="108"/>
  <c r="J16" i="108"/>
  <c r="F16" i="108"/>
  <c r="V14" i="108"/>
  <c r="T14" i="108"/>
  <c r="Z14" i="108" s="1"/>
  <c r="R14" i="108"/>
  <c r="P14" i="108"/>
  <c r="N14" i="108"/>
  <c r="J14" i="108"/>
  <c r="H14" i="108"/>
  <c r="F14" i="108"/>
  <c r="D14" i="108"/>
  <c r="L14" i="108" s="1"/>
  <c r="T12" i="108"/>
  <c r="V24" i="108" s="1"/>
  <c r="P12" i="108"/>
  <c r="N12" i="108"/>
  <c r="H12" i="108"/>
  <c r="J35" i="108" s="1"/>
  <c r="D12" i="108"/>
  <c r="F37" i="108" s="1"/>
  <c r="D6" i="108"/>
  <c r="D4" i="108"/>
  <c r="X89" i="107"/>
  <c r="Z89" i="107" s="1"/>
  <c r="N89" i="107"/>
  <c r="L89" i="107"/>
  <c r="T85" i="107"/>
  <c r="Z85" i="107" s="1"/>
  <c r="P85" i="107"/>
  <c r="X85" i="107" s="1"/>
  <c r="H85" i="107"/>
  <c r="N85" i="107" s="1"/>
  <c r="D85" i="107"/>
  <c r="Z83" i="107"/>
  <c r="X83" i="107"/>
  <c r="N83" i="107"/>
  <c r="L83" i="107"/>
  <c r="B83" i="107"/>
  <c r="X82" i="107"/>
  <c r="Z82" i="107" s="1"/>
  <c r="N82" i="107"/>
  <c r="L82" i="107"/>
  <c r="B82" i="107"/>
  <c r="T81" i="107"/>
  <c r="P81" i="107"/>
  <c r="H81" i="107"/>
  <c r="N81" i="107" s="1"/>
  <c r="D81" i="107"/>
  <c r="L81" i="107" s="1"/>
  <c r="B81" i="107"/>
  <c r="X80" i="107"/>
  <c r="Z80" i="107" s="1"/>
  <c r="L80" i="107"/>
  <c r="N80" i="107" s="1"/>
  <c r="B80" i="107"/>
  <c r="X79" i="107"/>
  <c r="T79" i="107"/>
  <c r="Z79" i="107" s="1"/>
  <c r="P79" i="107"/>
  <c r="H79" i="107"/>
  <c r="D79" i="107"/>
  <c r="L79" i="107" s="1"/>
  <c r="N79" i="107" s="1"/>
  <c r="B79" i="107"/>
  <c r="Z78" i="107"/>
  <c r="X78" i="107"/>
  <c r="L78" i="107"/>
  <c r="N78" i="107" s="1"/>
  <c r="B78" i="107"/>
  <c r="T77" i="107"/>
  <c r="X77" i="107" s="1"/>
  <c r="Z77" i="107" s="1"/>
  <c r="P77" i="107"/>
  <c r="N77" i="107"/>
  <c r="L77" i="107"/>
  <c r="H77" i="107"/>
  <c r="D77" i="107"/>
  <c r="B77" i="107"/>
  <c r="Z76" i="107"/>
  <c r="X76" i="107"/>
  <c r="N76" i="107"/>
  <c r="L76" i="107"/>
  <c r="B76" i="107"/>
  <c r="Z75" i="107"/>
  <c r="X75" i="107"/>
  <c r="N75" i="107"/>
  <c r="L75" i="107"/>
  <c r="B75" i="107"/>
  <c r="X74" i="107"/>
  <c r="Z74" i="107" s="1"/>
  <c r="L74" i="107"/>
  <c r="N74" i="107" s="1"/>
  <c r="B74" i="107"/>
  <c r="X73" i="107"/>
  <c r="Z73" i="107" s="1"/>
  <c r="N73" i="107"/>
  <c r="L73" i="107"/>
  <c r="B73" i="107"/>
  <c r="Z72" i="107"/>
  <c r="X72" i="107"/>
  <c r="L72" i="107"/>
  <c r="N72" i="107" s="1"/>
  <c r="B72" i="107"/>
  <c r="Z71" i="107"/>
  <c r="X71" i="107"/>
  <c r="L71" i="107"/>
  <c r="N71" i="107" s="1"/>
  <c r="B71" i="107"/>
  <c r="X70" i="107"/>
  <c r="Z70" i="107" s="1"/>
  <c r="N70" i="107"/>
  <c r="L70" i="107"/>
  <c r="B70" i="107"/>
  <c r="T69" i="107"/>
  <c r="P69" i="107"/>
  <c r="H69" i="107"/>
  <c r="D69" i="107"/>
  <c r="L69" i="107" s="1"/>
  <c r="B69" i="107"/>
  <c r="X68" i="107"/>
  <c r="Z68" i="107" s="1"/>
  <c r="L68" i="107"/>
  <c r="N68" i="107" s="1"/>
  <c r="B68" i="107"/>
  <c r="X67" i="107"/>
  <c r="Z67" i="107" s="1"/>
  <c r="N67" i="107"/>
  <c r="L67" i="107"/>
  <c r="B67" i="107"/>
  <c r="X66" i="107"/>
  <c r="Z66" i="107" s="1"/>
  <c r="N66" i="107"/>
  <c r="L66" i="107"/>
  <c r="B66" i="107"/>
  <c r="Z65" i="107"/>
  <c r="T65" i="107"/>
  <c r="P65" i="107"/>
  <c r="X65" i="107" s="1"/>
  <c r="L65" i="107"/>
  <c r="H65" i="107"/>
  <c r="N65" i="107" s="1"/>
  <c r="D65" i="107"/>
  <c r="B65" i="107"/>
  <c r="X64" i="107"/>
  <c r="Z64" i="107" s="1"/>
  <c r="N64" i="107"/>
  <c r="L64" i="107"/>
  <c r="B64" i="107"/>
  <c r="Z63" i="107"/>
  <c r="X63" i="107"/>
  <c r="N63" i="107"/>
  <c r="L63" i="107"/>
  <c r="B63" i="107"/>
  <c r="Z62" i="107"/>
  <c r="X62" i="107"/>
  <c r="L62" i="107"/>
  <c r="N62" i="107" s="1"/>
  <c r="B62" i="107"/>
  <c r="T61" i="107"/>
  <c r="X61" i="107" s="1"/>
  <c r="Z61" i="107" s="1"/>
  <c r="P61" i="107"/>
  <c r="N61" i="107"/>
  <c r="L61" i="107"/>
  <c r="H61" i="107"/>
  <c r="D61" i="107"/>
  <c r="B61" i="107"/>
  <c r="Z60" i="107"/>
  <c r="X60" i="107"/>
  <c r="L60" i="107"/>
  <c r="N60" i="107" s="1"/>
  <c r="B60" i="107"/>
  <c r="T59" i="107"/>
  <c r="P59" i="107"/>
  <c r="X59" i="107" s="1"/>
  <c r="H59" i="107"/>
  <c r="D59" i="107"/>
  <c r="B59" i="107"/>
  <c r="X58" i="107"/>
  <c r="Z58" i="107" s="1"/>
  <c r="N58" i="107"/>
  <c r="L58" i="107"/>
  <c r="B58" i="107"/>
  <c r="Z57" i="107"/>
  <c r="T57" i="107"/>
  <c r="P57" i="107"/>
  <c r="X57" i="107" s="1"/>
  <c r="L57" i="107"/>
  <c r="H57" i="107"/>
  <c r="N57" i="107" s="1"/>
  <c r="D57" i="107"/>
  <c r="B57" i="107"/>
  <c r="X56" i="107"/>
  <c r="Z56" i="107" s="1"/>
  <c r="N56" i="107"/>
  <c r="L56" i="107"/>
  <c r="B56" i="107"/>
  <c r="Z55" i="107"/>
  <c r="X55" i="107"/>
  <c r="T55" i="107"/>
  <c r="P55" i="107"/>
  <c r="N55" i="107"/>
  <c r="H55" i="107"/>
  <c r="D55" i="107"/>
  <c r="L55" i="107" s="1"/>
  <c r="B55" i="107"/>
  <c r="X54" i="107"/>
  <c r="Z54" i="107" s="1"/>
  <c r="L54" i="107"/>
  <c r="N54" i="107" s="1"/>
  <c r="B54" i="107"/>
  <c r="T53" i="107"/>
  <c r="P53" i="107"/>
  <c r="H53" i="107"/>
  <c r="D53" i="107"/>
  <c r="L53" i="107" s="1"/>
  <c r="B53" i="107"/>
  <c r="X52" i="107"/>
  <c r="Z52" i="107" s="1"/>
  <c r="N52" i="107"/>
  <c r="L52" i="107"/>
  <c r="B52" i="107"/>
  <c r="X51" i="107"/>
  <c r="T51" i="107"/>
  <c r="Z51" i="107" s="1"/>
  <c r="P51" i="107"/>
  <c r="N51" i="107"/>
  <c r="H51" i="107"/>
  <c r="D51" i="107"/>
  <c r="L51" i="107" s="1"/>
  <c r="B51" i="107"/>
  <c r="Z50" i="107"/>
  <c r="X50" i="107"/>
  <c r="L50" i="107"/>
  <c r="N50" i="107" s="1"/>
  <c r="B50" i="107"/>
  <c r="T49" i="107"/>
  <c r="X49" i="107" s="1"/>
  <c r="P49" i="107"/>
  <c r="N49" i="107"/>
  <c r="L49" i="107"/>
  <c r="H49" i="107"/>
  <c r="D49" i="107"/>
  <c r="B49" i="107"/>
  <c r="Z48" i="107"/>
  <c r="X48" i="107"/>
  <c r="N48" i="107"/>
  <c r="L48" i="107"/>
  <c r="B48" i="107"/>
  <c r="T47" i="107"/>
  <c r="Z47" i="107" s="1"/>
  <c r="P47" i="107"/>
  <c r="X47" i="107" s="1"/>
  <c r="H47" i="107"/>
  <c r="N47" i="107" s="1"/>
  <c r="D47" i="107"/>
  <c r="B47" i="107"/>
  <c r="X46" i="107"/>
  <c r="Z46" i="107" s="1"/>
  <c r="N46" i="107"/>
  <c r="L46" i="107"/>
  <c r="B46" i="107"/>
  <c r="T45" i="107"/>
  <c r="P45" i="107"/>
  <c r="X45" i="107" s="1"/>
  <c r="Z45" i="107" s="1"/>
  <c r="L45" i="107"/>
  <c r="H45" i="107"/>
  <c r="D45" i="107"/>
  <c r="B45" i="107"/>
  <c r="X44" i="107"/>
  <c r="Z44" i="107" s="1"/>
  <c r="N44" i="107"/>
  <c r="L44" i="107"/>
  <c r="B44" i="107"/>
  <c r="Z43" i="107"/>
  <c r="X43" i="107"/>
  <c r="T43" i="107"/>
  <c r="P43" i="107"/>
  <c r="H43" i="107"/>
  <c r="D43" i="107"/>
  <c r="B43" i="107"/>
  <c r="X42" i="107"/>
  <c r="Z42" i="107" s="1"/>
  <c r="L42" i="107"/>
  <c r="N42" i="107" s="1"/>
  <c r="B42" i="107"/>
  <c r="T41" i="107"/>
  <c r="P41" i="107"/>
  <c r="H41" i="107"/>
  <c r="D41" i="107"/>
  <c r="L41" i="107" s="1"/>
  <c r="B41" i="107"/>
  <c r="X40" i="107"/>
  <c r="Z40" i="107" s="1"/>
  <c r="L40" i="107"/>
  <c r="N40" i="107" s="1"/>
  <c r="B40" i="107"/>
  <c r="X39" i="107"/>
  <c r="Z39" i="107" s="1"/>
  <c r="N39" i="107"/>
  <c r="L39" i="107"/>
  <c r="B39" i="107"/>
  <c r="X38" i="107"/>
  <c r="Z38" i="107" s="1"/>
  <c r="N38" i="107"/>
  <c r="L38" i="107"/>
  <c r="B38" i="107"/>
  <c r="Z37" i="107"/>
  <c r="X37" i="107"/>
  <c r="N37" i="107"/>
  <c r="L37" i="107"/>
  <c r="B37" i="107"/>
  <c r="X36" i="107"/>
  <c r="Z36" i="107" s="1"/>
  <c r="L36" i="107"/>
  <c r="N36" i="107" s="1"/>
  <c r="B36" i="107"/>
  <c r="X35" i="107"/>
  <c r="Z35" i="107" s="1"/>
  <c r="N35" i="107"/>
  <c r="L35" i="107"/>
  <c r="B35" i="107"/>
  <c r="X34" i="107"/>
  <c r="T34" i="107"/>
  <c r="P34" i="107"/>
  <c r="H34" i="107"/>
  <c r="D34" i="107"/>
  <c r="B34" i="107"/>
  <c r="Z33" i="107"/>
  <c r="X33" i="107"/>
  <c r="L33" i="107"/>
  <c r="N33" i="107" s="1"/>
  <c r="B33" i="107"/>
  <c r="X32" i="107"/>
  <c r="Z32" i="107" s="1"/>
  <c r="N32" i="107"/>
  <c r="L32" i="107"/>
  <c r="B32" i="107"/>
  <c r="Z31" i="107"/>
  <c r="X31" i="107"/>
  <c r="N31" i="107"/>
  <c r="L31" i="107"/>
  <c r="B31" i="107"/>
  <c r="Z30" i="107"/>
  <c r="X30" i="107"/>
  <c r="L30" i="107"/>
  <c r="N30" i="107" s="1"/>
  <c r="B30" i="107"/>
  <c r="Z29" i="107"/>
  <c r="X29" i="107"/>
  <c r="L29" i="107"/>
  <c r="N29" i="107" s="1"/>
  <c r="B29" i="107"/>
  <c r="X28" i="107"/>
  <c r="Z28" i="107" s="1"/>
  <c r="N28" i="107"/>
  <c r="L28" i="107"/>
  <c r="B28" i="107"/>
  <c r="Z27" i="107"/>
  <c r="X27" i="107"/>
  <c r="N27" i="107"/>
  <c r="L27" i="107"/>
  <c r="B27" i="107"/>
  <c r="Z26" i="107"/>
  <c r="X26" i="107"/>
  <c r="L26" i="107"/>
  <c r="N26" i="107" s="1"/>
  <c r="B26" i="107"/>
  <c r="Z25" i="107"/>
  <c r="X25" i="107"/>
  <c r="L25" i="107"/>
  <c r="N25" i="107" s="1"/>
  <c r="B25" i="107"/>
  <c r="T24" i="107"/>
  <c r="P24" i="107"/>
  <c r="H24" i="107"/>
  <c r="D24" i="107"/>
  <c r="B24" i="107"/>
  <c r="T23" i="107"/>
  <c r="P23" i="107"/>
  <c r="X23" i="107" s="1"/>
  <c r="H23" i="107"/>
  <c r="D23" i="107"/>
  <c r="Z19" i="107"/>
  <c r="X19" i="107"/>
  <c r="L19" i="107"/>
  <c r="N19" i="107" s="1"/>
  <c r="B19" i="107"/>
  <c r="Z18" i="107"/>
  <c r="X18" i="107"/>
  <c r="L18" i="107"/>
  <c r="N18" i="107" s="1"/>
  <c r="B18" i="107"/>
  <c r="T17" i="107"/>
  <c r="P17" i="107"/>
  <c r="H17" i="107"/>
  <c r="D17" i="107"/>
  <c r="L17" i="107" s="1"/>
  <c r="T15" i="107"/>
  <c r="P15" i="107"/>
  <c r="N15" i="107"/>
  <c r="L15" i="107"/>
  <c r="H15" i="107"/>
  <c r="D15" i="107"/>
  <c r="B15" i="107"/>
  <c r="Z14" i="107"/>
  <c r="T14" i="107"/>
  <c r="X14" i="107" s="1"/>
  <c r="P14" i="107"/>
  <c r="H14" i="107"/>
  <c r="D14" i="107"/>
  <c r="L14" i="107" s="1"/>
  <c r="B14" i="107"/>
  <c r="T13" i="107"/>
  <c r="P13" i="107"/>
  <c r="L13" i="107"/>
  <c r="N13" i="107" s="1"/>
  <c r="H13" i="107"/>
  <c r="D13" i="107"/>
  <c r="B13" i="107"/>
  <c r="H12" i="107"/>
  <c r="D6" i="107"/>
  <c r="D4" i="107"/>
  <c r="J31" i="106"/>
  <c r="F31" i="106"/>
  <c r="J28" i="106"/>
  <c r="F28" i="106"/>
  <c r="Z26" i="106"/>
  <c r="X26" i="106"/>
  <c r="R26" i="106"/>
  <c r="N26" i="106"/>
  <c r="L26" i="106"/>
  <c r="R24" i="106"/>
  <c r="Z22" i="106"/>
  <c r="T22" i="106"/>
  <c r="R22" i="106"/>
  <c r="P22" i="106"/>
  <c r="X22" i="106" s="1"/>
  <c r="N22" i="106"/>
  <c r="H22" i="106"/>
  <c r="D22" i="106"/>
  <c r="L22" i="106" s="1"/>
  <c r="Z20" i="106"/>
  <c r="X20" i="106"/>
  <c r="N20" i="106"/>
  <c r="L20" i="106"/>
  <c r="J20" i="106"/>
  <c r="F20" i="106"/>
  <c r="B20" i="106"/>
  <c r="T19" i="106"/>
  <c r="P19" i="106"/>
  <c r="X19" i="106" s="1"/>
  <c r="J19" i="106"/>
  <c r="H19" i="106"/>
  <c r="N19" i="106" s="1"/>
  <c r="D19" i="106"/>
  <c r="B19" i="106"/>
  <c r="X18" i="106"/>
  <c r="V18" i="106"/>
  <c r="T18" i="106"/>
  <c r="R18" i="106"/>
  <c r="P18" i="106"/>
  <c r="L18" i="106"/>
  <c r="J18" i="106"/>
  <c r="H18" i="106"/>
  <c r="N18" i="106" s="1"/>
  <c r="D18" i="106"/>
  <c r="R16" i="106"/>
  <c r="J16" i="106"/>
  <c r="H16" i="106"/>
  <c r="F16" i="106"/>
  <c r="X14" i="106"/>
  <c r="V14" i="106"/>
  <c r="T14" i="106"/>
  <c r="Z14" i="106" s="1"/>
  <c r="R14" i="106"/>
  <c r="P14" i="106"/>
  <c r="N14" i="106"/>
  <c r="L14" i="106"/>
  <c r="H14" i="106"/>
  <c r="F14" i="106"/>
  <c r="D14" i="106"/>
  <c r="X12" i="106"/>
  <c r="T12" i="106"/>
  <c r="P12" i="106"/>
  <c r="R31" i="106" s="1"/>
  <c r="H12" i="106"/>
  <c r="J14" i="106" s="1"/>
  <c r="D12" i="106"/>
  <c r="F26" i="106" s="1"/>
  <c r="D6" i="106"/>
  <c r="D4" i="106"/>
  <c r="X87" i="105"/>
  <c r="Z87" i="105" s="1"/>
  <c r="L87" i="105"/>
  <c r="N87" i="105" s="1"/>
  <c r="Z83" i="105"/>
  <c r="X83" i="105"/>
  <c r="T83" i="105"/>
  <c r="P83" i="105"/>
  <c r="L83" i="105"/>
  <c r="H83" i="105"/>
  <c r="N83" i="105" s="1"/>
  <c r="D83" i="105"/>
  <c r="Z81" i="105"/>
  <c r="X81" i="105"/>
  <c r="N81" i="105"/>
  <c r="L81" i="105"/>
  <c r="B81" i="105"/>
  <c r="Z80" i="105"/>
  <c r="T80" i="105"/>
  <c r="P80" i="105"/>
  <c r="X80" i="105" s="1"/>
  <c r="H80" i="105"/>
  <c r="N80" i="105" s="1"/>
  <c r="F80" i="105"/>
  <c r="D80" i="105"/>
  <c r="L80" i="105" s="1"/>
  <c r="B80" i="105"/>
  <c r="X79" i="105"/>
  <c r="Z79" i="105" s="1"/>
  <c r="N79" i="105"/>
  <c r="L79" i="105"/>
  <c r="B79" i="105"/>
  <c r="Z78" i="105"/>
  <c r="X78" i="105"/>
  <c r="T78" i="105"/>
  <c r="P78" i="105"/>
  <c r="L78" i="105"/>
  <c r="N78" i="105" s="1"/>
  <c r="H78" i="105"/>
  <c r="D78" i="105"/>
  <c r="B78" i="105"/>
  <c r="X77" i="105"/>
  <c r="Z77" i="105" s="1"/>
  <c r="L77" i="105"/>
  <c r="N77" i="105" s="1"/>
  <c r="B77" i="105"/>
  <c r="X76" i="105"/>
  <c r="T76" i="105"/>
  <c r="Z76" i="105" s="1"/>
  <c r="R76" i="105"/>
  <c r="P76" i="105"/>
  <c r="H76" i="105"/>
  <c r="N76" i="105" s="1"/>
  <c r="D76" i="105"/>
  <c r="L76" i="105" s="1"/>
  <c r="B76" i="105"/>
  <c r="X75" i="105"/>
  <c r="Z75" i="105" s="1"/>
  <c r="R75" i="105"/>
  <c r="L75" i="105"/>
  <c r="N75" i="105" s="1"/>
  <c r="B75" i="105"/>
  <c r="Z74" i="105"/>
  <c r="X74" i="105"/>
  <c r="N74" i="105"/>
  <c r="L74" i="105"/>
  <c r="J74" i="105"/>
  <c r="B74" i="105"/>
  <c r="X73" i="105"/>
  <c r="Z73" i="105" s="1"/>
  <c r="N73" i="105"/>
  <c r="L73" i="105"/>
  <c r="B73" i="105"/>
  <c r="Z72" i="105"/>
  <c r="X72" i="105"/>
  <c r="L72" i="105"/>
  <c r="N72" i="105" s="1"/>
  <c r="B72" i="105"/>
  <c r="X71" i="105"/>
  <c r="Z71" i="105" s="1"/>
  <c r="R71" i="105"/>
  <c r="L71" i="105"/>
  <c r="N71" i="105" s="1"/>
  <c r="B71" i="105"/>
  <c r="X70" i="105"/>
  <c r="Z70" i="105" s="1"/>
  <c r="N70" i="105"/>
  <c r="L70" i="105"/>
  <c r="J70" i="105"/>
  <c r="B70" i="105"/>
  <c r="X69" i="105"/>
  <c r="Z69" i="105" s="1"/>
  <c r="N69" i="105"/>
  <c r="L69" i="105"/>
  <c r="B69" i="105"/>
  <c r="Z68" i="105"/>
  <c r="X68" i="105"/>
  <c r="N68" i="105"/>
  <c r="L68" i="105"/>
  <c r="B68" i="105"/>
  <c r="X67" i="105"/>
  <c r="T67" i="105"/>
  <c r="P67" i="105"/>
  <c r="L67" i="105"/>
  <c r="N67" i="105" s="1"/>
  <c r="H67" i="105"/>
  <c r="D67" i="105"/>
  <c r="B67" i="105"/>
  <c r="Z66" i="105"/>
  <c r="X66" i="105"/>
  <c r="L66" i="105"/>
  <c r="N66" i="105" s="1"/>
  <c r="B66" i="105"/>
  <c r="Z65" i="105"/>
  <c r="X65" i="105"/>
  <c r="R65" i="105"/>
  <c r="L65" i="105"/>
  <c r="N65" i="105" s="1"/>
  <c r="B65" i="105"/>
  <c r="X64" i="105"/>
  <c r="Z64" i="105" s="1"/>
  <c r="L64" i="105"/>
  <c r="N64" i="105" s="1"/>
  <c r="J64" i="105"/>
  <c r="B64" i="105"/>
  <c r="T63" i="105"/>
  <c r="Z63" i="105" s="1"/>
  <c r="P63" i="105"/>
  <c r="X63" i="105" s="1"/>
  <c r="H63" i="105"/>
  <c r="D63" i="105"/>
  <c r="L63" i="105" s="1"/>
  <c r="B63" i="105"/>
  <c r="X62" i="105"/>
  <c r="Z62" i="105" s="1"/>
  <c r="N62" i="105"/>
  <c r="L62" i="105"/>
  <c r="B62" i="105"/>
  <c r="X61" i="105"/>
  <c r="Z61" i="105" s="1"/>
  <c r="L61" i="105"/>
  <c r="N61" i="105" s="1"/>
  <c r="B61" i="105"/>
  <c r="X60" i="105"/>
  <c r="Z60" i="105" s="1"/>
  <c r="N60" i="105"/>
  <c r="L60" i="105"/>
  <c r="B60" i="105"/>
  <c r="T59" i="105"/>
  <c r="P59" i="105"/>
  <c r="X59" i="105" s="1"/>
  <c r="Z59" i="105" s="1"/>
  <c r="L59" i="105"/>
  <c r="N59" i="105" s="1"/>
  <c r="H59" i="105"/>
  <c r="D59" i="105"/>
  <c r="B59" i="105"/>
  <c r="X58" i="105"/>
  <c r="Z58" i="105" s="1"/>
  <c r="N58" i="105"/>
  <c r="L58" i="105"/>
  <c r="J58" i="105"/>
  <c r="B58" i="105"/>
  <c r="X57" i="105"/>
  <c r="Z57" i="105" s="1"/>
  <c r="T57" i="105"/>
  <c r="P57" i="105"/>
  <c r="H57" i="105"/>
  <c r="D57" i="105"/>
  <c r="B57" i="105"/>
  <c r="X56" i="105"/>
  <c r="Z56" i="105" s="1"/>
  <c r="L56" i="105"/>
  <c r="N56" i="105" s="1"/>
  <c r="J56" i="105"/>
  <c r="B56" i="105"/>
  <c r="T55" i="105"/>
  <c r="Z55" i="105" s="1"/>
  <c r="P55" i="105"/>
  <c r="X55" i="105" s="1"/>
  <c r="H55" i="105"/>
  <c r="D55" i="105"/>
  <c r="L55" i="105" s="1"/>
  <c r="B55" i="105"/>
  <c r="X54" i="105"/>
  <c r="Z54" i="105" s="1"/>
  <c r="N54" i="105"/>
  <c r="L54" i="105"/>
  <c r="B54" i="105"/>
  <c r="X53" i="105"/>
  <c r="Z53" i="105" s="1"/>
  <c r="T53" i="105"/>
  <c r="P53" i="105"/>
  <c r="N53" i="105"/>
  <c r="H53" i="105"/>
  <c r="D53" i="105"/>
  <c r="L53" i="105" s="1"/>
  <c r="B53" i="105"/>
  <c r="Z52" i="105"/>
  <c r="X52" i="105"/>
  <c r="L52" i="105"/>
  <c r="N52" i="105" s="1"/>
  <c r="B52" i="105"/>
  <c r="T51" i="105"/>
  <c r="P51" i="105"/>
  <c r="L51" i="105"/>
  <c r="N51" i="105" s="1"/>
  <c r="H51" i="105"/>
  <c r="D51" i="105"/>
  <c r="B51" i="105"/>
  <c r="Z50" i="105"/>
  <c r="X50" i="105"/>
  <c r="V50" i="105"/>
  <c r="L50" i="105"/>
  <c r="N50" i="105" s="1"/>
  <c r="B50" i="105"/>
  <c r="T49" i="105"/>
  <c r="P49" i="105"/>
  <c r="X49" i="105" s="1"/>
  <c r="H49" i="105"/>
  <c r="D49" i="105"/>
  <c r="L49" i="105" s="1"/>
  <c r="B49" i="105"/>
  <c r="X48" i="105"/>
  <c r="Z48" i="105" s="1"/>
  <c r="N48" i="105"/>
  <c r="L48" i="105"/>
  <c r="B48" i="105"/>
  <c r="T47" i="105"/>
  <c r="P47" i="105"/>
  <c r="X47" i="105" s="1"/>
  <c r="Z47" i="105" s="1"/>
  <c r="L47" i="105"/>
  <c r="N47" i="105" s="1"/>
  <c r="H47" i="105"/>
  <c r="D47" i="105"/>
  <c r="B47" i="105"/>
  <c r="X46" i="105"/>
  <c r="Z46" i="105" s="1"/>
  <c r="N46" i="105"/>
  <c r="L46" i="105"/>
  <c r="J46" i="105"/>
  <c r="B46" i="105"/>
  <c r="X45" i="105"/>
  <c r="T45" i="105"/>
  <c r="Z45" i="105" s="1"/>
  <c r="P45" i="105"/>
  <c r="H45" i="105"/>
  <c r="D45" i="105"/>
  <c r="B45" i="105"/>
  <c r="X44" i="105"/>
  <c r="Z44" i="105" s="1"/>
  <c r="L44" i="105"/>
  <c r="N44" i="105" s="1"/>
  <c r="J44" i="105"/>
  <c r="B44" i="105"/>
  <c r="T43" i="105"/>
  <c r="P43" i="105"/>
  <c r="X43" i="105" s="1"/>
  <c r="H43" i="105"/>
  <c r="D43" i="105"/>
  <c r="L43" i="105" s="1"/>
  <c r="B43" i="105"/>
  <c r="X42" i="105"/>
  <c r="Z42" i="105" s="1"/>
  <c r="L42" i="105"/>
  <c r="N42" i="105" s="1"/>
  <c r="B42" i="105"/>
  <c r="X41" i="105"/>
  <c r="Z41" i="105" s="1"/>
  <c r="T41" i="105"/>
  <c r="P41" i="105"/>
  <c r="H41" i="105"/>
  <c r="D41" i="105"/>
  <c r="L41" i="105" s="1"/>
  <c r="N41" i="105" s="1"/>
  <c r="B41" i="105"/>
  <c r="Z40" i="105"/>
  <c r="X40" i="105"/>
  <c r="N40" i="105"/>
  <c r="L40" i="105"/>
  <c r="B40" i="105"/>
  <c r="X39" i="105"/>
  <c r="Z39" i="105" s="1"/>
  <c r="R39" i="105"/>
  <c r="L39" i="105"/>
  <c r="N39" i="105" s="1"/>
  <c r="B39" i="105"/>
  <c r="X38" i="105"/>
  <c r="Z38" i="105" s="1"/>
  <c r="N38" i="105"/>
  <c r="L38" i="105"/>
  <c r="J38" i="105"/>
  <c r="B38" i="105"/>
  <c r="X37" i="105"/>
  <c r="Z37" i="105" s="1"/>
  <c r="N37" i="105"/>
  <c r="L37" i="105"/>
  <c r="F37" i="105"/>
  <c r="B37" i="105"/>
  <c r="Z36" i="105"/>
  <c r="X36" i="105"/>
  <c r="N36" i="105"/>
  <c r="L36" i="105"/>
  <c r="B36" i="105"/>
  <c r="X35" i="105"/>
  <c r="Z35" i="105" s="1"/>
  <c r="R35" i="105"/>
  <c r="L35" i="105"/>
  <c r="N35" i="105" s="1"/>
  <c r="B35" i="105"/>
  <c r="T34" i="105"/>
  <c r="R34" i="105"/>
  <c r="P34" i="105"/>
  <c r="X34" i="105" s="1"/>
  <c r="H34" i="105"/>
  <c r="D34" i="105"/>
  <c r="L34" i="105" s="1"/>
  <c r="N34" i="105" s="1"/>
  <c r="B34" i="105"/>
  <c r="Z33" i="105"/>
  <c r="X33" i="105"/>
  <c r="R33" i="105"/>
  <c r="L33" i="105"/>
  <c r="N33" i="105" s="1"/>
  <c r="B33" i="105"/>
  <c r="Z32" i="105"/>
  <c r="X32" i="105"/>
  <c r="L32" i="105"/>
  <c r="N32" i="105" s="1"/>
  <c r="B32" i="105"/>
  <c r="X31" i="105"/>
  <c r="Z31" i="105" s="1"/>
  <c r="N31" i="105"/>
  <c r="L31" i="105"/>
  <c r="B31" i="105"/>
  <c r="Z30" i="105"/>
  <c r="X30" i="105"/>
  <c r="L30" i="105"/>
  <c r="N30" i="105" s="1"/>
  <c r="B30" i="105"/>
  <c r="Z29" i="105"/>
  <c r="X29" i="105"/>
  <c r="R29" i="105"/>
  <c r="L29" i="105"/>
  <c r="N29" i="105" s="1"/>
  <c r="B29" i="105"/>
  <c r="Z28" i="105"/>
  <c r="X28" i="105"/>
  <c r="L28" i="105"/>
  <c r="N28" i="105" s="1"/>
  <c r="B28" i="105"/>
  <c r="X27" i="105"/>
  <c r="Z27" i="105" s="1"/>
  <c r="N27" i="105"/>
  <c r="L27" i="105"/>
  <c r="B27" i="105"/>
  <c r="Z26" i="105"/>
  <c r="X26" i="105"/>
  <c r="L26" i="105"/>
  <c r="N26" i="105" s="1"/>
  <c r="B26" i="105"/>
  <c r="Z25" i="105"/>
  <c r="X25" i="105"/>
  <c r="R25" i="105"/>
  <c r="L25" i="105"/>
  <c r="N25" i="105" s="1"/>
  <c r="B25" i="105"/>
  <c r="Z24" i="105"/>
  <c r="X24" i="105"/>
  <c r="T24" i="105"/>
  <c r="P24" i="105"/>
  <c r="N24" i="105"/>
  <c r="L24" i="105"/>
  <c r="J24" i="105"/>
  <c r="H24" i="105"/>
  <c r="D24" i="105"/>
  <c r="B24" i="105"/>
  <c r="T23" i="105"/>
  <c r="P23" i="105"/>
  <c r="X23" i="105" s="1"/>
  <c r="Z23" i="105" s="1"/>
  <c r="L23" i="105"/>
  <c r="N23" i="105" s="1"/>
  <c r="H23" i="105"/>
  <c r="D23" i="105"/>
  <c r="D21" i="105"/>
  <c r="D85" i="105" s="1"/>
  <c r="Z19" i="105"/>
  <c r="X19" i="105"/>
  <c r="L19" i="105"/>
  <c r="N19" i="105" s="1"/>
  <c r="F19" i="105"/>
  <c r="B19" i="105"/>
  <c r="Z18" i="105"/>
  <c r="X18" i="105"/>
  <c r="L18" i="105"/>
  <c r="N18" i="105" s="1"/>
  <c r="B18" i="105"/>
  <c r="T17" i="105"/>
  <c r="P17" i="105"/>
  <c r="H17" i="105"/>
  <c r="D17" i="105"/>
  <c r="L17" i="105" s="1"/>
  <c r="N17" i="105" s="1"/>
  <c r="X15" i="105"/>
  <c r="Z15" i="105" s="1"/>
  <c r="T15" i="105"/>
  <c r="P15" i="105"/>
  <c r="L15" i="105"/>
  <c r="H15" i="105"/>
  <c r="D15" i="105"/>
  <c r="B15" i="105"/>
  <c r="T14" i="105"/>
  <c r="P14" i="105"/>
  <c r="X14" i="105" s="1"/>
  <c r="N14" i="105"/>
  <c r="H14" i="105"/>
  <c r="D14" i="105"/>
  <c r="L14" i="105" s="1"/>
  <c r="B14" i="105"/>
  <c r="T13" i="105"/>
  <c r="P13" i="105"/>
  <c r="X13" i="105" s="1"/>
  <c r="Z13" i="105" s="1"/>
  <c r="H13" i="105"/>
  <c r="H12" i="105" s="1"/>
  <c r="D13" i="105"/>
  <c r="D12" i="105" s="1"/>
  <c r="F69" i="105" s="1"/>
  <c r="B13" i="105"/>
  <c r="T12" i="105"/>
  <c r="P12" i="105"/>
  <c r="R87" i="105" s="1"/>
  <c r="D6" i="105"/>
  <c r="D4" i="105"/>
  <c r="Z56" i="104"/>
  <c r="X56" i="104"/>
  <c r="N56" i="104"/>
  <c r="L56" i="104"/>
  <c r="T52" i="104"/>
  <c r="Z52" i="104" s="1"/>
  <c r="P52" i="104"/>
  <c r="H52" i="104"/>
  <c r="N52" i="104" s="1"/>
  <c r="D52" i="104"/>
  <c r="L52" i="104" s="1"/>
  <c r="X50" i="104"/>
  <c r="Z50" i="104" s="1"/>
  <c r="N50" i="104"/>
  <c r="L50" i="104"/>
  <c r="B50" i="104"/>
  <c r="T49" i="104"/>
  <c r="P49" i="104"/>
  <c r="X49" i="104" s="1"/>
  <c r="Z49" i="104" s="1"/>
  <c r="H49" i="104"/>
  <c r="D49" i="104"/>
  <c r="L49" i="104" s="1"/>
  <c r="N49" i="104" s="1"/>
  <c r="B49" i="104"/>
  <c r="Z48" i="104"/>
  <c r="X48" i="104"/>
  <c r="N48" i="104"/>
  <c r="L48" i="104"/>
  <c r="B48" i="104"/>
  <c r="X47" i="104"/>
  <c r="Z47" i="104" s="1"/>
  <c r="N47" i="104"/>
  <c r="L47" i="104"/>
  <c r="B47" i="104"/>
  <c r="Z46" i="104"/>
  <c r="X46" i="104"/>
  <c r="N46" i="104"/>
  <c r="L46" i="104"/>
  <c r="B46" i="104"/>
  <c r="X45" i="104"/>
  <c r="Z45" i="104" s="1"/>
  <c r="N45" i="104"/>
  <c r="L45" i="104"/>
  <c r="B45" i="104"/>
  <c r="T44" i="104"/>
  <c r="P44" i="104"/>
  <c r="X44" i="104" s="1"/>
  <c r="H44" i="104"/>
  <c r="D44" i="104"/>
  <c r="L44" i="104" s="1"/>
  <c r="N44" i="104" s="1"/>
  <c r="B44" i="104"/>
  <c r="Z43" i="104"/>
  <c r="X43" i="104"/>
  <c r="L43" i="104"/>
  <c r="N43" i="104" s="1"/>
  <c r="B43" i="104"/>
  <c r="Z42" i="104"/>
  <c r="X42" i="104"/>
  <c r="T42" i="104"/>
  <c r="P42" i="104"/>
  <c r="N42" i="104"/>
  <c r="L42" i="104"/>
  <c r="H42" i="104"/>
  <c r="D42" i="104"/>
  <c r="B42" i="104"/>
  <c r="Z41" i="104"/>
  <c r="X41" i="104"/>
  <c r="N41" i="104"/>
  <c r="L41" i="104"/>
  <c r="B41" i="104"/>
  <c r="T40" i="104"/>
  <c r="P40" i="104"/>
  <c r="X40" i="104" s="1"/>
  <c r="H40" i="104"/>
  <c r="D40" i="104"/>
  <c r="B40" i="104"/>
  <c r="Z39" i="104"/>
  <c r="X39" i="104"/>
  <c r="N39" i="104"/>
  <c r="L39" i="104"/>
  <c r="B39" i="104"/>
  <c r="Z38" i="104"/>
  <c r="T38" i="104"/>
  <c r="P38" i="104"/>
  <c r="X38" i="104" s="1"/>
  <c r="H38" i="104"/>
  <c r="N38" i="104" s="1"/>
  <c r="D38" i="104"/>
  <c r="L38" i="104" s="1"/>
  <c r="B38" i="104"/>
  <c r="X37" i="104"/>
  <c r="Z37" i="104" s="1"/>
  <c r="N37" i="104"/>
  <c r="L37" i="104"/>
  <c r="B37" i="104"/>
  <c r="Z36" i="104"/>
  <c r="X36" i="104"/>
  <c r="T36" i="104"/>
  <c r="P36" i="104"/>
  <c r="H36" i="104"/>
  <c r="D36" i="104"/>
  <c r="L36" i="104" s="1"/>
  <c r="N36" i="104" s="1"/>
  <c r="B36" i="104"/>
  <c r="X35" i="104"/>
  <c r="Z35" i="104" s="1"/>
  <c r="L35" i="104"/>
  <c r="N35" i="104" s="1"/>
  <c r="B35" i="104"/>
  <c r="T34" i="104"/>
  <c r="P34" i="104"/>
  <c r="H34" i="104"/>
  <c r="D34" i="104"/>
  <c r="L34" i="104" s="1"/>
  <c r="B34" i="104"/>
  <c r="X33" i="104"/>
  <c r="Z33" i="104" s="1"/>
  <c r="N33" i="104"/>
  <c r="L33" i="104"/>
  <c r="B33" i="104"/>
  <c r="T32" i="104"/>
  <c r="P32" i="104"/>
  <c r="X32" i="104" s="1"/>
  <c r="N32" i="104"/>
  <c r="H32" i="104"/>
  <c r="D32" i="104"/>
  <c r="L32" i="104" s="1"/>
  <c r="B32" i="104"/>
  <c r="Z31" i="104"/>
  <c r="X31" i="104"/>
  <c r="L31" i="104"/>
  <c r="N31" i="104" s="1"/>
  <c r="B31" i="104"/>
  <c r="X30" i="104"/>
  <c r="Z30" i="104" s="1"/>
  <c r="L30" i="104"/>
  <c r="N30" i="104" s="1"/>
  <c r="B30" i="104"/>
  <c r="X29" i="104"/>
  <c r="Z29" i="104" s="1"/>
  <c r="N29" i="104"/>
  <c r="L29" i="104"/>
  <c r="B29" i="104"/>
  <c r="Z28" i="104"/>
  <c r="X28" i="104"/>
  <c r="T28" i="104"/>
  <c r="P28" i="104"/>
  <c r="H28" i="104"/>
  <c r="D28" i="104"/>
  <c r="L28" i="104" s="1"/>
  <c r="B28" i="104"/>
  <c r="X27" i="104"/>
  <c r="Z27" i="104" s="1"/>
  <c r="L27" i="104"/>
  <c r="N27" i="104" s="1"/>
  <c r="B27" i="104"/>
  <c r="X26" i="104"/>
  <c r="Z26" i="104" s="1"/>
  <c r="N26" i="104"/>
  <c r="L26" i="104"/>
  <c r="B26" i="104"/>
  <c r="Z25" i="104"/>
  <c r="X25" i="104"/>
  <c r="N25" i="104"/>
  <c r="L25" i="104"/>
  <c r="B25" i="104"/>
  <c r="T24" i="104"/>
  <c r="P24" i="104"/>
  <c r="X24" i="104" s="1"/>
  <c r="H24" i="104"/>
  <c r="D24" i="104"/>
  <c r="B24" i="104"/>
  <c r="X23" i="104"/>
  <c r="T23" i="104"/>
  <c r="Z23" i="104" s="1"/>
  <c r="P23" i="104"/>
  <c r="H23" i="104"/>
  <c r="D23" i="104"/>
  <c r="X19" i="104"/>
  <c r="Z19" i="104" s="1"/>
  <c r="V19" i="104"/>
  <c r="L19" i="104"/>
  <c r="N19" i="104" s="1"/>
  <c r="B19" i="104"/>
  <c r="Z18" i="104"/>
  <c r="X18" i="104"/>
  <c r="N18" i="104"/>
  <c r="L18" i="104"/>
  <c r="B18" i="104"/>
  <c r="T17" i="104"/>
  <c r="X17" i="104" s="1"/>
  <c r="Z17" i="104" s="1"/>
  <c r="P17" i="104"/>
  <c r="H17" i="104"/>
  <c r="D17" i="104"/>
  <c r="L17" i="104" s="1"/>
  <c r="T15" i="104"/>
  <c r="P15" i="104"/>
  <c r="X15" i="104" s="1"/>
  <c r="Z15" i="104" s="1"/>
  <c r="L15" i="104"/>
  <c r="H15" i="104"/>
  <c r="D15" i="104"/>
  <c r="B15" i="104"/>
  <c r="T14" i="104"/>
  <c r="T12" i="104" s="1"/>
  <c r="V50" i="104" s="1"/>
  <c r="P14" i="104"/>
  <c r="X14" i="104" s="1"/>
  <c r="N14" i="104"/>
  <c r="H14" i="104"/>
  <c r="L14" i="104" s="1"/>
  <c r="D14" i="104"/>
  <c r="B14" i="104"/>
  <c r="T13" i="104"/>
  <c r="P13" i="104"/>
  <c r="H13" i="104"/>
  <c r="H12" i="104" s="1"/>
  <c r="D13" i="104"/>
  <c r="B13" i="104"/>
  <c r="D6" i="104"/>
  <c r="D4" i="104"/>
  <c r="Z87" i="103"/>
  <c r="X87" i="103"/>
  <c r="L87" i="103"/>
  <c r="N87" i="103" s="1"/>
  <c r="J87" i="103"/>
  <c r="Z83" i="103"/>
  <c r="T83" i="103"/>
  <c r="P83" i="103"/>
  <c r="X83" i="103" s="1"/>
  <c r="H83" i="103"/>
  <c r="D83" i="103"/>
  <c r="Z81" i="103"/>
  <c r="X81" i="103"/>
  <c r="N81" i="103"/>
  <c r="L81" i="103"/>
  <c r="B81" i="103"/>
  <c r="Z80" i="103"/>
  <c r="X80" i="103"/>
  <c r="N80" i="103"/>
  <c r="L80" i="103"/>
  <c r="B80" i="103"/>
  <c r="T79" i="103"/>
  <c r="P79" i="103"/>
  <c r="N79" i="103"/>
  <c r="H79" i="103"/>
  <c r="D79" i="103"/>
  <c r="L79" i="103" s="1"/>
  <c r="B79" i="103"/>
  <c r="X78" i="103"/>
  <c r="Z78" i="103" s="1"/>
  <c r="L78" i="103"/>
  <c r="N78" i="103" s="1"/>
  <c r="B78" i="103"/>
  <c r="T77" i="103"/>
  <c r="P77" i="103"/>
  <c r="X77" i="103" s="1"/>
  <c r="H77" i="103"/>
  <c r="D77" i="103"/>
  <c r="L77" i="103" s="1"/>
  <c r="N77" i="103" s="1"/>
  <c r="B77" i="103"/>
  <c r="Z76" i="103"/>
  <c r="X76" i="103"/>
  <c r="L76" i="103"/>
  <c r="N76" i="103" s="1"/>
  <c r="B76" i="103"/>
  <c r="T75" i="103"/>
  <c r="P75" i="103"/>
  <c r="X75" i="103" s="1"/>
  <c r="Z75" i="103" s="1"/>
  <c r="L75" i="103"/>
  <c r="N75" i="103" s="1"/>
  <c r="H75" i="103"/>
  <c r="D75" i="103"/>
  <c r="B75" i="103"/>
  <c r="Z74" i="103"/>
  <c r="X74" i="103"/>
  <c r="N74" i="103"/>
  <c r="L74" i="103"/>
  <c r="J74" i="103"/>
  <c r="B74" i="103"/>
  <c r="Z73" i="103"/>
  <c r="X73" i="103"/>
  <c r="N73" i="103"/>
  <c r="L73" i="103"/>
  <c r="B73" i="103"/>
  <c r="X72" i="103"/>
  <c r="Z72" i="103" s="1"/>
  <c r="N72" i="103"/>
  <c r="L72" i="103"/>
  <c r="B72" i="103"/>
  <c r="Z71" i="103"/>
  <c r="X71" i="103"/>
  <c r="N71" i="103"/>
  <c r="L71" i="103"/>
  <c r="B71" i="103"/>
  <c r="Z70" i="103"/>
  <c r="X70" i="103"/>
  <c r="L70" i="103"/>
  <c r="N70" i="103" s="1"/>
  <c r="B70" i="103"/>
  <c r="Z69" i="103"/>
  <c r="X69" i="103"/>
  <c r="L69" i="103"/>
  <c r="N69" i="103" s="1"/>
  <c r="B69" i="103"/>
  <c r="X68" i="103"/>
  <c r="Z68" i="103" s="1"/>
  <c r="L68" i="103"/>
  <c r="N68" i="103" s="1"/>
  <c r="B68" i="103"/>
  <c r="Z67" i="103"/>
  <c r="X67" i="103"/>
  <c r="N67" i="103"/>
  <c r="L67" i="103"/>
  <c r="B67" i="103"/>
  <c r="T66" i="103"/>
  <c r="Z66" i="103" s="1"/>
  <c r="P66" i="103"/>
  <c r="X66" i="103" s="1"/>
  <c r="L66" i="103"/>
  <c r="N66" i="103" s="1"/>
  <c r="H66" i="103"/>
  <c r="D66" i="103"/>
  <c r="B66" i="103"/>
  <c r="X65" i="103"/>
  <c r="Z65" i="103" s="1"/>
  <c r="L65" i="103"/>
  <c r="N65" i="103" s="1"/>
  <c r="J65" i="103"/>
  <c r="B65" i="103"/>
  <c r="X64" i="103"/>
  <c r="Z64" i="103" s="1"/>
  <c r="N64" i="103"/>
  <c r="L64" i="103"/>
  <c r="B64" i="103"/>
  <c r="Z63" i="103"/>
  <c r="X63" i="103"/>
  <c r="N63" i="103"/>
  <c r="L63" i="103"/>
  <c r="B63" i="103"/>
  <c r="T62" i="103"/>
  <c r="P62" i="103"/>
  <c r="L62" i="103"/>
  <c r="N62" i="103" s="1"/>
  <c r="H62" i="103"/>
  <c r="D62" i="103"/>
  <c r="B62" i="103"/>
  <c r="X61" i="103"/>
  <c r="Z61" i="103" s="1"/>
  <c r="V61" i="103"/>
  <c r="N61" i="103"/>
  <c r="L61" i="103"/>
  <c r="B61" i="103"/>
  <c r="Z60" i="103"/>
  <c r="X60" i="103"/>
  <c r="N60" i="103"/>
  <c r="L60" i="103"/>
  <c r="B60" i="103"/>
  <c r="Z59" i="103"/>
  <c r="X59" i="103"/>
  <c r="N59" i="103"/>
  <c r="L59" i="103"/>
  <c r="B59" i="103"/>
  <c r="T58" i="103"/>
  <c r="P58" i="103"/>
  <c r="H58" i="103"/>
  <c r="N58" i="103" s="1"/>
  <c r="D58" i="103"/>
  <c r="L58" i="103" s="1"/>
  <c r="B58" i="103"/>
  <c r="Z57" i="103"/>
  <c r="X57" i="103"/>
  <c r="L57" i="103"/>
  <c r="N57" i="103" s="1"/>
  <c r="B57" i="103"/>
  <c r="X56" i="103"/>
  <c r="Z56" i="103" s="1"/>
  <c r="T56" i="103"/>
  <c r="P56" i="103"/>
  <c r="H56" i="103"/>
  <c r="N56" i="103" s="1"/>
  <c r="D56" i="103"/>
  <c r="L56" i="103" s="1"/>
  <c r="B56" i="103"/>
  <c r="Z55" i="103"/>
  <c r="X55" i="103"/>
  <c r="N55" i="103"/>
  <c r="L55" i="103"/>
  <c r="B55" i="103"/>
  <c r="T54" i="103"/>
  <c r="P54" i="103"/>
  <c r="N54" i="103"/>
  <c r="L54" i="103"/>
  <c r="H54" i="103"/>
  <c r="D54" i="103"/>
  <c r="B54" i="103"/>
  <c r="X53" i="103"/>
  <c r="Z53" i="103" s="1"/>
  <c r="N53" i="103"/>
  <c r="L53" i="103"/>
  <c r="B53" i="103"/>
  <c r="T52" i="103"/>
  <c r="Z52" i="103" s="1"/>
  <c r="P52" i="103"/>
  <c r="X52" i="103" s="1"/>
  <c r="H52" i="103"/>
  <c r="D52" i="103"/>
  <c r="B52" i="103"/>
  <c r="Z51" i="103"/>
  <c r="X51" i="103"/>
  <c r="N51" i="103"/>
  <c r="L51" i="103"/>
  <c r="B51" i="103"/>
  <c r="T50" i="103"/>
  <c r="Z50" i="103" s="1"/>
  <c r="P50" i="103"/>
  <c r="X50" i="103" s="1"/>
  <c r="L50" i="103"/>
  <c r="N50" i="103" s="1"/>
  <c r="H50" i="103"/>
  <c r="D50" i="103"/>
  <c r="B50" i="103"/>
  <c r="X49" i="103"/>
  <c r="Z49" i="103" s="1"/>
  <c r="L49" i="103"/>
  <c r="N49" i="103" s="1"/>
  <c r="J49" i="103"/>
  <c r="B49" i="103"/>
  <c r="X48" i="103"/>
  <c r="Z48" i="103" s="1"/>
  <c r="T48" i="103"/>
  <c r="P48" i="103"/>
  <c r="H48" i="103"/>
  <c r="D48" i="103"/>
  <c r="B48" i="103"/>
  <c r="Z47" i="103"/>
  <c r="X47" i="103"/>
  <c r="N47" i="103"/>
  <c r="L47" i="103"/>
  <c r="F47" i="103"/>
  <c r="B47" i="103"/>
  <c r="T46" i="103"/>
  <c r="P46" i="103"/>
  <c r="H46" i="103"/>
  <c r="F46" i="103"/>
  <c r="D46" i="103"/>
  <c r="L46" i="103" s="1"/>
  <c r="B46" i="103"/>
  <c r="Z45" i="103"/>
  <c r="X45" i="103"/>
  <c r="L45" i="103"/>
  <c r="N45" i="103" s="1"/>
  <c r="B45" i="103"/>
  <c r="X44" i="103"/>
  <c r="Z44" i="103" s="1"/>
  <c r="T44" i="103"/>
  <c r="P44" i="103"/>
  <c r="H44" i="103"/>
  <c r="N44" i="103" s="1"/>
  <c r="D44" i="103"/>
  <c r="L44" i="103" s="1"/>
  <c r="B44" i="103"/>
  <c r="Z43" i="103"/>
  <c r="X43" i="103"/>
  <c r="N43" i="103"/>
  <c r="L43" i="103"/>
  <c r="B43" i="103"/>
  <c r="T42" i="103"/>
  <c r="P42" i="103"/>
  <c r="L42" i="103"/>
  <c r="N42" i="103" s="1"/>
  <c r="H42" i="103"/>
  <c r="D42" i="103"/>
  <c r="B42" i="103"/>
  <c r="X41" i="103"/>
  <c r="Z41" i="103" s="1"/>
  <c r="N41" i="103"/>
  <c r="L41" i="103"/>
  <c r="J41" i="103"/>
  <c r="B41" i="103"/>
  <c r="Z40" i="103"/>
  <c r="X40" i="103"/>
  <c r="L40" i="103"/>
  <c r="N40" i="103" s="1"/>
  <c r="B40" i="103"/>
  <c r="Z39" i="103"/>
  <c r="X39" i="103"/>
  <c r="N39" i="103"/>
  <c r="L39" i="103"/>
  <c r="F39" i="103"/>
  <c r="B39" i="103"/>
  <c r="X38" i="103"/>
  <c r="Z38" i="103" s="1"/>
  <c r="R38" i="103"/>
  <c r="N38" i="103"/>
  <c r="L38" i="103"/>
  <c r="B38" i="103"/>
  <c r="X37" i="103"/>
  <c r="Z37" i="103" s="1"/>
  <c r="N37" i="103"/>
  <c r="L37" i="103"/>
  <c r="J37" i="103"/>
  <c r="B37" i="103"/>
  <c r="Z36" i="103"/>
  <c r="X36" i="103"/>
  <c r="N36" i="103"/>
  <c r="L36" i="103"/>
  <c r="B36" i="103"/>
  <c r="Z35" i="103"/>
  <c r="T35" i="103"/>
  <c r="P35" i="103"/>
  <c r="X35" i="103" s="1"/>
  <c r="L35" i="103"/>
  <c r="N35" i="103" s="1"/>
  <c r="H35" i="103"/>
  <c r="D35" i="103"/>
  <c r="B35" i="103"/>
  <c r="Z34" i="103"/>
  <c r="X34" i="103"/>
  <c r="L34" i="103"/>
  <c r="N34" i="103" s="1"/>
  <c r="F34" i="103"/>
  <c r="B34" i="103"/>
  <c r="Z33" i="103"/>
  <c r="X33" i="103"/>
  <c r="L33" i="103"/>
  <c r="N33" i="103" s="1"/>
  <c r="B33" i="103"/>
  <c r="Z32" i="103"/>
  <c r="X32" i="103"/>
  <c r="L32" i="103"/>
  <c r="N32" i="103" s="1"/>
  <c r="B32" i="103"/>
  <c r="X31" i="103"/>
  <c r="Z31" i="103" s="1"/>
  <c r="R31" i="103"/>
  <c r="N31" i="103"/>
  <c r="L31" i="103"/>
  <c r="B31" i="103"/>
  <c r="Z30" i="103"/>
  <c r="X30" i="103"/>
  <c r="L30" i="103"/>
  <c r="N30" i="103" s="1"/>
  <c r="J30" i="103"/>
  <c r="B30" i="103"/>
  <c r="Z29" i="103"/>
  <c r="X29" i="103"/>
  <c r="L29" i="103"/>
  <c r="N29" i="103" s="1"/>
  <c r="B29" i="103"/>
  <c r="Z28" i="103"/>
  <c r="X28" i="103"/>
  <c r="L28" i="103"/>
  <c r="N28" i="103" s="1"/>
  <c r="B28" i="103"/>
  <c r="X27" i="103"/>
  <c r="Z27" i="103" s="1"/>
  <c r="N27" i="103"/>
  <c r="L27" i="103"/>
  <c r="B27" i="103"/>
  <c r="Z26" i="103"/>
  <c r="X26" i="103"/>
  <c r="L26" i="103"/>
  <c r="N26" i="103" s="1"/>
  <c r="J26" i="103"/>
  <c r="B26" i="103"/>
  <c r="V25" i="103"/>
  <c r="T25" i="103"/>
  <c r="Z25" i="103" s="1"/>
  <c r="P25" i="103"/>
  <c r="X25" i="103" s="1"/>
  <c r="H25" i="103"/>
  <c r="D25" i="103"/>
  <c r="B25" i="103"/>
  <c r="X24" i="103"/>
  <c r="T24" i="103"/>
  <c r="P24" i="103"/>
  <c r="H24" i="103"/>
  <c r="D24" i="103"/>
  <c r="H22" i="103"/>
  <c r="X20" i="103"/>
  <c r="Z20" i="103" s="1"/>
  <c r="N20" i="103"/>
  <c r="L20" i="103"/>
  <c r="B20" i="103"/>
  <c r="Z19" i="103"/>
  <c r="X19" i="103"/>
  <c r="N19" i="103"/>
  <c r="L19" i="103"/>
  <c r="B19" i="103"/>
  <c r="V18" i="103"/>
  <c r="T18" i="103"/>
  <c r="P18" i="103"/>
  <c r="L18" i="103"/>
  <c r="H18" i="103"/>
  <c r="N18" i="103" s="1"/>
  <c r="D18" i="103"/>
  <c r="T16" i="103"/>
  <c r="T12" i="103" s="1"/>
  <c r="P16" i="103"/>
  <c r="H16" i="103"/>
  <c r="N16" i="103" s="1"/>
  <c r="D16" i="103"/>
  <c r="L16" i="103" s="1"/>
  <c r="B16" i="103"/>
  <c r="X15" i="103"/>
  <c r="T15" i="103"/>
  <c r="Z15" i="103" s="1"/>
  <c r="P15" i="103"/>
  <c r="L15" i="103"/>
  <c r="H15" i="103"/>
  <c r="D15" i="103"/>
  <c r="B15" i="103"/>
  <c r="X14" i="103"/>
  <c r="T14" i="103"/>
  <c r="P14" i="103"/>
  <c r="H14" i="103"/>
  <c r="H12" i="103" s="1"/>
  <c r="D14" i="103"/>
  <c r="L14" i="103" s="1"/>
  <c r="N14" i="103" s="1"/>
  <c r="B14" i="103"/>
  <c r="Z13" i="103"/>
  <c r="T13" i="103"/>
  <c r="P13" i="103"/>
  <c r="X13" i="103" s="1"/>
  <c r="H13" i="103"/>
  <c r="D13" i="103"/>
  <c r="L13" i="103" s="1"/>
  <c r="N13" i="103" s="1"/>
  <c r="B13" i="103"/>
  <c r="P12" i="103"/>
  <c r="R51" i="103" s="1"/>
  <c r="D12" i="103"/>
  <c r="D6" i="103"/>
  <c r="D4" i="103"/>
  <c r="R58" i="102"/>
  <c r="Z53" i="102"/>
  <c r="X53" i="102"/>
  <c r="N53" i="102"/>
  <c r="L53" i="102"/>
  <c r="X49" i="102"/>
  <c r="T49" i="102"/>
  <c r="Z49" i="102" s="1"/>
  <c r="P49" i="102"/>
  <c r="H49" i="102"/>
  <c r="N49" i="102" s="1"/>
  <c r="D49" i="102"/>
  <c r="X47" i="102"/>
  <c r="Z47" i="102" s="1"/>
  <c r="N47" i="102"/>
  <c r="L47" i="102"/>
  <c r="F47" i="102"/>
  <c r="B47" i="102"/>
  <c r="Z46" i="102"/>
  <c r="T46" i="102"/>
  <c r="P46" i="102"/>
  <c r="X46" i="102" s="1"/>
  <c r="H46" i="102"/>
  <c r="D46" i="102"/>
  <c r="L46" i="102" s="1"/>
  <c r="B46" i="102"/>
  <c r="X45" i="102"/>
  <c r="Z45" i="102" s="1"/>
  <c r="N45" i="102"/>
  <c r="L45" i="102"/>
  <c r="B45" i="102"/>
  <c r="Z44" i="102"/>
  <c r="X44" i="102"/>
  <c r="V44" i="102"/>
  <c r="T44" i="102"/>
  <c r="P44" i="102"/>
  <c r="H44" i="102"/>
  <c r="D44" i="102"/>
  <c r="B44" i="102"/>
  <c r="X43" i="102"/>
  <c r="Z43" i="102" s="1"/>
  <c r="L43" i="102"/>
  <c r="N43" i="102" s="1"/>
  <c r="B43" i="102"/>
  <c r="V42" i="102"/>
  <c r="T42" i="102"/>
  <c r="P42" i="102"/>
  <c r="H42" i="102"/>
  <c r="D42" i="102"/>
  <c r="L42" i="102" s="1"/>
  <c r="N42" i="102" s="1"/>
  <c r="B42" i="102"/>
  <c r="X41" i="102"/>
  <c r="Z41" i="102" s="1"/>
  <c r="V41" i="102"/>
  <c r="R41" i="102"/>
  <c r="L41" i="102"/>
  <c r="N41" i="102" s="1"/>
  <c r="B41" i="102"/>
  <c r="X40" i="102"/>
  <c r="Z40" i="102" s="1"/>
  <c r="V40" i="102"/>
  <c r="N40" i="102"/>
  <c r="L40" i="102"/>
  <c r="B40" i="102"/>
  <c r="Z39" i="102"/>
  <c r="X39" i="102"/>
  <c r="N39" i="102"/>
  <c r="L39" i="102"/>
  <c r="B39" i="102"/>
  <c r="Z38" i="102"/>
  <c r="V38" i="102"/>
  <c r="T38" i="102"/>
  <c r="R38" i="102"/>
  <c r="P38" i="102"/>
  <c r="X38" i="102" s="1"/>
  <c r="L38" i="102"/>
  <c r="H38" i="102"/>
  <c r="F38" i="102"/>
  <c r="D38" i="102"/>
  <c r="B38" i="102"/>
  <c r="Z37" i="102"/>
  <c r="X37" i="102"/>
  <c r="N37" i="102"/>
  <c r="L37" i="102"/>
  <c r="B37" i="102"/>
  <c r="Z36" i="102"/>
  <c r="X36" i="102"/>
  <c r="V36" i="102"/>
  <c r="T36" i="102"/>
  <c r="R36" i="102"/>
  <c r="P36" i="102"/>
  <c r="N36" i="102"/>
  <c r="H36" i="102"/>
  <c r="D36" i="102"/>
  <c r="L36" i="102" s="1"/>
  <c r="B36" i="102"/>
  <c r="Z35" i="102"/>
  <c r="X35" i="102"/>
  <c r="R35" i="102"/>
  <c r="N35" i="102"/>
  <c r="L35" i="102"/>
  <c r="B35" i="102"/>
  <c r="V34" i="102"/>
  <c r="T34" i="102"/>
  <c r="P34" i="102"/>
  <c r="N34" i="102"/>
  <c r="H34" i="102"/>
  <c r="D34" i="102"/>
  <c r="L34" i="102" s="1"/>
  <c r="B34" i="102"/>
  <c r="X33" i="102"/>
  <c r="Z33" i="102" s="1"/>
  <c r="V33" i="102"/>
  <c r="R33" i="102"/>
  <c r="N33" i="102"/>
  <c r="L33" i="102"/>
  <c r="F33" i="102"/>
  <c r="B33" i="102"/>
  <c r="V32" i="102"/>
  <c r="T32" i="102"/>
  <c r="P32" i="102"/>
  <c r="X32" i="102" s="1"/>
  <c r="N32" i="102"/>
  <c r="H32" i="102"/>
  <c r="F32" i="102"/>
  <c r="D32" i="102"/>
  <c r="L32" i="102" s="1"/>
  <c r="B32" i="102"/>
  <c r="X31" i="102"/>
  <c r="Z31" i="102" s="1"/>
  <c r="R31" i="102"/>
  <c r="N31" i="102"/>
  <c r="L31" i="102"/>
  <c r="F31" i="102"/>
  <c r="B31" i="102"/>
  <c r="T30" i="102"/>
  <c r="R30" i="102"/>
  <c r="P30" i="102"/>
  <c r="N30" i="102"/>
  <c r="L30" i="102"/>
  <c r="H30" i="102"/>
  <c r="F30" i="102"/>
  <c r="D30" i="102"/>
  <c r="B30" i="102"/>
  <c r="Z29" i="102"/>
  <c r="X29" i="102"/>
  <c r="V29" i="102"/>
  <c r="R29" i="102"/>
  <c r="L29" i="102"/>
  <c r="N29" i="102" s="1"/>
  <c r="F29" i="102"/>
  <c r="B29" i="102"/>
  <c r="Z28" i="102"/>
  <c r="V28" i="102"/>
  <c r="T28" i="102"/>
  <c r="P28" i="102"/>
  <c r="X28" i="102" s="1"/>
  <c r="H28" i="102"/>
  <c r="L28" i="102" s="1"/>
  <c r="F28" i="102"/>
  <c r="D28" i="102"/>
  <c r="B28" i="102"/>
  <c r="X27" i="102"/>
  <c r="Z27" i="102" s="1"/>
  <c r="L27" i="102"/>
  <c r="N27" i="102" s="1"/>
  <c r="F27" i="102"/>
  <c r="B27" i="102"/>
  <c r="Z26" i="102"/>
  <c r="X26" i="102"/>
  <c r="V26" i="102"/>
  <c r="N26" i="102"/>
  <c r="L26" i="102"/>
  <c r="F26" i="102"/>
  <c r="B26" i="102"/>
  <c r="X25" i="102"/>
  <c r="Z25" i="102" s="1"/>
  <c r="V25" i="102"/>
  <c r="R25" i="102"/>
  <c r="L25" i="102"/>
  <c r="N25" i="102" s="1"/>
  <c r="B25" i="102"/>
  <c r="X24" i="102"/>
  <c r="Z24" i="102" s="1"/>
  <c r="V24" i="102"/>
  <c r="N24" i="102"/>
  <c r="L24" i="102"/>
  <c r="B24" i="102"/>
  <c r="X23" i="102"/>
  <c r="Z23" i="102" s="1"/>
  <c r="V23" i="102"/>
  <c r="L23" i="102"/>
  <c r="N23" i="102" s="1"/>
  <c r="B23" i="102"/>
  <c r="Z22" i="102"/>
  <c r="X22" i="102"/>
  <c r="V22" i="102"/>
  <c r="N22" i="102"/>
  <c r="L22" i="102"/>
  <c r="F22" i="102"/>
  <c r="B22" i="102"/>
  <c r="X21" i="102"/>
  <c r="Z21" i="102" s="1"/>
  <c r="V21" i="102"/>
  <c r="R21" i="102"/>
  <c r="L21" i="102"/>
  <c r="N21" i="102" s="1"/>
  <c r="F21" i="102"/>
  <c r="B21" i="102"/>
  <c r="X20" i="102"/>
  <c r="Z20" i="102" s="1"/>
  <c r="V20" i="102"/>
  <c r="R20" i="102"/>
  <c r="L20" i="102"/>
  <c r="N20" i="102" s="1"/>
  <c r="B20" i="102"/>
  <c r="X19" i="102"/>
  <c r="V19" i="102"/>
  <c r="T19" i="102"/>
  <c r="R19" i="102"/>
  <c r="P19" i="102"/>
  <c r="L19" i="102"/>
  <c r="N19" i="102" s="1"/>
  <c r="H19" i="102"/>
  <c r="D19" i="102"/>
  <c r="B19" i="102"/>
  <c r="X18" i="102"/>
  <c r="T18" i="102"/>
  <c r="P18" i="102"/>
  <c r="L18" i="102"/>
  <c r="N18" i="102" s="1"/>
  <c r="H18" i="102"/>
  <c r="F18" i="102"/>
  <c r="D18" i="102"/>
  <c r="T16" i="102"/>
  <c r="R16" i="102"/>
  <c r="F16" i="102"/>
  <c r="T14" i="102"/>
  <c r="Z14" i="102" s="1"/>
  <c r="R14" i="102"/>
  <c r="P14" i="102"/>
  <c r="X14" i="102" s="1"/>
  <c r="N14" i="102"/>
  <c r="H14" i="102"/>
  <c r="F14" i="102"/>
  <c r="D14" i="102"/>
  <c r="L14" i="102" s="1"/>
  <c r="Z12" i="102"/>
  <c r="T12" i="102"/>
  <c r="V43" i="102" s="1"/>
  <c r="P12" i="102"/>
  <c r="H12" i="102"/>
  <c r="D12" i="102"/>
  <c r="F41" i="102" s="1"/>
  <c r="D6" i="102"/>
  <c r="D4" i="102"/>
  <c r="Z87" i="101"/>
  <c r="X87" i="101"/>
  <c r="L87" i="101"/>
  <c r="N87" i="101" s="1"/>
  <c r="T83" i="101"/>
  <c r="P83" i="101"/>
  <c r="X83" i="101" s="1"/>
  <c r="Z83" i="101" s="1"/>
  <c r="N83" i="101"/>
  <c r="L83" i="101"/>
  <c r="H83" i="101"/>
  <c r="D83" i="101"/>
  <c r="B83" i="101"/>
  <c r="T82" i="101"/>
  <c r="P82" i="101"/>
  <c r="X82" i="101" s="1"/>
  <c r="Z82" i="101" s="1"/>
  <c r="N82" i="101"/>
  <c r="L82" i="101"/>
  <c r="H82" i="101"/>
  <c r="D82" i="101"/>
  <c r="Z80" i="101"/>
  <c r="X80" i="101"/>
  <c r="N80" i="101"/>
  <c r="L80" i="101"/>
  <c r="B80" i="101"/>
  <c r="X79" i="101"/>
  <c r="T79" i="101"/>
  <c r="Z79" i="101" s="1"/>
  <c r="P79" i="101"/>
  <c r="H79" i="101"/>
  <c r="N79" i="101" s="1"/>
  <c r="D79" i="101"/>
  <c r="L79" i="101" s="1"/>
  <c r="B79" i="101"/>
  <c r="Z78" i="101"/>
  <c r="X78" i="101"/>
  <c r="N78" i="101"/>
  <c r="L78" i="101"/>
  <c r="B78" i="101"/>
  <c r="X77" i="101"/>
  <c r="Z77" i="101" s="1"/>
  <c r="T77" i="101"/>
  <c r="P77" i="101"/>
  <c r="N77" i="101"/>
  <c r="H77" i="101"/>
  <c r="D77" i="101"/>
  <c r="L77" i="101" s="1"/>
  <c r="B77" i="101"/>
  <c r="Z76" i="101"/>
  <c r="X76" i="101"/>
  <c r="L76" i="101"/>
  <c r="N76" i="101" s="1"/>
  <c r="B76" i="101"/>
  <c r="T75" i="101"/>
  <c r="P75" i="101"/>
  <c r="H75" i="101"/>
  <c r="D75" i="101"/>
  <c r="B75" i="101"/>
  <c r="X74" i="101"/>
  <c r="Z74" i="101" s="1"/>
  <c r="N74" i="101"/>
  <c r="L74" i="101"/>
  <c r="B74" i="101"/>
  <c r="X73" i="101"/>
  <c r="Z73" i="101" s="1"/>
  <c r="N73" i="101"/>
  <c r="L73" i="101"/>
  <c r="B73" i="101"/>
  <c r="X72" i="101"/>
  <c r="Z72" i="101" s="1"/>
  <c r="N72" i="101"/>
  <c r="L72" i="101"/>
  <c r="B72" i="101"/>
  <c r="X71" i="101"/>
  <c r="Z71" i="101" s="1"/>
  <c r="N71" i="101"/>
  <c r="L71" i="101"/>
  <c r="B71" i="101"/>
  <c r="X70" i="101"/>
  <c r="Z70" i="101" s="1"/>
  <c r="N70" i="101"/>
  <c r="L70" i="101"/>
  <c r="B70" i="101"/>
  <c r="X69" i="101"/>
  <c r="Z69" i="101" s="1"/>
  <c r="N69" i="101"/>
  <c r="L69" i="101"/>
  <c r="B69" i="101"/>
  <c r="Z68" i="101"/>
  <c r="X68" i="101"/>
  <c r="N68" i="101"/>
  <c r="L68" i="101"/>
  <c r="B68" i="101"/>
  <c r="X67" i="101"/>
  <c r="T67" i="101"/>
  <c r="Z67" i="101" s="1"/>
  <c r="P67" i="101"/>
  <c r="H67" i="101"/>
  <c r="N67" i="101" s="1"/>
  <c r="D67" i="101"/>
  <c r="L67" i="101" s="1"/>
  <c r="B67" i="101"/>
  <c r="Z66" i="101"/>
  <c r="X66" i="101"/>
  <c r="N66" i="101"/>
  <c r="L66" i="101"/>
  <c r="B66" i="101"/>
  <c r="X65" i="101"/>
  <c r="Z65" i="101" s="1"/>
  <c r="L65" i="101"/>
  <c r="N65" i="101" s="1"/>
  <c r="B65" i="101"/>
  <c r="Z64" i="101"/>
  <c r="X64" i="101"/>
  <c r="N64" i="101"/>
  <c r="L64" i="101"/>
  <c r="B64" i="101"/>
  <c r="X63" i="101"/>
  <c r="Z63" i="101" s="1"/>
  <c r="T63" i="101"/>
  <c r="P63" i="101"/>
  <c r="L63" i="101"/>
  <c r="N63" i="101" s="1"/>
  <c r="H63" i="101"/>
  <c r="D63" i="101"/>
  <c r="B63" i="101"/>
  <c r="Z62" i="101"/>
  <c r="X62" i="101"/>
  <c r="L62" i="101"/>
  <c r="N62" i="101" s="1"/>
  <c r="B62" i="101"/>
  <c r="T61" i="101"/>
  <c r="P61" i="101"/>
  <c r="H61" i="101"/>
  <c r="D61" i="101"/>
  <c r="L61" i="101" s="1"/>
  <c r="B61" i="101"/>
  <c r="X60" i="101"/>
  <c r="Z60" i="101" s="1"/>
  <c r="N60" i="101"/>
  <c r="L60" i="101"/>
  <c r="B60" i="101"/>
  <c r="X59" i="101"/>
  <c r="Z59" i="101" s="1"/>
  <c r="N59" i="101"/>
  <c r="L59" i="101"/>
  <c r="B59" i="101"/>
  <c r="Z58" i="101"/>
  <c r="X58" i="101"/>
  <c r="N58" i="101"/>
  <c r="L58" i="101"/>
  <c r="B58" i="101"/>
  <c r="T57" i="101"/>
  <c r="Z57" i="101" s="1"/>
  <c r="P57" i="101"/>
  <c r="X57" i="101" s="1"/>
  <c r="H57" i="101"/>
  <c r="D57" i="101"/>
  <c r="L57" i="101" s="1"/>
  <c r="B57" i="101"/>
  <c r="X56" i="101"/>
  <c r="Z56" i="101" s="1"/>
  <c r="N56" i="101"/>
  <c r="L56" i="101"/>
  <c r="B56" i="101"/>
  <c r="X55" i="101"/>
  <c r="Z55" i="101" s="1"/>
  <c r="T55" i="101"/>
  <c r="P55" i="101"/>
  <c r="H55" i="101"/>
  <c r="D55" i="101"/>
  <c r="B55" i="101"/>
  <c r="Z54" i="101"/>
  <c r="X54" i="101"/>
  <c r="L54" i="101"/>
  <c r="N54" i="101" s="1"/>
  <c r="B54" i="101"/>
  <c r="T53" i="101"/>
  <c r="P53" i="101"/>
  <c r="H53" i="101"/>
  <c r="D53" i="101"/>
  <c r="L53" i="101" s="1"/>
  <c r="B53" i="101"/>
  <c r="X52" i="101"/>
  <c r="Z52" i="101" s="1"/>
  <c r="L52" i="101"/>
  <c r="N52" i="101" s="1"/>
  <c r="B52" i="101"/>
  <c r="T51" i="101"/>
  <c r="P51" i="101"/>
  <c r="X51" i="101" s="1"/>
  <c r="H51" i="101"/>
  <c r="N51" i="101" s="1"/>
  <c r="D51" i="101"/>
  <c r="L51" i="101" s="1"/>
  <c r="B51" i="101"/>
  <c r="Z50" i="101"/>
  <c r="X50" i="101"/>
  <c r="N50" i="101"/>
  <c r="L50" i="101"/>
  <c r="B50" i="101"/>
  <c r="T49" i="101"/>
  <c r="P49" i="101"/>
  <c r="L49" i="101"/>
  <c r="N49" i="101" s="1"/>
  <c r="H49" i="101"/>
  <c r="D49" i="101"/>
  <c r="B49" i="101"/>
  <c r="Z48" i="101"/>
  <c r="X48" i="101"/>
  <c r="L48" i="101"/>
  <c r="N48" i="101" s="1"/>
  <c r="B48" i="101"/>
  <c r="X47" i="101"/>
  <c r="T47" i="101"/>
  <c r="P47" i="101"/>
  <c r="H47" i="101"/>
  <c r="D47" i="101"/>
  <c r="B47" i="101"/>
  <c r="X46" i="101"/>
  <c r="Z46" i="101" s="1"/>
  <c r="V46" i="101"/>
  <c r="N46" i="101"/>
  <c r="L46" i="101"/>
  <c r="B46" i="101"/>
  <c r="T45" i="101"/>
  <c r="P45" i="101"/>
  <c r="H45" i="101"/>
  <c r="D45" i="101"/>
  <c r="L45" i="101" s="1"/>
  <c r="B45" i="101"/>
  <c r="X44" i="101"/>
  <c r="Z44" i="101" s="1"/>
  <c r="N44" i="101"/>
  <c r="L44" i="101"/>
  <c r="B44" i="101"/>
  <c r="T43" i="101"/>
  <c r="P43" i="101"/>
  <c r="X43" i="101" s="1"/>
  <c r="Z43" i="101" s="1"/>
  <c r="H43" i="101"/>
  <c r="D43" i="101"/>
  <c r="L43" i="101" s="1"/>
  <c r="N43" i="101" s="1"/>
  <c r="B43" i="101"/>
  <c r="Z42" i="101"/>
  <c r="X42" i="101"/>
  <c r="N42" i="101"/>
  <c r="L42" i="101"/>
  <c r="B42" i="101"/>
  <c r="X41" i="101"/>
  <c r="Z41" i="101" s="1"/>
  <c r="V41" i="101"/>
  <c r="L41" i="101"/>
  <c r="N41" i="101" s="1"/>
  <c r="B41" i="101"/>
  <c r="Z40" i="101"/>
  <c r="X40" i="101"/>
  <c r="L40" i="101"/>
  <c r="N40" i="101" s="1"/>
  <c r="B40" i="101"/>
  <c r="X39" i="101"/>
  <c r="Z39" i="101" s="1"/>
  <c r="L39" i="101"/>
  <c r="N39" i="101" s="1"/>
  <c r="B39" i="101"/>
  <c r="Z38" i="101"/>
  <c r="X38" i="101"/>
  <c r="N38" i="101"/>
  <c r="L38" i="101"/>
  <c r="B38" i="101"/>
  <c r="X37" i="101"/>
  <c r="Z37" i="101" s="1"/>
  <c r="L37" i="101"/>
  <c r="N37" i="101" s="1"/>
  <c r="B37" i="101"/>
  <c r="T36" i="101"/>
  <c r="P36" i="101"/>
  <c r="X36" i="101" s="1"/>
  <c r="Z36" i="101" s="1"/>
  <c r="N36" i="101"/>
  <c r="H36" i="101"/>
  <c r="D36" i="101"/>
  <c r="L36" i="101" s="1"/>
  <c r="B36" i="101"/>
  <c r="X35" i="101"/>
  <c r="Z35" i="101" s="1"/>
  <c r="N35" i="101"/>
  <c r="L35" i="101"/>
  <c r="B35" i="101"/>
  <c r="X34" i="101"/>
  <c r="Z34" i="101" s="1"/>
  <c r="V34" i="101"/>
  <c r="N34" i="101"/>
  <c r="L34" i="101"/>
  <c r="B34" i="101"/>
  <c r="X33" i="101"/>
  <c r="Z33" i="101" s="1"/>
  <c r="N33" i="101"/>
  <c r="L33" i="101"/>
  <c r="B33" i="101"/>
  <c r="Z32" i="101"/>
  <c r="X32" i="101"/>
  <c r="N32" i="101"/>
  <c r="L32" i="101"/>
  <c r="B32" i="101"/>
  <c r="X31" i="101"/>
  <c r="Z31" i="101" s="1"/>
  <c r="L31" i="101"/>
  <c r="N31" i="101" s="1"/>
  <c r="B31" i="101"/>
  <c r="Z30" i="101"/>
  <c r="X30" i="101"/>
  <c r="N30" i="101"/>
  <c r="L30" i="101"/>
  <c r="B30" i="101"/>
  <c r="X29" i="101"/>
  <c r="Z29" i="101" s="1"/>
  <c r="L29" i="101"/>
  <c r="N29" i="101" s="1"/>
  <c r="B29" i="101"/>
  <c r="Z28" i="101"/>
  <c r="X28" i="101"/>
  <c r="L28" i="101"/>
  <c r="N28" i="101" s="1"/>
  <c r="B28" i="101"/>
  <c r="X27" i="101"/>
  <c r="Z27" i="101" s="1"/>
  <c r="N27" i="101"/>
  <c r="L27" i="101"/>
  <c r="B27" i="101"/>
  <c r="Z26" i="101"/>
  <c r="X26" i="101"/>
  <c r="T26" i="101"/>
  <c r="P26" i="101"/>
  <c r="L26" i="101"/>
  <c r="N26" i="101" s="1"/>
  <c r="H26" i="101"/>
  <c r="D26" i="101"/>
  <c r="B26" i="101"/>
  <c r="T25" i="101"/>
  <c r="P25" i="101"/>
  <c r="X25" i="101" s="1"/>
  <c r="H25" i="101"/>
  <c r="D25" i="101"/>
  <c r="L25" i="101" s="1"/>
  <c r="N25" i="101" s="1"/>
  <c r="X21" i="101"/>
  <c r="Z21" i="101" s="1"/>
  <c r="L21" i="101"/>
  <c r="N21" i="101" s="1"/>
  <c r="B21" i="101"/>
  <c r="Z20" i="101"/>
  <c r="X20" i="101"/>
  <c r="N20" i="101"/>
  <c r="L20" i="101"/>
  <c r="B20" i="101"/>
  <c r="T19" i="101"/>
  <c r="T23" i="101" s="1"/>
  <c r="P19" i="101"/>
  <c r="H19" i="101"/>
  <c r="D19" i="101"/>
  <c r="L19" i="101" s="1"/>
  <c r="Z17" i="101"/>
  <c r="X17" i="101"/>
  <c r="T17" i="101"/>
  <c r="P17" i="101"/>
  <c r="H17" i="101"/>
  <c r="N17" i="101" s="1"/>
  <c r="D17" i="101"/>
  <c r="B17" i="101"/>
  <c r="T16" i="101"/>
  <c r="P16" i="101"/>
  <c r="H16" i="101"/>
  <c r="N16" i="101" s="1"/>
  <c r="D16" i="101"/>
  <c r="B16" i="101"/>
  <c r="T15" i="101"/>
  <c r="P15" i="101"/>
  <c r="L15" i="101"/>
  <c r="H15" i="101"/>
  <c r="D15" i="101"/>
  <c r="B15" i="101"/>
  <c r="X14" i="101"/>
  <c r="Z14" i="101" s="1"/>
  <c r="T14" i="101"/>
  <c r="P14" i="101"/>
  <c r="H14" i="101"/>
  <c r="N14" i="101" s="1"/>
  <c r="D14" i="101"/>
  <c r="L14" i="101" s="1"/>
  <c r="B14" i="101"/>
  <c r="Z13" i="101"/>
  <c r="T13" i="101"/>
  <c r="P13" i="101"/>
  <c r="X13" i="101" s="1"/>
  <c r="L13" i="101"/>
  <c r="N13" i="101" s="1"/>
  <c r="H13" i="101"/>
  <c r="H12" i="101" s="1"/>
  <c r="D13" i="101"/>
  <c r="B13" i="101"/>
  <c r="T12" i="101"/>
  <c r="D6" i="101"/>
  <c r="D4" i="101"/>
  <c r="F77" i="100"/>
  <c r="Z72" i="100"/>
  <c r="X72" i="100"/>
  <c r="N72" i="100"/>
  <c r="L72" i="100"/>
  <c r="T68" i="100"/>
  <c r="P68" i="100"/>
  <c r="H68" i="100"/>
  <c r="L68" i="100" s="1"/>
  <c r="F68" i="100"/>
  <c r="D68" i="100"/>
  <c r="B68" i="100"/>
  <c r="T67" i="100"/>
  <c r="P67" i="100"/>
  <c r="D67" i="100"/>
  <c r="X65" i="100"/>
  <c r="Z65" i="100" s="1"/>
  <c r="L65" i="100"/>
  <c r="N65" i="100" s="1"/>
  <c r="B65" i="100"/>
  <c r="T64" i="100"/>
  <c r="P64" i="100"/>
  <c r="X64" i="100" s="1"/>
  <c r="Z64" i="100" s="1"/>
  <c r="N64" i="100"/>
  <c r="H64" i="100"/>
  <c r="D64" i="100"/>
  <c r="L64" i="100" s="1"/>
  <c r="B64" i="100"/>
  <c r="X63" i="100"/>
  <c r="Z63" i="100" s="1"/>
  <c r="L63" i="100"/>
  <c r="N63" i="100" s="1"/>
  <c r="B63" i="100"/>
  <c r="Z62" i="100"/>
  <c r="X62" i="100"/>
  <c r="N62" i="100"/>
  <c r="L62" i="100"/>
  <c r="B62" i="100"/>
  <c r="X61" i="100"/>
  <c r="Z61" i="100" s="1"/>
  <c r="N61" i="100"/>
  <c r="L61" i="100"/>
  <c r="B61" i="100"/>
  <c r="Z60" i="100"/>
  <c r="X60" i="100"/>
  <c r="N60" i="100"/>
  <c r="L60" i="100"/>
  <c r="B60" i="100"/>
  <c r="X59" i="100"/>
  <c r="Z59" i="100" s="1"/>
  <c r="L59" i="100"/>
  <c r="N59" i="100" s="1"/>
  <c r="B59" i="100"/>
  <c r="Z58" i="100"/>
  <c r="X58" i="100"/>
  <c r="N58" i="100"/>
  <c r="L58" i="100"/>
  <c r="B58" i="100"/>
  <c r="X57" i="100"/>
  <c r="Z57" i="100" s="1"/>
  <c r="N57" i="100"/>
  <c r="L57" i="100"/>
  <c r="B57" i="100"/>
  <c r="X56" i="100"/>
  <c r="Z56" i="100" s="1"/>
  <c r="T56" i="100"/>
  <c r="P56" i="100"/>
  <c r="N56" i="100"/>
  <c r="L56" i="100"/>
  <c r="H56" i="100"/>
  <c r="D56" i="100"/>
  <c r="B56" i="100"/>
  <c r="X55" i="100"/>
  <c r="Z55" i="100" s="1"/>
  <c r="R55" i="100"/>
  <c r="N55" i="100"/>
  <c r="L55" i="100"/>
  <c r="B55" i="100"/>
  <c r="T54" i="100"/>
  <c r="X54" i="100" s="1"/>
  <c r="Z54" i="100" s="1"/>
  <c r="P54" i="100"/>
  <c r="L54" i="100"/>
  <c r="N54" i="100" s="1"/>
  <c r="H54" i="100"/>
  <c r="D54" i="100"/>
  <c r="B54" i="100"/>
  <c r="X53" i="100"/>
  <c r="Z53" i="100" s="1"/>
  <c r="L53" i="100"/>
  <c r="N53" i="100" s="1"/>
  <c r="F53" i="100"/>
  <c r="B53" i="100"/>
  <c r="T52" i="100"/>
  <c r="P52" i="100"/>
  <c r="H52" i="100"/>
  <c r="D52" i="100"/>
  <c r="L52" i="100" s="1"/>
  <c r="B52" i="100"/>
  <c r="X51" i="100"/>
  <c r="Z51" i="100" s="1"/>
  <c r="N51" i="100"/>
  <c r="L51" i="100"/>
  <c r="B51" i="100"/>
  <c r="X50" i="100"/>
  <c r="Z50" i="100" s="1"/>
  <c r="N50" i="100"/>
  <c r="L50" i="100"/>
  <c r="B50" i="100"/>
  <c r="X49" i="100"/>
  <c r="T49" i="100"/>
  <c r="P49" i="100"/>
  <c r="H49" i="100"/>
  <c r="F49" i="100"/>
  <c r="D49" i="100"/>
  <c r="B49" i="100"/>
  <c r="X48" i="100"/>
  <c r="Z48" i="100" s="1"/>
  <c r="N48" i="100"/>
  <c r="L48" i="100"/>
  <c r="B48" i="100"/>
  <c r="Z47" i="100"/>
  <c r="T47" i="100"/>
  <c r="P47" i="100"/>
  <c r="X47" i="100" s="1"/>
  <c r="N47" i="100"/>
  <c r="H47" i="100"/>
  <c r="D47" i="100"/>
  <c r="L47" i="100" s="1"/>
  <c r="B47" i="100"/>
  <c r="Z46" i="100"/>
  <c r="X46" i="100"/>
  <c r="N46" i="100"/>
  <c r="L46" i="100"/>
  <c r="B46" i="100"/>
  <c r="T45" i="100"/>
  <c r="Z45" i="100" s="1"/>
  <c r="P45" i="100"/>
  <c r="X45" i="100" s="1"/>
  <c r="N45" i="100"/>
  <c r="H45" i="100"/>
  <c r="D45" i="100"/>
  <c r="L45" i="100" s="1"/>
  <c r="B45" i="100"/>
  <c r="X44" i="100"/>
  <c r="Z44" i="100" s="1"/>
  <c r="L44" i="100"/>
  <c r="N44" i="100" s="1"/>
  <c r="B44" i="100"/>
  <c r="T43" i="100"/>
  <c r="P43" i="100"/>
  <c r="H43" i="100"/>
  <c r="D43" i="100"/>
  <c r="B43" i="100"/>
  <c r="Z42" i="100"/>
  <c r="X42" i="100"/>
  <c r="N42" i="100"/>
  <c r="L42" i="100"/>
  <c r="B42" i="100"/>
  <c r="Z41" i="100"/>
  <c r="T41" i="100"/>
  <c r="P41" i="100"/>
  <c r="X41" i="100" s="1"/>
  <c r="H41" i="100"/>
  <c r="N41" i="100" s="1"/>
  <c r="D41" i="100"/>
  <c r="L41" i="100" s="1"/>
  <c r="B41" i="100"/>
  <c r="X40" i="100"/>
  <c r="Z40" i="100" s="1"/>
  <c r="N40" i="100"/>
  <c r="L40" i="100"/>
  <c r="B40" i="100"/>
  <c r="X39" i="100"/>
  <c r="Z39" i="100" s="1"/>
  <c r="T39" i="100"/>
  <c r="P39" i="100"/>
  <c r="L39" i="100"/>
  <c r="N39" i="100" s="1"/>
  <c r="H39" i="100"/>
  <c r="D39" i="100"/>
  <c r="B39" i="100"/>
  <c r="X38" i="100"/>
  <c r="Z38" i="100" s="1"/>
  <c r="L38" i="100"/>
  <c r="N38" i="100" s="1"/>
  <c r="B38" i="100"/>
  <c r="T37" i="100"/>
  <c r="R37" i="100"/>
  <c r="P37" i="100"/>
  <c r="H37" i="100"/>
  <c r="N37" i="100" s="1"/>
  <c r="D37" i="100"/>
  <c r="L37" i="100" s="1"/>
  <c r="B37" i="100"/>
  <c r="X36" i="100"/>
  <c r="Z36" i="100" s="1"/>
  <c r="L36" i="100"/>
  <c r="N36" i="100" s="1"/>
  <c r="B36" i="100"/>
  <c r="T35" i="100"/>
  <c r="P35" i="100"/>
  <c r="X35" i="100" s="1"/>
  <c r="H35" i="100"/>
  <c r="D35" i="100"/>
  <c r="L35" i="100" s="1"/>
  <c r="N35" i="100" s="1"/>
  <c r="B35" i="100"/>
  <c r="Z34" i="100"/>
  <c r="X34" i="100"/>
  <c r="L34" i="100"/>
  <c r="N34" i="100" s="1"/>
  <c r="B34" i="100"/>
  <c r="X33" i="100"/>
  <c r="Z33" i="100" s="1"/>
  <c r="L33" i="100"/>
  <c r="N33" i="100" s="1"/>
  <c r="F33" i="100"/>
  <c r="B33" i="100"/>
  <c r="Z32" i="100"/>
  <c r="X32" i="100"/>
  <c r="N32" i="100"/>
  <c r="L32" i="100"/>
  <c r="B32" i="100"/>
  <c r="X31" i="100"/>
  <c r="Z31" i="100" s="1"/>
  <c r="N31" i="100"/>
  <c r="L31" i="100"/>
  <c r="B31" i="100"/>
  <c r="Z30" i="100"/>
  <c r="X30" i="100"/>
  <c r="N30" i="100"/>
  <c r="L30" i="100"/>
  <c r="B30" i="100"/>
  <c r="X29" i="100"/>
  <c r="Z29" i="100" s="1"/>
  <c r="T29" i="100"/>
  <c r="P29" i="100"/>
  <c r="L29" i="100"/>
  <c r="N29" i="100" s="1"/>
  <c r="H29" i="100"/>
  <c r="D29" i="100"/>
  <c r="B29" i="100"/>
  <c r="Z28" i="100"/>
  <c r="X28" i="100"/>
  <c r="N28" i="100"/>
  <c r="L28" i="100"/>
  <c r="B28" i="100"/>
  <c r="Z27" i="100"/>
  <c r="X27" i="100"/>
  <c r="N27" i="100"/>
  <c r="L27" i="100"/>
  <c r="B27" i="100"/>
  <c r="Z26" i="100"/>
  <c r="X26" i="100"/>
  <c r="L26" i="100"/>
  <c r="N26" i="100" s="1"/>
  <c r="B26" i="100"/>
  <c r="T25" i="100"/>
  <c r="P25" i="100"/>
  <c r="H25" i="100"/>
  <c r="D25" i="100"/>
  <c r="B25" i="100"/>
  <c r="T24" i="100"/>
  <c r="P24" i="100"/>
  <c r="L24" i="100"/>
  <c r="H24" i="100"/>
  <c r="N24" i="100" s="1"/>
  <c r="D24" i="100"/>
  <c r="X20" i="100"/>
  <c r="Z20" i="100" s="1"/>
  <c r="L20" i="100"/>
  <c r="N20" i="100" s="1"/>
  <c r="B20" i="100"/>
  <c r="Z19" i="100"/>
  <c r="X19" i="100"/>
  <c r="N19" i="100"/>
  <c r="L19" i="100"/>
  <c r="B19" i="100"/>
  <c r="X18" i="100"/>
  <c r="T18" i="100"/>
  <c r="Z18" i="100" s="1"/>
  <c r="P18" i="100"/>
  <c r="H18" i="100"/>
  <c r="D18" i="100"/>
  <c r="T16" i="100"/>
  <c r="P16" i="100"/>
  <c r="H16" i="100"/>
  <c r="N16" i="100" s="1"/>
  <c r="D16" i="100"/>
  <c r="L16" i="100" s="1"/>
  <c r="B16" i="100"/>
  <c r="Z15" i="100"/>
  <c r="T15" i="100"/>
  <c r="P15" i="100"/>
  <c r="X15" i="100" s="1"/>
  <c r="N15" i="100"/>
  <c r="L15" i="100"/>
  <c r="H15" i="100"/>
  <c r="D15" i="100"/>
  <c r="B15" i="100"/>
  <c r="X14" i="100"/>
  <c r="T14" i="100"/>
  <c r="P14" i="100"/>
  <c r="H14" i="100"/>
  <c r="N14" i="100" s="1"/>
  <c r="D14" i="100"/>
  <c r="L14" i="100" s="1"/>
  <c r="B14" i="100"/>
  <c r="T13" i="100"/>
  <c r="P13" i="100"/>
  <c r="P12" i="100" s="1"/>
  <c r="R59" i="100" s="1"/>
  <c r="H13" i="100"/>
  <c r="D13" i="100"/>
  <c r="B13" i="100"/>
  <c r="D12" i="100"/>
  <c r="F58" i="100" s="1"/>
  <c r="D6" i="100"/>
  <c r="D4" i="100"/>
  <c r="R53" i="99"/>
  <c r="F53" i="99"/>
  <c r="R50" i="99"/>
  <c r="F50" i="99"/>
  <c r="Z48" i="99"/>
  <c r="X48" i="99"/>
  <c r="R48" i="99"/>
  <c r="N48" i="99"/>
  <c r="L48" i="99"/>
  <c r="V46" i="99"/>
  <c r="V44" i="99"/>
  <c r="T44" i="99"/>
  <c r="P44" i="99"/>
  <c r="P43" i="99" s="1"/>
  <c r="L44" i="99"/>
  <c r="H44" i="99"/>
  <c r="N44" i="99" s="1"/>
  <c r="D44" i="99"/>
  <c r="B44" i="99"/>
  <c r="V43" i="99"/>
  <c r="R43" i="99"/>
  <c r="D43" i="99"/>
  <c r="Z41" i="99"/>
  <c r="X41" i="99"/>
  <c r="V41" i="99"/>
  <c r="N41" i="99"/>
  <c r="L41" i="99"/>
  <c r="B41" i="99"/>
  <c r="V40" i="99"/>
  <c r="T40" i="99"/>
  <c r="Z40" i="99" s="1"/>
  <c r="R40" i="99"/>
  <c r="P40" i="99"/>
  <c r="H40" i="99"/>
  <c r="N40" i="99" s="1"/>
  <c r="D40" i="99"/>
  <c r="B40" i="99"/>
  <c r="X39" i="99"/>
  <c r="Z39" i="99" s="1"/>
  <c r="V39" i="99"/>
  <c r="R39" i="99"/>
  <c r="N39" i="99"/>
  <c r="L39" i="99"/>
  <c r="B39" i="99"/>
  <c r="T38" i="99"/>
  <c r="R38" i="99"/>
  <c r="P38" i="99"/>
  <c r="X38" i="99" s="1"/>
  <c r="Z38" i="99" s="1"/>
  <c r="L38" i="99"/>
  <c r="N38" i="99" s="1"/>
  <c r="H38" i="99"/>
  <c r="D38" i="99"/>
  <c r="B38" i="99"/>
  <c r="Z37" i="99"/>
  <c r="X37" i="99"/>
  <c r="R37" i="99"/>
  <c r="N37" i="99"/>
  <c r="L37" i="99"/>
  <c r="B37" i="99"/>
  <c r="X36" i="99"/>
  <c r="V36" i="99"/>
  <c r="T36" i="99"/>
  <c r="Z36" i="99" s="1"/>
  <c r="P36" i="99"/>
  <c r="H36" i="99"/>
  <c r="D36" i="99"/>
  <c r="B36" i="99"/>
  <c r="X35" i="99"/>
  <c r="Z35" i="99" s="1"/>
  <c r="N35" i="99"/>
  <c r="L35" i="99"/>
  <c r="F35" i="99"/>
  <c r="B35" i="99"/>
  <c r="T34" i="99"/>
  <c r="R34" i="99"/>
  <c r="P34" i="99"/>
  <c r="H34" i="99"/>
  <c r="N34" i="99" s="1"/>
  <c r="D34" i="99"/>
  <c r="L34" i="99" s="1"/>
  <c r="B34" i="99"/>
  <c r="Z33" i="99"/>
  <c r="X33" i="99"/>
  <c r="V33" i="99"/>
  <c r="R33" i="99"/>
  <c r="N33" i="99"/>
  <c r="L33" i="99"/>
  <c r="B33" i="99"/>
  <c r="Z32" i="99"/>
  <c r="X32" i="99"/>
  <c r="T32" i="99"/>
  <c r="P32" i="99"/>
  <c r="N32" i="99"/>
  <c r="H32" i="99"/>
  <c r="D32" i="99"/>
  <c r="L32" i="99" s="1"/>
  <c r="B32" i="99"/>
  <c r="Z31" i="99"/>
  <c r="X31" i="99"/>
  <c r="V31" i="99"/>
  <c r="N31" i="99"/>
  <c r="L31" i="99"/>
  <c r="B31" i="99"/>
  <c r="X30" i="99"/>
  <c r="Z30" i="99" s="1"/>
  <c r="V30" i="99"/>
  <c r="R30" i="99"/>
  <c r="L30" i="99"/>
  <c r="N30" i="99" s="1"/>
  <c r="B30" i="99"/>
  <c r="T29" i="99"/>
  <c r="R29" i="99"/>
  <c r="P29" i="99"/>
  <c r="X29" i="99" s="1"/>
  <c r="N29" i="99"/>
  <c r="H29" i="99"/>
  <c r="D29" i="99"/>
  <c r="L29" i="99" s="1"/>
  <c r="B29" i="99"/>
  <c r="X28" i="99"/>
  <c r="Z28" i="99" s="1"/>
  <c r="V28" i="99"/>
  <c r="R28" i="99"/>
  <c r="N28" i="99"/>
  <c r="L28" i="99"/>
  <c r="B28" i="99"/>
  <c r="X27" i="99"/>
  <c r="Z27" i="99" s="1"/>
  <c r="L27" i="99"/>
  <c r="N27" i="99" s="1"/>
  <c r="J27" i="99"/>
  <c r="B27" i="99"/>
  <c r="X26" i="99"/>
  <c r="Z26" i="99" s="1"/>
  <c r="R26" i="99"/>
  <c r="N26" i="99"/>
  <c r="L26" i="99"/>
  <c r="B26" i="99"/>
  <c r="X25" i="99"/>
  <c r="Z25" i="99" s="1"/>
  <c r="V25" i="99"/>
  <c r="N25" i="99"/>
  <c r="L25" i="99"/>
  <c r="B25" i="99"/>
  <c r="X24" i="99"/>
  <c r="Z24" i="99" s="1"/>
  <c r="V24" i="99"/>
  <c r="R24" i="99"/>
  <c r="N24" i="99"/>
  <c r="L24" i="99"/>
  <c r="B24" i="99"/>
  <c r="X23" i="99"/>
  <c r="Z23" i="99" s="1"/>
  <c r="L23" i="99"/>
  <c r="N23" i="99" s="1"/>
  <c r="F23" i="99"/>
  <c r="B23" i="99"/>
  <c r="X22" i="99"/>
  <c r="Z22" i="99" s="1"/>
  <c r="R22" i="99"/>
  <c r="N22" i="99"/>
  <c r="L22" i="99"/>
  <c r="B22" i="99"/>
  <c r="X21" i="99"/>
  <c r="Z21" i="99" s="1"/>
  <c r="V21" i="99"/>
  <c r="N21" i="99"/>
  <c r="L21" i="99"/>
  <c r="B21" i="99"/>
  <c r="V20" i="99"/>
  <c r="T20" i="99"/>
  <c r="R20" i="99"/>
  <c r="P20" i="99"/>
  <c r="X20" i="99" s="1"/>
  <c r="H20" i="99"/>
  <c r="D20" i="99"/>
  <c r="B20" i="99"/>
  <c r="V19" i="99"/>
  <c r="T19" i="99"/>
  <c r="R19" i="99"/>
  <c r="P19" i="99"/>
  <c r="H19" i="99"/>
  <c r="D19" i="99"/>
  <c r="L19" i="99" s="1"/>
  <c r="V17" i="99"/>
  <c r="T17" i="99"/>
  <c r="Z17" i="99" s="1"/>
  <c r="R17" i="99"/>
  <c r="Z15" i="99"/>
  <c r="X15" i="99"/>
  <c r="V15" i="99"/>
  <c r="R15" i="99"/>
  <c r="N15" i="99"/>
  <c r="L15" i="99"/>
  <c r="B15" i="99"/>
  <c r="Z14" i="99"/>
  <c r="T14" i="99"/>
  <c r="R14" i="99"/>
  <c r="P14" i="99"/>
  <c r="X14" i="99" s="1"/>
  <c r="N14" i="99"/>
  <c r="L14" i="99"/>
  <c r="H14" i="99"/>
  <c r="D14" i="99"/>
  <c r="Z12" i="99"/>
  <c r="X12" i="99"/>
  <c r="T12" i="99"/>
  <c r="V32" i="99" s="1"/>
  <c r="P12" i="99"/>
  <c r="R46" i="99" s="1"/>
  <c r="H12" i="99"/>
  <c r="D12" i="99"/>
  <c r="F34" i="99" s="1"/>
  <c r="D6" i="99"/>
  <c r="D4" i="99"/>
  <c r="Z55" i="98"/>
  <c r="X55" i="98"/>
  <c r="N55" i="98"/>
  <c r="L55" i="98"/>
  <c r="F55" i="98"/>
  <c r="Z51" i="98"/>
  <c r="X51" i="98"/>
  <c r="T51" i="98"/>
  <c r="P51" i="98"/>
  <c r="N51" i="98"/>
  <c r="H51" i="98"/>
  <c r="D51" i="98"/>
  <c r="L51" i="98" s="1"/>
  <c r="Z49" i="98"/>
  <c r="X49" i="98"/>
  <c r="N49" i="98"/>
  <c r="L49" i="98"/>
  <c r="B49" i="98"/>
  <c r="T48" i="98"/>
  <c r="P48" i="98"/>
  <c r="H48" i="98"/>
  <c r="N48" i="98" s="1"/>
  <c r="D48" i="98"/>
  <c r="L48" i="98" s="1"/>
  <c r="B48" i="98"/>
  <c r="Z47" i="98"/>
  <c r="X47" i="98"/>
  <c r="N47" i="98"/>
  <c r="L47" i="98"/>
  <c r="B47" i="98"/>
  <c r="Z46" i="98"/>
  <c r="X46" i="98"/>
  <c r="N46" i="98"/>
  <c r="L46" i="98"/>
  <c r="B46" i="98"/>
  <c r="X45" i="98"/>
  <c r="T45" i="98"/>
  <c r="Z45" i="98" s="1"/>
  <c r="P45" i="98"/>
  <c r="H45" i="98"/>
  <c r="N45" i="98" s="1"/>
  <c r="D45" i="98"/>
  <c r="B45" i="98"/>
  <c r="Z44" i="98"/>
  <c r="X44" i="98"/>
  <c r="N44" i="98"/>
  <c r="L44" i="98"/>
  <c r="F44" i="98"/>
  <c r="B44" i="98"/>
  <c r="T43" i="98"/>
  <c r="Z43" i="98" s="1"/>
  <c r="P43" i="98"/>
  <c r="H43" i="98"/>
  <c r="N43" i="98" s="1"/>
  <c r="F43" i="98"/>
  <c r="D43" i="98"/>
  <c r="B43" i="98"/>
  <c r="Z42" i="98"/>
  <c r="X42" i="98"/>
  <c r="N42" i="98"/>
  <c r="L42" i="98"/>
  <c r="B42" i="98"/>
  <c r="Z41" i="98"/>
  <c r="X41" i="98"/>
  <c r="T41" i="98"/>
  <c r="P41" i="98"/>
  <c r="N41" i="98"/>
  <c r="H41" i="98"/>
  <c r="D41" i="98"/>
  <c r="L41" i="98" s="1"/>
  <c r="B41" i="98"/>
  <c r="Z40" i="98"/>
  <c r="X40" i="98"/>
  <c r="N40" i="98"/>
  <c r="L40" i="98"/>
  <c r="B40" i="98"/>
  <c r="T39" i="98"/>
  <c r="Z39" i="98" s="1"/>
  <c r="P39" i="98"/>
  <c r="L39" i="98"/>
  <c r="H39" i="98"/>
  <c r="N39" i="98" s="1"/>
  <c r="D39" i="98"/>
  <c r="B39" i="98"/>
  <c r="Z38" i="98"/>
  <c r="X38" i="98"/>
  <c r="N38" i="98"/>
  <c r="L38" i="98"/>
  <c r="B38" i="98"/>
  <c r="T37" i="98"/>
  <c r="Z37" i="98" s="1"/>
  <c r="P37" i="98"/>
  <c r="H37" i="98"/>
  <c r="N37" i="98" s="1"/>
  <c r="D37" i="98"/>
  <c r="B37" i="98"/>
  <c r="Z36" i="98"/>
  <c r="X36" i="98"/>
  <c r="N36" i="98"/>
  <c r="L36" i="98"/>
  <c r="B36" i="98"/>
  <c r="Z35" i="98"/>
  <c r="X35" i="98"/>
  <c r="N35" i="98"/>
  <c r="L35" i="98"/>
  <c r="B35" i="98"/>
  <c r="Z34" i="98"/>
  <c r="X34" i="98"/>
  <c r="N34" i="98"/>
  <c r="L34" i="98"/>
  <c r="B34" i="98"/>
  <c r="Z33" i="98"/>
  <c r="X33" i="98"/>
  <c r="N33" i="98"/>
  <c r="L33" i="98"/>
  <c r="B33" i="98"/>
  <c r="T32" i="98"/>
  <c r="P32" i="98"/>
  <c r="H32" i="98"/>
  <c r="N32" i="98" s="1"/>
  <c r="D32" i="98"/>
  <c r="L32" i="98" s="1"/>
  <c r="B32" i="98"/>
  <c r="Z31" i="98"/>
  <c r="X31" i="98"/>
  <c r="R31" i="98"/>
  <c r="N31" i="98"/>
  <c r="L31" i="98"/>
  <c r="B31" i="98"/>
  <c r="Z30" i="98"/>
  <c r="X30" i="98"/>
  <c r="N30" i="98"/>
  <c r="L30" i="98"/>
  <c r="B30" i="98"/>
  <c r="Z29" i="98"/>
  <c r="X29" i="98"/>
  <c r="N29" i="98"/>
  <c r="L29" i="98"/>
  <c r="F29" i="98"/>
  <c r="B29" i="98"/>
  <c r="Z28" i="98"/>
  <c r="X28" i="98"/>
  <c r="N28" i="98"/>
  <c r="L28" i="98"/>
  <c r="B28" i="98"/>
  <c r="Z27" i="98"/>
  <c r="X27" i="98"/>
  <c r="R27" i="98"/>
  <c r="N27" i="98"/>
  <c r="L27" i="98"/>
  <c r="B27" i="98"/>
  <c r="Z26" i="98"/>
  <c r="X26" i="98"/>
  <c r="N26" i="98"/>
  <c r="L26" i="98"/>
  <c r="B26" i="98"/>
  <c r="Z25" i="98"/>
  <c r="X25" i="98"/>
  <c r="V25" i="98"/>
  <c r="N25" i="98"/>
  <c r="L25" i="98"/>
  <c r="F25" i="98"/>
  <c r="B25" i="98"/>
  <c r="Z24" i="98"/>
  <c r="X24" i="98"/>
  <c r="N24" i="98"/>
  <c r="L24" i="98"/>
  <c r="B24" i="98"/>
  <c r="T23" i="98"/>
  <c r="P23" i="98"/>
  <c r="L23" i="98"/>
  <c r="H23" i="98"/>
  <c r="N23" i="98" s="1"/>
  <c r="D23" i="98"/>
  <c r="B23" i="98"/>
  <c r="Z22" i="98"/>
  <c r="X22" i="98"/>
  <c r="T22" i="98"/>
  <c r="P22" i="98"/>
  <c r="N22" i="98"/>
  <c r="L22" i="98"/>
  <c r="H22" i="98"/>
  <c r="D22" i="98"/>
  <c r="Z18" i="98"/>
  <c r="X18" i="98"/>
  <c r="N18" i="98"/>
  <c r="L18" i="98"/>
  <c r="B18" i="98"/>
  <c r="Z17" i="98"/>
  <c r="X17" i="98"/>
  <c r="R17" i="98"/>
  <c r="N17" i="98"/>
  <c r="L17" i="98"/>
  <c r="B17" i="98"/>
  <c r="Z16" i="98"/>
  <c r="X16" i="98"/>
  <c r="T16" i="98"/>
  <c r="P16" i="98"/>
  <c r="N16" i="98"/>
  <c r="L16" i="98"/>
  <c r="H16" i="98"/>
  <c r="D16" i="98"/>
  <c r="Z14" i="98"/>
  <c r="X14" i="98"/>
  <c r="T14" i="98"/>
  <c r="P14" i="98"/>
  <c r="H14" i="98"/>
  <c r="D14" i="98"/>
  <c r="B14" i="98"/>
  <c r="Z13" i="98"/>
  <c r="T13" i="98"/>
  <c r="P13" i="98"/>
  <c r="P12" i="98" s="1"/>
  <c r="R48" i="98" s="1"/>
  <c r="N13" i="98"/>
  <c r="H13" i="98"/>
  <c r="D13" i="98"/>
  <c r="L13" i="98" s="1"/>
  <c r="B13" i="98"/>
  <c r="T12" i="98"/>
  <c r="D12" i="98"/>
  <c r="D6" i="98"/>
  <c r="D4" i="98"/>
  <c r="X89" i="97"/>
  <c r="Z89" i="97" s="1"/>
  <c r="N89" i="97"/>
  <c r="L89" i="97"/>
  <c r="X85" i="97"/>
  <c r="Z85" i="97" s="1"/>
  <c r="T85" i="97"/>
  <c r="T84" i="97" s="1"/>
  <c r="P85" i="97"/>
  <c r="N85" i="97"/>
  <c r="L85" i="97"/>
  <c r="H85" i="97"/>
  <c r="D85" i="97"/>
  <c r="B85" i="97"/>
  <c r="P84" i="97"/>
  <c r="X84" i="97" s="1"/>
  <c r="Z84" i="97" s="1"/>
  <c r="N84" i="97"/>
  <c r="H84" i="97"/>
  <c r="D84" i="97"/>
  <c r="L84" i="97" s="1"/>
  <c r="Z82" i="97"/>
  <c r="X82" i="97"/>
  <c r="N82" i="97"/>
  <c r="L82" i="97"/>
  <c r="B82" i="97"/>
  <c r="T81" i="97"/>
  <c r="P81" i="97"/>
  <c r="L81" i="97"/>
  <c r="H81" i="97"/>
  <c r="N81" i="97" s="1"/>
  <c r="D81" i="97"/>
  <c r="B81" i="97"/>
  <c r="X80" i="97"/>
  <c r="Z80" i="97" s="1"/>
  <c r="N80" i="97"/>
  <c r="L80" i="97"/>
  <c r="B80" i="97"/>
  <c r="T79" i="97"/>
  <c r="P79" i="97"/>
  <c r="X79" i="97" s="1"/>
  <c r="Z79" i="97" s="1"/>
  <c r="H79" i="97"/>
  <c r="D79" i="97"/>
  <c r="B79" i="97"/>
  <c r="X78" i="97"/>
  <c r="Z78" i="97" s="1"/>
  <c r="N78" i="97"/>
  <c r="L78" i="97"/>
  <c r="B78" i="97"/>
  <c r="X77" i="97"/>
  <c r="Z77" i="97" s="1"/>
  <c r="N77" i="97"/>
  <c r="L77" i="97"/>
  <c r="B77" i="97"/>
  <c r="Z76" i="97"/>
  <c r="X76" i="97"/>
  <c r="N76" i="97"/>
  <c r="L76" i="97"/>
  <c r="B76" i="97"/>
  <c r="Z75" i="97"/>
  <c r="X75" i="97"/>
  <c r="L75" i="97"/>
  <c r="N75" i="97" s="1"/>
  <c r="B75" i="97"/>
  <c r="X74" i="97"/>
  <c r="Z74" i="97" s="1"/>
  <c r="N74" i="97"/>
  <c r="L74" i="97"/>
  <c r="B74" i="97"/>
  <c r="X73" i="97"/>
  <c r="Z73" i="97" s="1"/>
  <c r="N73" i="97"/>
  <c r="L73" i="97"/>
  <c r="B73" i="97"/>
  <c r="Z72" i="97"/>
  <c r="X72" i="97"/>
  <c r="N72" i="97"/>
  <c r="L72" i="97"/>
  <c r="B72" i="97"/>
  <c r="X71" i="97"/>
  <c r="Z71" i="97" s="1"/>
  <c r="N71" i="97"/>
  <c r="L71" i="97"/>
  <c r="B71" i="97"/>
  <c r="T70" i="97"/>
  <c r="P70" i="97"/>
  <c r="H70" i="97"/>
  <c r="D70" i="97"/>
  <c r="L70" i="97" s="1"/>
  <c r="B70" i="97"/>
  <c r="Z69" i="97"/>
  <c r="X69" i="97"/>
  <c r="N69" i="97"/>
  <c r="L69" i="97"/>
  <c r="B69" i="97"/>
  <c r="Z68" i="97"/>
  <c r="X68" i="97"/>
  <c r="N68" i="97"/>
  <c r="L68" i="97"/>
  <c r="B68" i="97"/>
  <c r="T67" i="97"/>
  <c r="P67" i="97"/>
  <c r="H67" i="97"/>
  <c r="D67" i="97"/>
  <c r="B67" i="97"/>
  <c r="X66" i="97"/>
  <c r="Z66" i="97" s="1"/>
  <c r="L66" i="97"/>
  <c r="N66" i="97" s="1"/>
  <c r="B66" i="97"/>
  <c r="Z65" i="97"/>
  <c r="X65" i="97"/>
  <c r="L65" i="97"/>
  <c r="N65" i="97" s="1"/>
  <c r="B65" i="97"/>
  <c r="X64" i="97"/>
  <c r="Z64" i="97" s="1"/>
  <c r="N64" i="97"/>
  <c r="L64" i="97"/>
  <c r="B64" i="97"/>
  <c r="Z63" i="97"/>
  <c r="T63" i="97"/>
  <c r="P63" i="97"/>
  <c r="X63" i="97" s="1"/>
  <c r="H63" i="97"/>
  <c r="D63" i="97"/>
  <c r="L63" i="97" s="1"/>
  <c r="B63" i="97"/>
  <c r="X62" i="97"/>
  <c r="Z62" i="97" s="1"/>
  <c r="N62" i="97"/>
  <c r="L62" i="97"/>
  <c r="B62" i="97"/>
  <c r="Z61" i="97"/>
  <c r="X61" i="97"/>
  <c r="N61" i="97"/>
  <c r="L61" i="97"/>
  <c r="B61" i="97"/>
  <c r="Z60" i="97"/>
  <c r="X60" i="97"/>
  <c r="N60" i="97"/>
  <c r="L60" i="97"/>
  <c r="B60" i="97"/>
  <c r="T59" i="97"/>
  <c r="P59" i="97"/>
  <c r="X59" i="97" s="1"/>
  <c r="Z59" i="97" s="1"/>
  <c r="L59" i="97"/>
  <c r="N59" i="97" s="1"/>
  <c r="H59" i="97"/>
  <c r="D59" i="97"/>
  <c r="B59" i="97"/>
  <c r="Z58" i="97"/>
  <c r="X58" i="97"/>
  <c r="L58" i="97"/>
  <c r="N58" i="97" s="1"/>
  <c r="B58" i="97"/>
  <c r="Z57" i="97"/>
  <c r="X57" i="97"/>
  <c r="N57" i="97"/>
  <c r="L57" i="97"/>
  <c r="B57" i="97"/>
  <c r="X56" i="97"/>
  <c r="Z56" i="97" s="1"/>
  <c r="T56" i="97"/>
  <c r="P56" i="97"/>
  <c r="N56" i="97"/>
  <c r="H56" i="97"/>
  <c r="D56" i="97"/>
  <c r="L56" i="97" s="1"/>
  <c r="B56" i="97"/>
  <c r="Z55" i="97"/>
  <c r="X55" i="97"/>
  <c r="L55" i="97"/>
  <c r="N55" i="97" s="1"/>
  <c r="B55" i="97"/>
  <c r="T54" i="97"/>
  <c r="P54" i="97"/>
  <c r="L54" i="97"/>
  <c r="H54" i="97"/>
  <c r="D54" i="97"/>
  <c r="B54" i="97"/>
  <c r="Z53" i="97"/>
  <c r="X53" i="97"/>
  <c r="N53" i="97"/>
  <c r="L53" i="97"/>
  <c r="B53" i="97"/>
  <c r="T52" i="97"/>
  <c r="P52" i="97"/>
  <c r="X52" i="97" s="1"/>
  <c r="H52" i="97"/>
  <c r="N52" i="97" s="1"/>
  <c r="D52" i="97"/>
  <c r="L52" i="97" s="1"/>
  <c r="B52" i="97"/>
  <c r="X51" i="97"/>
  <c r="Z51" i="97" s="1"/>
  <c r="L51" i="97"/>
  <c r="N51" i="97" s="1"/>
  <c r="B51" i="97"/>
  <c r="T50" i="97"/>
  <c r="P50" i="97"/>
  <c r="X50" i="97" s="1"/>
  <c r="Z50" i="97" s="1"/>
  <c r="H50" i="97"/>
  <c r="N50" i="97" s="1"/>
  <c r="D50" i="97"/>
  <c r="L50" i="97" s="1"/>
  <c r="B50" i="97"/>
  <c r="Z49" i="97"/>
  <c r="X49" i="97"/>
  <c r="N49" i="97"/>
  <c r="L49" i="97"/>
  <c r="B49" i="97"/>
  <c r="Z48" i="97"/>
  <c r="X48" i="97"/>
  <c r="T48" i="97"/>
  <c r="P48" i="97"/>
  <c r="N48" i="97"/>
  <c r="H48" i="97"/>
  <c r="D48" i="97"/>
  <c r="L48" i="97" s="1"/>
  <c r="B48" i="97"/>
  <c r="Z47" i="97"/>
  <c r="X47" i="97"/>
  <c r="L47" i="97"/>
  <c r="N47" i="97" s="1"/>
  <c r="B47" i="97"/>
  <c r="Z46" i="97"/>
  <c r="X46" i="97"/>
  <c r="N46" i="97"/>
  <c r="L46" i="97"/>
  <c r="B46" i="97"/>
  <c r="X45" i="97"/>
  <c r="T45" i="97"/>
  <c r="Z45" i="97" s="1"/>
  <c r="P45" i="97"/>
  <c r="H45" i="97"/>
  <c r="D45" i="97"/>
  <c r="L45" i="97" s="1"/>
  <c r="N45" i="97" s="1"/>
  <c r="B45" i="97"/>
  <c r="Z44" i="97"/>
  <c r="X44" i="97"/>
  <c r="L44" i="97"/>
  <c r="N44" i="97" s="1"/>
  <c r="B44" i="97"/>
  <c r="T43" i="97"/>
  <c r="P43" i="97"/>
  <c r="H43" i="97"/>
  <c r="N43" i="97" s="1"/>
  <c r="D43" i="97"/>
  <c r="L43" i="97" s="1"/>
  <c r="B43" i="97"/>
  <c r="Z42" i="97"/>
  <c r="X42" i="97"/>
  <c r="N42" i="97"/>
  <c r="L42" i="97"/>
  <c r="B42" i="97"/>
  <c r="T41" i="97"/>
  <c r="P41" i="97"/>
  <c r="X41" i="97" s="1"/>
  <c r="H41" i="97"/>
  <c r="D41" i="97"/>
  <c r="L41" i="97" s="1"/>
  <c r="B41" i="97"/>
  <c r="X40" i="97"/>
  <c r="Z40" i="97" s="1"/>
  <c r="N40" i="97"/>
  <c r="L40" i="97"/>
  <c r="B40" i="97"/>
  <c r="T39" i="97"/>
  <c r="P39" i="97"/>
  <c r="X39" i="97" s="1"/>
  <c r="Z39" i="97" s="1"/>
  <c r="L39" i="97"/>
  <c r="H39" i="97"/>
  <c r="N39" i="97" s="1"/>
  <c r="D39" i="97"/>
  <c r="B39" i="97"/>
  <c r="Z38" i="97"/>
  <c r="X38" i="97"/>
  <c r="N38" i="97"/>
  <c r="L38" i="97"/>
  <c r="B38" i="97"/>
  <c r="Z37" i="97"/>
  <c r="X37" i="97"/>
  <c r="N37" i="97"/>
  <c r="L37" i="97"/>
  <c r="B37" i="97"/>
  <c r="Z36" i="97"/>
  <c r="X36" i="97"/>
  <c r="N36" i="97"/>
  <c r="L36" i="97"/>
  <c r="B36" i="97"/>
  <c r="X35" i="97"/>
  <c r="Z35" i="97" s="1"/>
  <c r="L35" i="97"/>
  <c r="N35" i="97" s="1"/>
  <c r="B35" i="97"/>
  <c r="Z34" i="97"/>
  <c r="X34" i="97"/>
  <c r="N34" i="97"/>
  <c r="L34" i="97"/>
  <c r="B34" i="97"/>
  <c r="Z33" i="97"/>
  <c r="X33" i="97"/>
  <c r="N33" i="97"/>
  <c r="L33" i="97"/>
  <c r="B33" i="97"/>
  <c r="T32" i="97"/>
  <c r="P32" i="97"/>
  <c r="X32" i="97" s="1"/>
  <c r="Z32" i="97" s="1"/>
  <c r="H32" i="97"/>
  <c r="D32" i="97"/>
  <c r="L32" i="97" s="1"/>
  <c r="N32" i="97" s="1"/>
  <c r="B32" i="97"/>
  <c r="X31" i="97"/>
  <c r="Z31" i="97" s="1"/>
  <c r="L31" i="97"/>
  <c r="N31" i="97" s="1"/>
  <c r="B31" i="97"/>
  <c r="Z30" i="97"/>
  <c r="X30" i="97"/>
  <c r="N30" i="97"/>
  <c r="L30" i="97"/>
  <c r="B30" i="97"/>
  <c r="Z29" i="97"/>
  <c r="X29" i="97"/>
  <c r="L29" i="97"/>
  <c r="N29" i="97" s="1"/>
  <c r="B29" i="97"/>
  <c r="X28" i="97"/>
  <c r="Z28" i="97" s="1"/>
  <c r="N28" i="97"/>
  <c r="L28" i="97"/>
  <c r="J28" i="97"/>
  <c r="B28" i="97"/>
  <c r="X27" i="97"/>
  <c r="Z27" i="97" s="1"/>
  <c r="L27" i="97"/>
  <c r="N27" i="97" s="1"/>
  <c r="B27" i="97"/>
  <c r="Z26" i="97"/>
  <c r="X26" i="97"/>
  <c r="N26" i="97"/>
  <c r="L26" i="97"/>
  <c r="B26" i="97"/>
  <c r="Z25" i="97"/>
  <c r="X25" i="97"/>
  <c r="L25" i="97"/>
  <c r="N25" i="97" s="1"/>
  <c r="B25" i="97"/>
  <c r="X24" i="97"/>
  <c r="Z24" i="97" s="1"/>
  <c r="N24" i="97"/>
  <c r="L24" i="97"/>
  <c r="B24" i="97"/>
  <c r="T23" i="97"/>
  <c r="P23" i="97"/>
  <c r="X23" i="97" s="1"/>
  <c r="H23" i="97"/>
  <c r="D23" i="97"/>
  <c r="L23" i="97" s="1"/>
  <c r="B23" i="97"/>
  <c r="T22" i="97"/>
  <c r="Z22" i="97" s="1"/>
  <c r="P22" i="97"/>
  <c r="X22" i="97" s="1"/>
  <c r="H22" i="97"/>
  <c r="D22" i="97"/>
  <c r="Z18" i="97"/>
  <c r="X18" i="97"/>
  <c r="N18" i="97"/>
  <c r="L18" i="97"/>
  <c r="B18" i="97"/>
  <c r="X17" i="97"/>
  <c r="Z17" i="97" s="1"/>
  <c r="N17" i="97"/>
  <c r="L17" i="97"/>
  <c r="B17" i="97"/>
  <c r="T16" i="97"/>
  <c r="R16" i="97"/>
  <c r="P16" i="97"/>
  <c r="H16" i="97"/>
  <c r="N16" i="97" s="1"/>
  <c r="D16" i="97"/>
  <c r="L16" i="97" s="1"/>
  <c r="T14" i="97"/>
  <c r="P14" i="97"/>
  <c r="P12" i="97" s="1"/>
  <c r="R78" i="97" s="1"/>
  <c r="H14" i="97"/>
  <c r="D14" i="97"/>
  <c r="L14" i="97" s="1"/>
  <c r="N14" i="97" s="1"/>
  <c r="B14" i="97"/>
  <c r="T13" i="97"/>
  <c r="P13" i="97"/>
  <c r="L13" i="97"/>
  <c r="H13" i="97"/>
  <c r="H12" i="97" s="1"/>
  <c r="D13" i="97"/>
  <c r="D12" i="97" s="1"/>
  <c r="B13" i="97"/>
  <c r="D6" i="97"/>
  <c r="D4" i="97"/>
  <c r="Z95" i="95"/>
  <c r="X95" i="95"/>
  <c r="N95" i="95"/>
  <c r="L95" i="95"/>
  <c r="T91" i="95"/>
  <c r="P91" i="95"/>
  <c r="H91" i="95"/>
  <c r="D91" i="95"/>
  <c r="B91" i="95"/>
  <c r="D90" i="95"/>
  <c r="Z88" i="95"/>
  <c r="X88" i="95"/>
  <c r="N88" i="95"/>
  <c r="L88" i="95"/>
  <c r="B88" i="95"/>
  <c r="Z87" i="95"/>
  <c r="T87" i="95"/>
  <c r="P87" i="95"/>
  <c r="X87" i="95" s="1"/>
  <c r="H87" i="95"/>
  <c r="D87" i="95"/>
  <c r="L87" i="95" s="1"/>
  <c r="N87" i="95" s="1"/>
  <c r="B87" i="95"/>
  <c r="X86" i="95"/>
  <c r="Z86" i="95" s="1"/>
  <c r="N86" i="95"/>
  <c r="L86" i="95"/>
  <c r="B86" i="95"/>
  <c r="Z85" i="95"/>
  <c r="X85" i="95"/>
  <c r="T85" i="95"/>
  <c r="P85" i="95"/>
  <c r="H85" i="95"/>
  <c r="D85" i="95"/>
  <c r="B85" i="95"/>
  <c r="X84" i="95"/>
  <c r="Z84" i="95" s="1"/>
  <c r="N84" i="95"/>
  <c r="L84" i="95"/>
  <c r="B84" i="95"/>
  <c r="T83" i="95"/>
  <c r="P83" i="95"/>
  <c r="H83" i="95"/>
  <c r="N83" i="95" s="1"/>
  <c r="D83" i="95"/>
  <c r="B83" i="95"/>
  <c r="X82" i="95"/>
  <c r="Z82" i="95" s="1"/>
  <c r="L82" i="95"/>
  <c r="N82" i="95" s="1"/>
  <c r="B82" i="95"/>
  <c r="X81" i="95"/>
  <c r="Z81" i="95" s="1"/>
  <c r="T81" i="95"/>
  <c r="P81" i="95"/>
  <c r="H81" i="95"/>
  <c r="D81" i="95"/>
  <c r="L81" i="95" s="1"/>
  <c r="N81" i="95" s="1"/>
  <c r="B81" i="95"/>
  <c r="Z80" i="95"/>
  <c r="X80" i="95"/>
  <c r="N80" i="95"/>
  <c r="L80" i="95"/>
  <c r="B80" i="95"/>
  <c r="X79" i="95"/>
  <c r="Z79" i="95" s="1"/>
  <c r="N79" i="95"/>
  <c r="L79" i="95"/>
  <c r="B79" i="95"/>
  <c r="Z78" i="95"/>
  <c r="X78" i="95"/>
  <c r="N78" i="95"/>
  <c r="L78" i="95"/>
  <c r="B78" i="95"/>
  <c r="Z77" i="95"/>
  <c r="X77" i="95"/>
  <c r="N77" i="95"/>
  <c r="L77" i="95"/>
  <c r="B77" i="95"/>
  <c r="Z76" i="95"/>
  <c r="X76" i="95"/>
  <c r="L76" i="95"/>
  <c r="N76" i="95" s="1"/>
  <c r="B76" i="95"/>
  <c r="X75" i="95"/>
  <c r="Z75" i="95" s="1"/>
  <c r="R75" i="95"/>
  <c r="N75" i="95"/>
  <c r="L75" i="95"/>
  <c r="B75" i="95"/>
  <c r="X74" i="95"/>
  <c r="Z74" i="95" s="1"/>
  <c r="L74" i="95"/>
  <c r="N74" i="95" s="1"/>
  <c r="B74" i="95"/>
  <c r="X73" i="95"/>
  <c r="Z73" i="95" s="1"/>
  <c r="N73" i="95"/>
  <c r="L73" i="95"/>
  <c r="B73" i="95"/>
  <c r="T72" i="95"/>
  <c r="Z72" i="95" s="1"/>
  <c r="P72" i="95"/>
  <c r="X72" i="95" s="1"/>
  <c r="L72" i="95"/>
  <c r="H72" i="95"/>
  <c r="F72" i="95"/>
  <c r="D72" i="95"/>
  <c r="B72" i="95"/>
  <c r="X71" i="95"/>
  <c r="Z71" i="95" s="1"/>
  <c r="N71" i="95"/>
  <c r="L71" i="95"/>
  <c r="B71" i="95"/>
  <c r="Z70" i="95"/>
  <c r="X70" i="95"/>
  <c r="N70" i="95"/>
  <c r="L70" i="95"/>
  <c r="B70" i="95"/>
  <c r="T69" i="95"/>
  <c r="Z69" i="95" s="1"/>
  <c r="P69" i="95"/>
  <c r="X69" i="95" s="1"/>
  <c r="H69" i="95"/>
  <c r="D69" i="95"/>
  <c r="B69" i="95"/>
  <c r="Z68" i="95"/>
  <c r="X68" i="95"/>
  <c r="N68" i="95"/>
  <c r="L68" i="95"/>
  <c r="B68" i="95"/>
  <c r="Z67" i="95"/>
  <c r="X67" i="95"/>
  <c r="L67" i="95"/>
  <c r="N67" i="95" s="1"/>
  <c r="B67" i="95"/>
  <c r="X66" i="95"/>
  <c r="Z66" i="95" s="1"/>
  <c r="L66" i="95"/>
  <c r="N66" i="95" s="1"/>
  <c r="B66" i="95"/>
  <c r="X65" i="95"/>
  <c r="Z65" i="95" s="1"/>
  <c r="L65" i="95"/>
  <c r="N65" i="95" s="1"/>
  <c r="B65" i="95"/>
  <c r="Z64" i="95"/>
  <c r="X64" i="95"/>
  <c r="N64" i="95"/>
  <c r="L64" i="95"/>
  <c r="B64" i="95"/>
  <c r="T63" i="95"/>
  <c r="P63" i="95"/>
  <c r="X63" i="95" s="1"/>
  <c r="Z63" i="95" s="1"/>
  <c r="H63" i="95"/>
  <c r="D63" i="95"/>
  <c r="L63" i="95" s="1"/>
  <c r="N63" i="95" s="1"/>
  <c r="B63" i="95"/>
  <c r="X62" i="95"/>
  <c r="Z62" i="95" s="1"/>
  <c r="N62" i="95"/>
  <c r="L62" i="95"/>
  <c r="B62" i="95"/>
  <c r="Z61" i="95"/>
  <c r="X61" i="95"/>
  <c r="N61" i="95"/>
  <c r="L61" i="95"/>
  <c r="B61" i="95"/>
  <c r="Z60" i="95"/>
  <c r="X60" i="95"/>
  <c r="N60" i="95"/>
  <c r="L60" i="95"/>
  <c r="B60" i="95"/>
  <c r="X59" i="95"/>
  <c r="Z59" i="95" s="1"/>
  <c r="N59" i="95"/>
  <c r="L59" i="95"/>
  <c r="B59" i="95"/>
  <c r="T58" i="95"/>
  <c r="P58" i="95"/>
  <c r="X58" i="95" s="1"/>
  <c r="N58" i="95"/>
  <c r="H58" i="95"/>
  <c r="D58" i="95"/>
  <c r="L58" i="95" s="1"/>
  <c r="B58" i="95"/>
  <c r="X57" i="95"/>
  <c r="Z57" i="95" s="1"/>
  <c r="L57" i="95"/>
  <c r="N57" i="95" s="1"/>
  <c r="B57" i="95"/>
  <c r="T56" i="95"/>
  <c r="P56" i="95"/>
  <c r="H56" i="95"/>
  <c r="D56" i="95"/>
  <c r="L56" i="95" s="1"/>
  <c r="N56" i="95" s="1"/>
  <c r="B56" i="95"/>
  <c r="Z55" i="95"/>
  <c r="X55" i="95"/>
  <c r="L55" i="95"/>
  <c r="N55" i="95" s="1"/>
  <c r="B55" i="95"/>
  <c r="T54" i="95"/>
  <c r="P54" i="95"/>
  <c r="H54" i="95"/>
  <c r="D54" i="95"/>
  <c r="B54" i="95"/>
  <c r="X53" i="95"/>
  <c r="Z53" i="95" s="1"/>
  <c r="N53" i="95"/>
  <c r="L53" i="95"/>
  <c r="B53" i="95"/>
  <c r="T52" i="95"/>
  <c r="Z52" i="95" s="1"/>
  <c r="P52" i="95"/>
  <c r="X52" i="95" s="1"/>
  <c r="H52" i="95"/>
  <c r="N52" i="95" s="1"/>
  <c r="D52" i="95"/>
  <c r="B52" i="95"/>
  <c r="Z51" i="95"/>
  <c r="X51" i="95"/>
  <c r="N51" i="95"/>
  <c r="L51" i="95"/>
  <c r="B51" i="95"/>
  <c r="X50" i="95"/>
  <c r="T50" i="95"/>
  <c r="Z50" i="95" s="1"/>
  <c r="P50" i="95"/>
  <c r="H50" i="95"/>
  <c r="D50" i="95"/>
  <c r="L50" i="95" s="1"/>
  <c r="B50" i="95"/>
  <c r="Z49" i="95"/>
  <c r="X49" i="95"/>
  <c r="L49" i="95"/>
  <c r="N49" i="95" s="1"/>
  <c r="B49" i="95"/>
  <c r="X48" i="95"/>
  <c r="T48" i="95"/>
  <c r="P48" i="95"/>
  <c r="H48" i="95"/>
  <c r="D48" i="95"/>
  <c r="L48" i="95" s="1"/>
  <c r="B48" i="95"/>
  <c r="Z47" i="95"/>
  <c r="X47" i="95"/>
  <c r="N47" i="95"/>
  <c r="L47" i="95"/>
  <c r="B47" i="95"/>
  <c r="X46" i="95"/>
  <c r="Z46" i="95" s="1"/>
  <c r="R46" i="95"/>
  <c r="L46" i="95"/>
  <c r="N46" i="95" s="1"/>
  <c r="B46" i="95"/>
  <c r="T45" i="95"/>
  <c r="P45" i="95"/>
  <c r="N45" i="95"/>
  <c r="L45" i="95"/>
  <c r="H45" i="95"/>
  <c r="D45" i="95"/>
  <c r="B45" i="95"/>
  <c r="X44" i="95"/>
  <c r="Z44" i="95" s="1"/>
  <c r="L44" i="95"/>
  <c r="N44" i="95" s="1"/>
  <c r="B44" i="95"/>
  <c r="T43" i="95"/>
  <c r="P43" i="95"/>
  <c r="X43" i="95" s="1"/>
  <c r="Z43" i="95" s="1"/>
  <c r="H43" i="95"/>
  <c r="L43" i="95" s="1"/>
  <c r="N43" i="95" s="1"/>
  <c r="D43" i="95"/>
  <c r="B43" i="95"/>
  <c r="Z42" i="95"/>
  <c r="X42" i="95"/>
  <c r="L42" i="95"/>
  <c r="N42" i="95" s="1"/>
  <c r="B42" i="95"/>
  <c r="Z41" i="95"/>
  <c r="T41" i="95"/>
  <c r="P41" i="95"/>
  <c r="X41" i="95" s="1"/>
  <c r="H41" i="95"/>
  <c r="D41" i="95"/>
  <c r="L41" i="95" s="1"/>
  <c r="N41" i="95" s="1"/>
  <c r="B41" i="95"/>
  <c r="X40" i="95"/>
  <c r="Z40" i="95" s="1"/>
  <c r="L40" i="95"/>
  <c r="N40" i="95" s="1"/>
  <c r="B40" i="95"/>
  <c r="Z39" i="95"/>
  <c r="X39" i="95"/>
  <c r="T39" i="95"/>
  <c r="P39" i="95"/>
  <c r="H39" i="95"/>
  <c r="D39" i="95"/>
  <c r="B39" i="95"/>
  <c r="X38" i="95"/>
  <c r="Z38" i="95" s="1"/>
  <c r="N38" i="95"/>
  <c r="L38" i="95"/>
  <c r="B38" i="95"/>
  <c r="Z37" i="95"/>
  <c r="X37" i="95"/>
  <c r="N37" i="95"/>
  <c r="L37" i="95"/>
  <c r="B37" i="95"/>
  <c r="X36" i="95"/>
  <c r="Z36" i="95" s="1"/>
  <c r="L36" i="95"/>
  <c r="N36" i="95" s="1"/>
  <c r="B36" i="95"/>
  <c r="Z35" i="95"/>
  <c r="X35" i="95"/>
  <c r="N35" i="95"/>
  <c r="L35" i="95"/>
  <c r="B35" i="95"/>
  <c r="X34" i="95"/>
  <c r="Z34" i="95" s="1"/>
  <c r="N34" i="95"/>
  <c r="L34" i="95"/>
  <c r="B34" i="95"/>
  <c r="Z33" i="95"/>
  <c r="X33" i="95"/>
  <c r="N33" i="95"/>
  <c r="L33" i="95"/>
  <c r="B33" i="95"/>
  <c r="T32" i="95"/>
  <c r="P32" i="95"/>
  <c r="X32" i="95" s="1"/>
  <c r="L32" i="95"/>
  <c r="H32" i="95"/>
  <c r="N32" i="95" s="1"/>
  <c r="D32" i="95"/>
  <c r="B32" i="95"/>
  <c r="Z31" i="95"/>
  <c r="X31" i="95"/>
  <c r="N31" i="95"/>
  <c r="L31" i="95"/>
  <c r="B31" i="95"/>
  <c r="Z30" i="95"/>
  <c r="X30" i="95"/>
  <c r="L30" i="95"/>
  <c r="N30" i="95" s="1"/>
  <c r="B30" i="95"/>
  <c r="Z29" i="95"/>
  <c r="X29" i="95"/>
  <c r="L29" i="95"/>
  <c r="N29" i="95" s="1"/>
  <c r="B29" i="95"/>
  <c r="X28" i="95"/>
  <c r="Z28" i="95" s="1"/>
  <c r="R28" i="95"/>
  <c r="L28" i="95"/>
  <c r="N28" i="95" s="1"/>
  <c r="B28" i="95"/>
  <c r="Z27" i="95"/>
  <c r="X27" i="95"/>
  <c r="N27" i="95"/>
  <c r="L27" i="95"/>
  <c r="B27" i="95"/>
  <c r="Z26" i="95"/>
  <c r="X26" i="95"/>
  <c r="L26" i="95"/>
  <c r="N26" i="95" s="1"/>
  <c r="B26" i="95"/>
  <c r="Z25" i="95"/>
  <c r="X25" i="95"/>
  <c r="L25" i="95"/>
  <c r="N25" i="95" s="1"/>
  <c r="B25" i="95"/>
  <c r="X24" i="95"/>
  <c r="Z24" i="95" s="1"/>
  <c r="L24" i="95"/>
  <c r="N24" i="95" s="1"/>
  <c r="B24" i="95"/>
  <c r="Z23" i="95"/>
  <c r="X23" i="95"/>
  <c r="T23" i="95"/>
  <c r="R23" i="95"/>
  <c r="P23" i="95"/>
  <c r="N23" i="95"/>
  <c r="H23" i="95"/>
  <c r="D23" i="95"/>
  <c r="L23" i="95" s="1"/>
  <c r="B23" i="95"/>
  <c r="T22" i="95"/>
  <c r="P22" i="95"/>
  <c r="X22" i="95" s="1"/>
  <c r="H22" i="95"/>
  <c r="N22" i="95" s="1"/>
  <c r="D22" i="95"/>
  <c r="L22" i="95" s="1"/>
  <c r="P20" i="95"/>
  <c r="X18" i="95"/>
  <c r="Z18" i="95" s="1"/>
  <c r="R18" i="95"/>
  <c r="L18" i="95"/>
  <c r="N18" i="95" s="1"/>
  <c r="B18" i="95"/>
  <c r="Z17" i="95"/>
  <c r="X17" i="95"/>
  <c r="N17" i="95"/>
  <c r="L17" i="95"/>
  <c r="J17" i="95"/>
  <c r="B17" i="95"/>
  <c r="T16" i="95"/>
  <c r="Z16" i="95" s="1"/>
  <c r="P16" i="95"/>
  <c r="X16" i="95" s="1"/>
  <c r="H16" i="95"/>
  <c r="D16" i="95"/>
  <c r="L16" i="95" s="1"/>
  <c r="X14" i="95"/>
  <c r="T14" i="95"/>
  <c r="Z14" i="95" s="1"/>
  <c r="P14" i="95"/>
  <c r="L14" i="95"/>
  <c r="H14" i="95"/>
  <c r="N14" i="95" s="1"/>
  <c r="D14" i="95"/>
  <c r="D12" i="95" s="1"/>
  <c r="F36" i="95" s="1"/>
  <c r="B14" i="95"/>
  <c r="T13" i="95"/>
  <c r="P13" i="95"/>
  <c r="H13" i="95"/>
  <c r="H12" i="95" s="1"/>
  <c r="D13" i="95"/>
  <c r="L13" i="95" s="1"/>
  <c r="N13" i="95" s="1"/>
  <c r="B13" i="95"/>
  <c r="P12" i="95"/>
  <c r="R24" i="95" s="1"/>
  <c r="D6" i="95"/>
  <c r="D4" i="95"/>
  <c r="X79" i="94"/>
  <c r="Z79" i="94" s="1"/>
  <c r="L79" i="94"/>
  <c r="N79" i="94" s="1"/>
  <c r="T75" i="94"/>
  <c r="Z75" i="94" s="1"/>
  <c r="P75" i="94"/>
  <c r="X75" i="94" s="1"/>
  <c r="H75" i="94"/>
  <c r="N75" i="94" s="1"/>
  <c r="D75" i="94"/>
  <c r="L75" i="94" s="1"/>
  <c r="X73" i="94"/>
  <c r="Z73" i="94" s="1"/>
  <c r="N73" i="94"/>
  <c r="L73" i="94"/>
  <c r="B73" i="94"/>
  <c r="Z72" i="94"/>
  <c r="X72" i="94"/>
  <c r="V72" i="94"/>
  <c r="T72" i="94"/>
  <c r="P72" i="94"/>
  <c r="N72" i="94"/>
  <c r="H72" i="94"/>
  <c r="L72" i="94" s="1"/>
  <c r="D72" i="94"/>
  <c r="B72" i="94"/>
  <c r="X71" i="94"/>
  <c r="Z71" i="94" s="1"/>
  <c r="L71" i="94"/>
  <c r="N71" i="94" s="1"/>
  <c r="B71" i="94"/>
  <c r="T70" i="94"/>
  <c r="X70" i="94" s="1"/>
  <c r="Z70" i="94" s="1"/>
  <c r="R70" i="94"/>
  <c r="P70" i="94"/>
  <c r="H70" i="94"/>
  <c r="D70" i="94"/>
  <c r="L70" i="94" s="1"/>
  <c r="N70" i="94" s="1"/>
  <c r="B70" i="94"/>
  <c r="X69" i="94"/>
  <c r="Z69" i="94" s="1"/>
  <c r="R69" i="94"/>
  <c r="N69" i="94"/>
  <c r="L69" i="94"/>
  <c r="B69" i="94"/>
  <c r="Z68" i="94"/>
  <c r="X68" i="94"/>
  <c r="N68" i="94"/>
  <c r="L68" i="94"/>
  <c r="B68" i="94"/>
  <c r="Z67" i="94"/>
  <c r="X67" i="94"/>
  <c r="N67" i="94"/>
  <c r="L67" i="94"/>
  <c r="B67" i="94"/>
  <c r="Z66" i="94"/>
  <c r="X66" i="94"/>
  <c r="N66" i="94"/>
  <c r="L66" i="94"/>
  <c r="B66" i="94"/>
  <c r="X65" i="94"/>
  <c r="Z65" i="94" s="1"/>
  <c r="R65" i="94"/>
  <c r="L65" i="94"/>
  <c r="N65" i="94" s="1"/>
  <c r="B65" i="94"/>
  <c r="Z64" i="94"/>
  <c r="X64" i="94"/>
  <c r="N64" i="94"/>
  <c r="L64" i="94"/>
  <c r="J64" i="94"/>
  <c r="B64" i="94"/>
  <c r="X63" i="94"/>
  <c r="Z63" i="94" s="1"/>
  <c r="N63" i="94"/>
  <c r="L63" i="94"/>
  <c r="B63" i="94"/>
  <c r="Z62" i="94"/>
  <c r="T62" i="94"/>
  <c r="P62" i="94"/>
  <c r="X62" i="94" s="1"/>
  <c r="H62" i="94"/>
  <c r="D62" i="94"/>
  <c r="L62" i="94" s="1"/>
  <c r="N62" i="94" s="1"/>
  <c r="B62" i="94"/>
  <c r="X61" i="94"/>
  <c r="Z61" i="94" s="1"/>
  <c r="N61" i="94"/>
  <c r="L61" i="94"/>
  <c r="B61" i="94"/>
  <c r="Z60" i="94"/>
  <c r="X60" i="94"/>
  <c r="T60" i="94"/>
  <c r="P60" i="94"/>
  <c r="N60" i="94"/>
  <c r="H60" i="94"/>
  <c r="L60" i="94" s="1"/>
  <c r="D60" i="94"/>
  <c r="B60" i="94"/>
  <c r="X59" i="94"/>
  <c r="Z59" i="94" s="1"/>
  <c r="L59" i="94"/>
  <c r="N59" i="94" s="1"/>
  <c r="B59" i="94"/>
  <c r="T58" i="94"/>
  <c r="X58" i="94" s="1"/>
  <c r="Z58" i="94" s="1"/>
  <c r="R58" i="94"/>
  <c r="P58" i="94"/>
  <c r="H58" i="94"/>
  <c r="D58" i="94"/>
  <c r="L58" i="94" s="1"/>
  <c r="N58" i="94" s="1"/>
  <c r="B58" i="94"/>
  <c r="X57" i="94"/>
  <c r="Z57" i="94" s="1"/>
  <c r="R57" i="94"/>
  <c r="L57" i="94"/>
  <c r="N57" i="94" s="1"/>
  <c r="B57" i="94"/>
  <c r="T56" i="94"/>
  <c r="R56" i="94"/>
  <c r="P56" i="94"/>
  <c r="X56" i="94" s="1"/>
  <c r="Z56" i="94" s="1"/>
  <c r="H56" i="94"/>
  <c r="D56" i="94"/>
  <c r="L56" i="94" s="1"/>
  <c r="N56" i="94" s="1"/>
  <c r="B56" i="94"/>
  <c r="X55" i="94"/>
  <c r="Z55" i="94" s="1"/>
  <c r="R55" i="94"/>
  <c r="L55" i="94"/>
  <c r="N55" i="94" s="1"/>
  <c r="B55" i="94"/>
  <c r="X54" i="94"/>
  <c r="Z54" i="94" s="1"/>
  <c r="N54" i="94"/>
  <c r="L54" i="94"/>
  <c r="B54" i="94"/>
  <c r="T53" i="94"/>
  <c r="Z53" i="94" s="1"/>
  <c r="P53" i="94"/>
  <c r="X53" i="94" s="1"/>
  <c r="H53" i="94"/>
  <c r="D53" i="94"/>
  <c r="L53" i="94" s="1"/>
  <c r="B53" i="94"/>
  <c r="Z52" i="94"/>
  <c r="X52" i="94"/>
  <c r="N52" i="94"/>
  <c r="L52" i="94"/>
  <c r="B52" i="94"/>
  <c r="X51" i="94"/>
  <c r="T51" i="94"/>
  <c r="P51" i="94"/>
  <c r="H51" i="94"/>
  <c r="D51" i="94"/>
  <c r="L51" i="94" s="1"/>
  <c r="B51" i="94"/>
  <c r="Z50" i="94"/>
  <c r="X50" i="94"/>
  <c r="L50" i="94"/>
  <c r="N50" i="94" s="1"/>
  <c r="B50" i="94"/>
  <c r="T49" i="94"/>
  <c r="P49" i="94"/>
  <c r="H49" i="94"/>
  <c r="D49" i="94"/>
  <c r="L49" i="94" s="1"/>
  <c r="B49" i="94"/>
  <c r="Z48" i="94"/>
  <c r="X48" i="94"/>
  <c r="V48" i="94"/>
  <c r="N48" i="94"/>
  <c r="L48" i="94"/>
  <c r="B48" i="94"/>
  <c r="T47" i="94"/>
  <c r="P47" i="94"/>
  <c r="X47" i="94" s="1"/>
  <c r="H47" i="94"/>
  <c r="N47" i="94" s="1"/>
  <c r="D47" i="94"/>
  <c r="L47" i="94" s="1"/>
  <c r="B47" i="94"/>
  <c r="Z46" i="94"/>
  <c r="X46" i="94"/>
  <c r="V46" i="94"/>
  <c r="N46" i="94"/>
  <c r="L46" i="94"/>
  <c r="B46" i="94"/>
  <c r="T45" i="94"/>
  <c r="P45" i="94"/>
  <c r="X45" i="94" s="1"/>
  <c r="L45" i="94"/>
  <c r="N45" i="94" s="1"/>
  <c r="H45" i="94"/>
  <c r="D45" i="94"/>
  <c r="B45" i="94"/>
  <c r="Z44" i="94"/>
  <c r="X44" i="94"/>
  <c r="N44" i="94"/>
  <c r="L44" i="94"/>
  <c r="B44" i="94"/>
  <c r="T43" i="94"/>
  <c r="P43" i="94"/>
  <c r="X43" i="94" s="1"/>
  <c r="L43" i="94"/>
  <c r="H43" i="94"/>
  <c r="D43" i="94"/>
  <c r="B43" i="94"/>
  <c r="Z42" i="94"/>
  <c r="X42" i="94"/>
  <c r="V42" i="94"/>
  <c r="N42" i="94"/>
  <c r="L42" i="94"/>
  <c r="B42" i="94"/>
  <c r="T41" i="94"/>
  <c r="P41" i="94"/>
  <c r="X41" i="94" s="1"/>
  <c r="H41" i="94"/>
  <c r="D41" i="94"/>
  <c r="B41" i="94"/>
  <c r="Z40" i="94"/>
  <c r="X40" i="94"/>
  <c r="N40" i="94"/>
  <c r="L40" i="94"/>
  <c r="B40" i="94"/>
  <c r="X39" i="94"/>
  <c r="T39" i="94"/>
  <c r="P39" i="94"/>
  <c r="L39" i="94"/>
  <c r="H39" i="94"/>
  <c r="D39" i="94"/>
  <c r="B39" i="94"/>
  <c r="Z38" i="94"/>
  <c r="X38" i="94"/>
  <c r="N38" i="94"/>
  <c r="L38" i="94"/>
  <c r="B38" i="94"/>
  <c r="X37" i="94"/>
  <c r="Z37" i="94" s="1"/>
  <c r="R37" i="94"/>
  <c r="L37" i="94"/>
  <c r="N37" i="94" s="1"/>
  <c r="B37" i="94"/>
  <c r="Z36" i="94"/>
  <c r="X36" i="94"/>
  <c r="N36" i="94"/>
  <c r="L36" i="94"/>
  <c r="J36" i="94"/>
  <c r="B36" i="94"/>
  <c r="X35" i="94"/>
  <c r="Z35" i="94" s="1"/>
  <c r="R35" i="94"/>
  <c r="L35" i="94"/>
  <c r="N35" i="94" s="1"/>
  <c r="B35" i="94"/>
  <c r="Z34" i="94"/>
  <c r="X34" i="94"/>
  <c r="N34" i="94"/>
  <c r="L34" i="94"/>
  <c r="B34" i="94"/>
  <c r="X33" i="94"/>
  <c r="Z33" i="94" s="1"/>
  <c r="R33" i="94"/>
  <c r="L33" i="94"/>
  <c r="N33" i="94" s="1"/>
  <c r="B33" i="94"/>
  <c r="Z32" i="94"/>
  <c r="T32" i="94"/>
  <c r="R32" i="94"/>
  <c r="P32" i="94"/>
  <c r="X32" i="94" s="1"/>
  <c r="N32" i="94"/>
  <c r="H32" i="94"/>
  <c r="D32" i="94"/>
  <c r="L32" i="94" s="1"/>
  <c r="B32" i="94"/>
  <c r="X31" i="94"/>
  <c r="Z31" i="94" s="1"/>
  <c r="R31" i="94"/>
  <c r="L31" i="94"/>
  <c r="N31" i="94" s="1"/>
  <c r="B31" i="94"/>
  <c r="X30" i="94"/>
  <c r="Z30" i="94" s="1"/>
  <c r="N30" i="94"/>
  <c r="L30" i="94"/>
  <c r="B30" i="94"/>
  <c r="X29" i="94"/>
  <c r="Z29" i="94" s="1"/>
  <c r="L29" i="94"/>
  <c r="N29" i="94" s="1"/>
  <c r="B29" i="94"/>
  <c r="Z28" i="94"/>
  <c r="X28" i="94"/>
  <c r="N28" i="94"/>
  <c r="L28" i="94"/>
  <c r="B28" i="94"/>
  <c r="X27" i="94"/>
  <c r="Z27" i="94" s="1"/>
  <c r="R27" i="94"/>
  <c r="L27" i="94"/>
  <c r="N27" i="94" s="1"/>
  <c r="B27" i="94"/>
  <c r="X26" i="94"/>
  <c r="Z26" i="94" s="1"/>
  <c r="N26" i="94"/>
  <c r="L26" i="94"/>
  <c r="B26" i="94"/>
  <c r="X25" i="94"/>
  <c r="Z25" i="94" s="1"/>
  <c r="L25" i="94"/>
  <c r="N25" i="94" s="1"/>
  <c r="B25" i="94"/>
  <c r="Z24" i="94"/>
  <c r="X24" i="94"/>
  <c r="N24" i="94"/>
  <c r="L24" i="94"/>
  <c r="B24" i="94"/>
  <c r="T23" i="94"/>
  <c r="P23" i="94"/>
  <c r="H23" i="94"/>
  <c r="D23" i="94"/>
  <c r="L23" i="94" s="1"/>
  <c r="B23" i="94"/>
  <c r="T22" i="94"/>
  <c r="X22" i="94" s="1"/>
  <c r="Z22" i="94" s="1"/>
  <c r="R22" i="94"/>
  <c r="P22" i="94"/>
  <c r="H22" i="94"/>
  <c r="N22" i="94" s="1"/>
  <c r="D22" i="94"/>
  <c r="L22" i="94" s="1"/>
  <c r="Z18" i="94"/>
  <c r="X18" i="94"/>
  <c r="N18" i="94"/>
  <c r="L18" i="94"/>
  <c r="B18" i="94"/>
  <c r="X17" i="94"/>
  <c r="Z17" i="94" s="1"/>
  <c r="R17" i="94"/>
  <c r="L17" i="94"/>
  <c r="N17" i="94" s="1"/>
  <c r="B17" i="94"/>
  <c r="T16" i="94"/>
  <c r="R16" i="94"/>
  <c r="P16" i="94"/>
  <c r="X16" i="94" s="1"/>
  <c r="H16" i="94"/>
  <c r="L16" i="94" s="1"/>
  <c r="N16" i="94" s="1"/>
  <c r="D16" i="94"/>
  <c r="T14" i="94"/>
  <c r="P14" i="94"/>
  <c r="X14" i="94" s="1"/>
  <c r="Z14" i="94" s="1"/>
  <c r="H14" i="94"/>
  <c r="L14" i="94" s="1"/>
  <c r="N14" i="94" s="1"/>
  <c r="D14" i="94"/>
  <c r="B14" i="94"/>
  <c r="X13" i="94"/>
  <c r="Z13" i="94" s="1"/>
  <c r="T13" i="94"/>
  <c r="P13" i="94"/>
  <c r="H13" i="94"/>
  <c r="H12" i="94" s="1"/>
  <c r="J34" i="94" s="1"/>
  <c r="D13" i="94"/>
  <c r="B13" i="94"/>
  <c r="T12" i="94"/>
  <c r="P12" i="94"/>
  <c r="R49" i="94" s="1"/>
  <c r="D6" i="94"/>
  <c r="D4" i="94"/>
  <c r="Z77" i="93"/>
  <c r="X77" i="93"/>
  <c r="N77" i="93"/>
  <c r="L77" i="93"/>
  <c r="T73" i="93"/>
  <c r="P73" i="93"/>
  <c r="X73" i="93" s="1"/>
  <c r="N73" i="93"/>
  <c r="H73" i="93"/>
  <c r="L73" i="93" s="1"/>
  <c r="D73" i="93"/>
  <c r="B73" i="93"/>
  <c r="T72" i="93"/>
  <c r="P72" i="93"/>
  <c r="L72" i="93"/>
  <c r="H72" i="93"/>
  <c r="D72" i="93"/>
  <c r="X70" i="93"/>
  <c r="Z70" i="93" s="1"/>
  <c r="R70" i="93"/>
  <c r="N70" i="93"/>
  <c r="L70" i="93"/>
  <c r="B70" i="93"/>
  <c r="Z69" i="93"/>
  <c r="T69" i="93"/>
  <c r="P69" i="93"/>
  <c r="X69" i="93" s="1"/>
  <c r="N69" i="93"/>
  <c r="H69" i="93"/>
  <c r="D69" i="93"/>
  <c r="L69" i="93" s="1"/>
  <c r="B69" i="93"/>
  <c r="Z68" i="93"/>
  <c r="X68" i="93"/>
  <c r="N68" i="93"/>
  <c r="L68" i="93"/>
  <c r="B68" i="93"/>
  <c r="Z67" i="93"/>
  <c r="X67" i="93"/>
  <c r="T67" i="93"/>
  <c r="P67" i="93"/>
  <c r="L67" i="93"/>
  <c r="H67" i="93"/>
  <c r="N67" i="93" s="1"/>
  <c r="D67" i="93"/>
  <c r="B67" i="93"/>
  <c r="X66" i="93"/>
  <c r="Z66" i="93" s="1"/>
  <c r="L66" i="93"/>
  <c r="N66" i="93" s="1"/>
  <c r="B66" i="93"/>
  <c r="Z65" i="93"/>
  <c r="T65" i="93"/>
  <c r="X65" i="93" s="1"/>
  <c r="P65" i="93"/>
  <c r="H65" i="93"/>
  <c r="N65" i="93" s="1"/>
  <c r="D65" i="93"/>
  <c r="L65" i="93" s="1"/>
  <c r="B65" i="93"/>
  <c r="X64" i="93"/>
  <c r="Z64" i="93" s="1"/>
  <c r="R64" i="93"/>
  <c r="N64" i="93"/>
  <c r="L64" i="93"/>
  <c r="B64" i="93"/>
  <c r="Z63" i="93"/>
  <c r="X63" i="93"/>
  <c r="N63" i="93"/>
  <c r="L63" i="93"/>
  <c r="B63" i="93"/>
  <c r="Z62" i="93"/>
  <c r="X62" i="93"/>
  <c r="N62" i="93"/>
  <c r="L62" i="93"/>
  <c r="B62" i="93"/>
  <c r="Z61" i="93"/>
  <c r="X61" i="93"/>
  <c r="L61" i="93"/>
  <c r="N61" i="93" s="1"/>
  <c r="B61" i="93"/>
  <c r="X60" i="93"/>
  <c r="Z60" i="93" s="1"/>
  <c r="L60" i="93"/>
  <c r="N60" i="93" s="1"/>
  <c r="B60" i="93"/>
  <c r="Z59" i="93"/>
  <c r="X59" i="93"/>
  <c r="N59" i="93"/>
  <c r="L59" i="93"/>
  <c r="B59" i="93"/>
  <c r="T58" i="93"/>
  <c r="P58" i="93"/>
  <c r="L58" i="93"/>
  <c r="H58" i="93"/>
  <c r="D58" i="93"/>
  <c r="B58" i="93"/>
  <c r="X57" i="93"/>
  <c r="Z57" i="93" s="1"/>
  <c r="N57" i="93"/>
  <c r="L57" i="93"/>
  <c r="B57" i="93"/>
  <c r="X56" i="93"/>
  <c r="Z56" i="93" s="1"/>
  <c r="L56" i="93"/>
  <c r="N56" i="93" s="1"/>
  <c r="B56" i="93"/>
  <c r="X55" i="93"/>
  <c r="Z55" i="93" s="1"/>
  <c r="T55" i="93"/>
  <c r="P55" i="93"/>
  <c r="L55" i="93"/>
  <c r="H55" i="93"/>
  <c r="D55" i="93"/>
  <c r="B55" i="93"/>
  <c r="Z54" i="93"/>
  <c r="X54" i="93"/>
  <c r="N54" i="93"/>
  <c r="L54" i="93"/>
  <c r="B54" i="93"/>
  <c r="Z53" i="93"/>
  <c r="X53" i="93"/>
  <c r="N53" i="93"/>
  <c r="L53" i="93"/>
  <c r="B53" i="93"/>
  <c r="Z52" i="93"/>
  <c r="X52" i="93"/>
  <c r="R52" i="93"/>
  <c r="N52" i="93"/>
  <c r="L52" i="93"/>
  <c r="B52" i="93"/>
  <c r="T51" i="93"/>
  <c r="P51" i="93"/>
  <c r="N51" i="93"/>
  <c r="H51" i="93"/>
  <c r="L51" i="93" s="1"/>
  <c r="D51" i="93"/>
  <c r="B51" i="93"/>
  <c r="Z50" i="93"/>
  <c r="X50" i="93"/>
  <c r="N50" i="93"/>
  <c r="L50" i="93"/>
  <c r="B50" i="93"/>
  <c r="T49" i="93"/>
  <c r="P49" i="93"/>
  <c r="X49" i="93" s="1"/>
  <c r="Z49" i="93" s="1"/>
  <c r="N49" i="93"/>
  <c r="H49" i="93"/>
  <c r="D49" i="93"/>
  <c r="L49" i="93" s="1"/>
  <c r="B49" i="93"/>
  <c r="X48" i="93"/>
  <c r="Z48" i="93" s="1"/>
  <c r="L48" i="93"/>
  <c r="N48" i="93" s="1"/>
  <c r="B48" i="93"/>
  <c r="Z47" i="93"/>
  <c r="X47" i="93"/>
  <c r="T47" i="93"/>
  <c r="P47" i="93"/>
  <c r="H47" i="93"/>
  <c r="D47" i="93"/>
  <c r="B47" i="93"/>
  <c r="X46" i="93"/>
  <c r="Z46" i="93" s="1"/>
  <c r="N46" i="93"/>
  <c r="L46" i="93"/>
  <c r="B46" i="93"/>
  <c r="Z45" i="93"/>
  <c r="T45" i="93"/>
  <c r="X45" i="93" s="1"/>
  <c r="P45" i="93"/>
  <c r="H45" i="93"/>
  <c r="D45" i="93"/>
  <c r="B45" i="93"/>
  <c r="X44" i="93"/>
  <c r="Z44" i="93" s="1"/>
  <c r="L44" i="93"/>
  <c r="N44" i="93" s="1"/>
  <c r="B44" i="93"/>
  <c r="Z43" i="93"/>
  <c r="X43" i="93"/>
  <c r="T43" i="93"/>
  <c r="P43" i="93"/>
  <c r="N43" i="93"/>
  <c r="H43" i="93"/>
  <c r="D43" i="93"/>
  <c r="L43" i="93" s="1"/>
  <c r="B43" i="93"/>
  <c r="X42" i="93"/>
  <c r="Z42" i="93" s="1"/>
  <c r="R42" i="93"/>
  <c r="L42" i="93"/>
  <c r="N42" i="93" s="1"/>
  <c r="B42" i="93"/>
  <c r="X41" i="93"/>
  <c r="T41" i="93"/>
  <c r="P41" i="93"/>
  <c r="L41" i="93"/>
  <c r="N41" i="93" s="1"/>
  <c r="H41" i="93"/>
  <c r="D41" i="93"/>
  <c r="B41" i="93"/>
  <c r="Z40" i="93"/>
  <c r="X40" i="93"/>
  <c r="N40" i="93"/>
  <c r="L40" i="93"/>
  <c r="B40" i="93"/>
  <c r="T39" i="93"/>
  <c r="P39" i="93"/>
  <c r="X39" i="93" s="1"/>
  <c r="Z39" i="93" s="1"/>
  <c r="L39" i="93"/>
  <c r="H39" i="93"/>
  <c r="N39" i="93" s="1"/>
  <c r="D39" i="93"/>
  <c r="B39" i="93"/>
  <c r="Z38" i="93"/>
  <c r="X38" i="93"/>
  <c r="N38" i="93"/>
  <c r="L38" i="93"/>
  <c r="B38" i="93"/>
  <c r="Z37" i="93"/>
  <c r="X37" i="93"/>
  <c r="L37" i="93"/>
  <c r="N37" i="93" s="1"/>
  <c r="B37" i="93"/>
  <c r="X36" i="93"/>
  <c r="Z36" i="93" s="1"/>
  <c r="L36" i="93"/>
  <c r="N36" i="93" s="1"/>
  <c r="B36" i="93"/>
  <c r="Z35" i="93"/>
  <c r="X35" i="93"/>
  <c r="N35" i="93"/>
  <c r="L35" i="93"/>
  <c r="B35" i="93"/>
  <c r="Z34" i="93"/>
  <c r="X34" i="93"/>
  <c r="N34" i="93"/>
  <c r="L34" i="93"/>
  <c r="B34" i="93"/>
  <c r="Z33" i="93"/>
  <c r="X33" i="93"/>
  <c r="N33" i="93"/>
  <c r="L33" i="93"/>
  <c r="B33" i="93"/>
  <c r="X32" i="93"/>
  <c r="Z32" i="93" s="1"/>
  <c r="T32" i="93"/>
  <c r="P32" i="93"/>
  <c r="H32" i="93"/>
  <c r="D32" i="93"/>
  <c r="L32" i="93" s="1"/>
  <c r="B32" i="93"/>
  <c r="X31" i="93"/>
  <c r="Z31" i="93" s="1"/>
  <c r="L31" i="93"/>
  <c r="N31" i="93" s="1"/>
  <c r="B31" i="93"/>
  <c r="Z30" i="93"/>
  <c r="X30" i="93"/>
  <c r="L30" i="93"/>
  <c r="N30" i="93" s="1"/>
  <c r="B30" i="93"/>
  <c r="Z29" i="93"/>
  <c r="X29" i="93"/>
  <c r="R29" i="93"/>
  <c r="N29" i="93"/>
  <c r="L29" i="93"/>
  <c r="B29" i="93"/>
  <c r="X28" i="93"/>
  <c r="Z28" i="93" s="1"/>
  <c r="N28" i="93"/>
  <c r="L28" i="93"/>
  <c r="B28" i="93"/>
  <c r="X27" i="93"/>
  <c r="Z27" i="93" s="1"/>
  <c r="L27" i="93"/>
  <c r="N27" i="93" s="1"/>
  <c r="B27" i="93"/>
  <c r="X26" i="93"/>
  <c r="Z26" i="93" s="1"/>
  <c r="R26" i="93"/>
  <c r="L26" i="93"/>
  <c r="N26" i="93" s="1"/>
  <c r="B26" i="93"/>
  <c r="X25" i="93"/>
  <c r="Z25" i="93" s="1"/>
  <c r="L25" i="93"/>
  <c r="N25" i="93" s="1"/>
  <c r="B25" i="93"/>
  <c r="X24" i="93"/>
  <c r="Z24" i="93" s="1"/>
  <c r="L24" i="93"/>
  <c r="N24" i="93" s="1"/>
  <c r="B24" i="93"/>
  <c r="X23" i="93"/>
  <c r="Z23" i="93" s="1"/>
  <c r="T23" i="93"/>
  <c r="P23" i="93"/>
  <c r="L23" i="93"/>
  <c r="N23" i="93" s="1"/>
  <c r="H23" i="93"/>
  <c r="D23" i="93"/>
  <c r="B23" i="93"/>
  <c r="X22" i="93"/>
  <c r="Z22" i="93" s="1"/>
  <c r="T22" i="93"/>
  <c r="P22" i="93"/>
  <c r="L22" i="93"/>
  <c r="H22" i="93"/>
  <c r="N22" i="93" s="1"/>
  <c r="D22" i="93"/>
  <c r="X18" i="93"/>
  <c r="Z18" i="93" s="1"/>
  <c r="L18" i="93"/>
  <c r="N18" i="93" s="1"/>
  <c r="B18" i="93"/>
  <c r="Z17" i="93"/>
  <c r="X17" i="93"/>
  <c r="R17" i="93"/>
  <c r="N17" i="93"/>
  <c r="L17" i="93"/>
  <c r="B17" i="93"/>
  <c r="X16" i="93"/>
  <c r="T16" i="93"/>
  <c r="Z16" i="93" s="1"/>
  <c r="P16" i="93"/>
  <c r="L16" i="93"/>
  <c r="N16" i="93" s="1"/>
  <c r="H16" i="93"/>
  <c r="D16" i="93"/>
  <c r="X14" i="93"/>
  <c r="Z14" i="93" s="1"/>
  <c r="T14" i="93"/>
  <c r="P14" i="93"/>
  <c r="H14" i="93"/>
  <c r="D14" i="93"/>
  <c r="B14" i="93"/>
  <c r="T13" i="93"/>
  <c r="T12" i="93" s="1"/>
  <c r="P13" i="93"/>
  <c r="P12" i="93" s="1"/>
  <c r="R45" i="93" s="1"/>
  <c r="H13" i="93"/>
  <c r="D13" i="93"/>
  <c r="L13" i="93" s="1"/>
  <c r="N13" i="93" s="1"/>
  <c r="B13" i="93"/>
  <c r="D6" i="93"/>
  <c r="D4" i="93"/>
  <c r="X82" i="92"/>
  <c r="Z82" i="92" s="1"/>
  <c r="L82" i="92"/>
  <c r="N82" i="92" s="1"/>
  <c r="T78" i="92"/>
  <c r="Z78" i="92" s="1"/>
  <c r="P78" i="92"/>
  <c r="N78" i="92"/>
  <c r="L78" i="92"/>
  <c r="H78" i="92"/>
  <c r="D78" i="92"/>
  <c r="X76" i="92"/>
  <c r="Z76" i="92" s="1"/>
  <c r="N76" i="92"/>
  <c r="L76" i="92"/>
  <c r="B76" i="92"/>
  <c r="T75" i="92"/>
  <c r="P75" i="92"/>
  <c r="X75" i="92" s="1"/>
  <c r="H75" i="92"/>
  <c r="D75" i="92"/>
  <c r="B75" i="92"/>
  <c r="X74" i="92"/>
  <c r="Z74" i="92" s="1"/>
  <c r="L74" i="92"/>
  <c r="N74" i="92" s="1"/>
  <c r="B74" i="92"/>
  <c r="T73" i="92"/>
  <c r="P73" i="92"/>
  <c r="X73" i="92" s="1"/>
  <c r="Z73" i="92" s="1"/>
  <c r="H73" i="92"/>
  <c r="D73" i="92"/>
  <c r="L73" i="92" s="1"/>
  <c r="N73" i="92" s="1"/>
  <c r="B73" i="92"/>
  <c r="X72" i="92"/>
  <c r="Z72" i="92" s="1"/>
  <c r="N72" i="92"/>
  <c r="L72" i="92"/>
  <c r="B72" i="92"/>
  <c r="X71" i="92"/>
  <c r="Z71" i="92" s="1"/>
  <c r="N71" i="92"/>
  <c r="L71" i="92"/>
  <c r="B71" i="92"/>
  <c r="X70" i="92"/>
  <c r="Z70" i="92" s="1"/>
  <c r="N70" i="92"/>
  <c r="L70" i="92"/>
  <c r="B70" i="92"/>
  <c r="X69" i="92"/>
  <c r="Z69" i="92" s="1"/>
  <c r="N69" i="92"/>
  <c r="L69" i="92"/>
  <c r="B69" i="92"/>
  <c r="X68" i="92"/>
  <c r="Z68" i="92" s="1"/>
  <c r="L68" i="92"/>
  <c r="N68" i="92" s="1"/>
  <c r="B68" i="92"/>
  <c r="X67" i="92"/>
  <c r="Z67" i="92" s="1"/>
  <c r="N67" i="92"/>
  <c r="L67" i="92"/>
  <c r="B67" i="92"/>
  <c r="X66" i="92"/>
  <c r="Z66" i="92" s="1"/>
  <c r="N66" i="92"/>
  <c r="L66" i="92"/>
  <c r="B66" i="92"/>
  <c r="X65" i="92"/>
  <c r="Z65" i="92" s="1"/>
  <c r="N65" i="92"/>
  <c r="L65" i="92"/>
  <c r="B65" i="92"/>
  <c r="T64" i="92"/>
  <c r="P64" i="92"/>
  <c r="X64" i="92" s="1"/>
  <c r="H64" i="92"/>
  <c r="N64" i="92" s="1"/>
  <c r="D64" i="92"/>
  <c r="L64" i="92" s="1"/>
  <c r="B64" i="92"/>
  <c r="Z63" i="92"/>
  <c r="X63" i="92"/>
  <c r="N63" i="92"/>
  <c r="L63" i="92"/>
  <c r="B63" i="92"/>
  <c r="Z62" i="92"/>
  <c r="X62" i="92"/>
  <c r="L62" i="92"/>
  <c r="N62" i="92" s="1"/>
  <c r="B62" i="92"/>
  <c r="Z61" i="92"/>
  <c r="X61" i="92"/>
  <c r="N61" i="92"/>
  <c r="L61" i="92"/>
  <c r="B61" i="92"/>
  <c r="X60" i="92"/>
  <c r="T60" i="92"/>
  <c r="Z60" i="92" s="1"/>
  <c r="P60" i="92"/>
  <c r="L60" i="92"/>
  <c r="N60" i="92" s="1"/>
  <c r="H60" i="92"/>
  <c r="D60" i="92"/>
  <c r="B60" i="92"/>
  <c r="Z59" i="92"/>
  <c r="X59" i="92"/>
  <c r="N59" i="92"/>
  <c r="L59" i="92"/>
  <c r="B59" i="92"/>
  <c r="T58" i="92"/>
  <c r="Z58" i="92" s="1"/>
  <c r="P58" i="92"/>
  <c r="X58" i="92" s="1"/>
  <c r="H58" i="92"/>
  <c r="D58" i="92"/>
  <c r="B58" i="92"/>
  <c r="X57" i="92"/>
  <c r="Z57" i="92" s="1"/>
  <c r="N57" i="92"/>
  <c r="L57" i="92"/>
  <c r="B57" i="92"/>
  <c r="X56" i="92"/>
  <c r="Z56" i="92" s="1"/>
  <c r="L56" i="92"/>
  <c r="N56" i="92" s="1"/>
  <c r="B56" i="92"/>
  <c r="X55" i="92"/>
  <c r="Z55" i="92" s="1"/>
  <c r="V55" i="92"/>
  <c r="N55" i="92"/>
  <c r="L55" i="92"/>
  <c r="B55" i="92"/>
  <c r="T54" i="92"/>
  <c r="Z54" i="92" s="1"/>
  <c r="P54" i="92"/>
  <c r="X54" i="92" s="1"/>
  <c r="H54" i="92"/>
  <c r="N54" i="92" s="1"/>
  <c r="D54" i="92"/>
  <c r="L54" i="92" s="1"/>
  <c r="B54" i="92"/>
  <c r="Z53" i="92"/>
  <c r="X53" i="92"/>
  <c r="N53" i="92"/>
  <c r="L53" i="92"/>
  <c r="B53" i="92"/>
  <c r="X52" i="92"/>
  <c r="T52" i="92"/>
  <c r="Z52" i="92" s="1"/>
  <c r="P52" i="92"/>
  <c r="N52" i="92"/>
  <c r="L52" i="92"/>
  <c r="H52" i="92"/>
  <c r="D52" i="92"/>
  <c r="B52" i="92"/>
  <c r="Z51" i="92"/>
  <c r="X51" i="92"/>
  <c r="L51" i="92"/>
  <c r="N51" i="92" s="1"/>
  <c r="B51" i="92"/>
  <c r="T50" i="92"/>
  <c r="P50" i="92"/>
  <c r="X50" i="92" s="1"/>
  <c r="H50" i="92"/>
  <c r="D50" i="92"/>
  <c r="B50" i="92"/>
  <c r="X49" i="92"/>
  <c r="Z49" i="92" s="1"/>
  <c r="N49" i="92"/>
  <c r="L49" i="92"/>
  <c r="B49" i="92"/>
  <c r="T48" i="92"/>
  <c r="Z48" i="92" s="1"/>
  <c r="P48" i="92"/>
  <c r="X48" i="92" s="1"/>
  <c r="H48" i="92"/>
  <c r="N48" i="92" s="1"/>
  <c r="D48" i="92"/>
  <c r="L48" i="92" s="1"/>
  <c r="B48" i="92"/>
  <c r="Z47" i="92"/>
  <c r="X47" i="92"/>
  <c r="N47" i="92"/>
  <c r="L47" i="92"/>
  <c r="B47" i="92"/>
  <c r="X46" i="92"/>
  <c r="Z46" i="92" s="1"/>
  <c r="T46" i="92"/>
  <c r="P46" i="92"/>
  <c r="L46" i="92"/>
  <c r="H46" i="92"/>
  <c r="N46" i="92" s="1"/>
  <c r="D46" i="92"/>
  <c r="B46" i="92"/>
  <c r="Z45" i="92"/>
  <c r="X45" i="92"/>
  <c r="L45" i="92"/>
  <c r="N45" i="92" s="1"/>
  <c r="B45" i="92"/>
  <c r="T44" i="92"/>
  <c r="P44" i="92"/>
  <c r="H44" i="92"/>
  <c r="D44" i="92"/>
  <c r="L44" i="92" s="1"/>
  <c r="B44" i="92"/>
  <c r="X43" i="92"/>
  <c r="Z43" i="92" s="1"/>
  <c r="N43" i="92"/>
  <c r="L43" i="92"/>
  <c r="B43" i="92"/>
  <c r="T42" i="92"/>
  <c r="P42" i="92"/>
  <c r="X42" i="92" s="1"/>
  <c r="H42" i="92"/>
  <c r="D42" i="92"/>
  <c r="L42" i="92" s="1"/>
  <c r="B42" i="92"/>
  <c r="Z41" i="92"/>
  <c r="X41" i="92"/>
  <c r="N41" i="92"/>
  <c r="L41" i="92"/>
  <c r="B41" i="92"/>
  <c r="X40" i="92"/>
  <c r="T40" i="92"/>
  <c r="Z40" i="92" s="1"/>
  <c r="P40" i="92"/>
  <c r="L40" i="92"/>
  <c r="N40" i="92" s="1"/>
  <c r="H40" i="92"/>
  <c r="D40" i="92"/>
  <c r="B40" i="92"/>
  <c r="Z39" i="92"/>
  <c r="X39" i="92"/>
  <c r="L39" i="92"/>
  <c r="N39" i="92" s="1"/>
  <c r="B39" i="92"/>
  <c r="X38" i="92"/>
  <c r="Z38" i="92" s="1"/>
  <c r="L38" i="92"/>
  <c r="N38" i="92" s="1"/>
  <c r="B38" i="92"/>
  <c r="Z37" i="92"/>
  <c r="X37" i="92"/>
  <c r="L37" i="92"/>
  <c r="N37" i="92" s="1"/>
  <c r="B37" i="92"/>
  <c r="X36" i="92"/>
  <c r="Z36" i="92" s="1"/>
  <c r="V36" i="92"/>
  <c r="L36" i="92"/>
  <c r="N36" i="92" s="1"/>
  <c r="B36" i="92"/>
  <c r="Z35" i="92"/>
  <c r="X35" i="92"/>
  <c r="L35" i="92"/>
  <c r="N35" i="92" s="1"/>
  <c r="B35" i="92"/>
  <c r="X34" i="92"/>
  <c r="Z34" i="92" s="1"/>
  <c r="L34" i="92"/>
  <c r="N34" i="92" s="1"/>
  <c r="B34" i="92"/>
  <c r="T33" i="92"/>
  <c r="P33" i="92"/>
  <c r="X33" i="92" s="1"/>
  <c r="Z33" i="92" s="1"/>
  <c r="H33" i="92"/>
  <c r="D33" i="92"/>
  <c r="L33" i="92" s="1"/>
  <c r="N33" i="92" s="1"/>
  <c r="B33" i="92"/>
  <c r="X32" i="92"/>
  <c r="Z32" i="92" s="1"/>
  <c r="L32" i="92"/>
  <c r="N32" i="92" s="1"/>
  <c r="B32" i="92"/>
  <c r="X31" i="92"/>
  <c r="Z31" i="92" s="1"/>
  <c r="V31" i="92"/>
  <c r="N31" i="92"/>
  <c r="L31" i="92"/>
  <c r="B31" i="92"/>
  <c r="X30" i="92"/>
  <c r="Z30" i="92" s="1"/>
  <c r="L30" i="92"/>
  <c r="N30" i="92" s="1"/>
  <c r="B30" i="92"/>
  <c r="X29" i="92"/>
  <c r="Z29" i="92" s="1"/>
  <c r="N29" i="92"/>
  <c r="L29" i="92"/>
  <c r="B29" i="92"/>
  <c r="X28" i="92"/>
  <c r="Z28" i="92" s="1"/>
  <c r="L28" i="92"/>
  <c r="N28" i="92" s="1"/>
  <c r="B28" i="92"/>
  <c r="X27" i="92"/>
  <c r="Z27" i="92" s="1"/>
  <c r="N27" i="92"/>
  <c r="L27" i="92"/>
  <c r="B27" i="92"/>
  <c r="X26" i="92"/>
  <c r="Z26" i="92" s="1"/>
  <c r="L26" i="92"/>
  <c r="N26" i="92" s="1"/>
  <c r="B26" i="92"/>
  <c r="X25" i="92"/>
  <c r="Z25" i="92" s="1"/>
  <c r="N25" i="92"/>
  <c r="L25" i="92"/>
  <c r="B25" i="92"/>
  <c r="T24" i="92"/>
  <c r="P24" i="92"/>
  <c r="X24" i="92" s="1"/>
  <c r="H24" i="92"/>
  <c r="D24" i="92"/>
  <c r="L24" i="92" s="1"/>
  <c r="B24" i="92"/>
  <c r="T23" i="92"/>
  <c r="P23" i="92"/>
  <c r="X23" i="92" s="1"/>
  <c r="H23" i="92"/>
  <c r="D23" i="92"/>
  <c r="Z19" i="92"/>
  <c r="X19" i="92"/>
  <c r="N19" i="92"/>
  <c r="L19" i="92"/>
  <c r="B19" i="92"/>
  <c r="X18" i="92"/>
  <c r="Z18" i="92" s="1"/>
  <c r="L18" i="92"/>
  <c r="N18" i="92" s="1"/>
  <c r="B18" i="92"/>
  <c r="T17" i="92"/>
  <c r="P17" i="92"/>
  <c r="H17" i="92"/>
  <c r="D17" i="92"/>
  <c r="L17" i="92" s="1"/>
  <c r="T15" i="92"/>
  <c r="P15" i="92"/>
  <c r="X15" i="92" s="1"/>
  <c r="Z15" i="92" s="1"/>
  <c r="N15" i="92"/>
  <c r="H15" i="92"/>
  <c r="L15" i="92" s="1"/>
  <c r="D15" i="92"/>
  <c r="B15" i="92"/>
  <c r="X14" i="92"/>
  <c r="Z14" i="92" s="1"/>
  <c r="T14" i="92"/>
  <c r="P14" i="92"/>
  <c r="H14" i="92"/>
  <c r="D14" i="92"/>
  <c r="B14" i="92"/>
  <c r="T13" i="92"/>
  <c r="T12" i="92" s="1"/>
  <c r="P13" i="92"/>
  <c r="P12" i="92" s="1"/>
  <c r="R36" i="92" s="1"/>
  <c r="N13" i="92"/>
  <c r="H13" i="92"/>
  <c r="D13" i="92"/>
  <c r="L13" i="92" s="1"/>
  <c r="B13" i="92"/>
  <c r="D6" i="92"/>
  <c r="D4" i="92"/>
  <c r="V101" i="91"/>
  <c r="Z99" i="91"/>
  <c r="X99" i="91"/>
  <c r="N99" i="91"/>
  <c r="L99" i="91"/>
  <c r="X95" i="91"/>
  <c r="T95" i="91"/>
  <c r="P95" i="91"/>
  <c r="N95" i="91"/>
  <c r="L95" i="91"/>
  <c r="H95" i="91"/>
  <c r="D95" i="91"/>
  <c r="B95" i="91"/>
  <c r="T94" i="91"/>
  <c r="P94" i="91"/>
  <c r="N94" i="91"/>
  <c r="H94" i="91"/>
  <c r="D94" i="91"/>
  <c r="L94" i="91" s="1"/>
  <c r="B94" i="91"/>
  <c r="H93" i="91"/>
  <c r="F93" i="91"/>
  <c r="D93" i="91"/>
  <c r="L93" i="91" s="1"/>
  <c r="X91" i="91"/>
  <c r="Z91" i="91" s="1"/>
  <c r="N91" i="91"/>
  <c r="L91" i="91"/>
  <c r="B91" i="91"/>
  <c r="X90" i="91"/>
  <c r="Z90" i="91" s="1"/>
  <c r="T90" i="91"/>
  <c r="P90" i="91"/>
  <c r="L90" i="91"/>
  <c r="N90" i="91" s="1"/>
  <c r="H90" i="91"/>
  <c r="D90" i="91"/>
  <c r="B90" i="91"/>
  <c r="Z89" i="91"/>
  <c r="X89" i="91"/>
  <c r="L89" i="91"/>
  <c r="N89" i="91" s="1"/>
  <c r="B89" i="91"/>
  <c r="Z88" i="91"/>
  <c r="X88" i="91"/>
  <c r="N88" i="91"/>
  <c r="L88" i="91"/>
  <c r="B88" i="91"/>
  <c r="X87" i="91"/>
  <c r="Z87" i="91" s="1"/>
  <c r="L87" i="91"/>
  <c r="N87" i="91" s="1"/>
  <c r="B87" i="91"/>
  <c r="Z86" i="91"/>
  <c r="T86" i="91"/>
  <c r="X86" i="91" s="1"/>
  <c r="R86" i="91"/>
  <c r="P86" i="91"/>
  <c r="H86" i="91"/>
  <c r="D86" i="91"/>
  <c r="B86" i="91"/>
  <c r="X85" i="91"/>
  <c r="Z85" i="91" s="1"/>
  <c r="N85" i="91"/>
  <c r="L85" i="91"/>
  <c r="B85" i="91"/>
  <c r="Z84" i="91"/>
  <c r="V84" i="91"/>
  <c r="T84" i="91"/>
  <c r="P84" i="91"/>
  <c r="X84" i="91" s="1"/>
  <c r="N84" i="91"/>
  <c r="H84" i="91"/>
  <c r="D84" i="91"/>
  <c r="L84" i="91" s="1"/>
  <c r="B84" i="91"/>
  <c r="X83" i="91"/>
  <c r="Z83" i="91" s="1"/>
  <c r="L83" i="91"/>
  <c r="N83" i="91" s="1"/>
  <c r="B83" i="91"/>
  <c r="X82" i="91"/>
  <c r="Z82" i="91" s="1"/>
  <c r="V82" i="91"/>
  <c r="T82" i="91"/>
  <c r="P82" i="91"/>
  <c r="L82" i="91"/>
  <c r="N82" i="91" s="1"/>
  <c r="H82" i="91"/>
  <c r="D82" i="91"/>
  <c r="B82" i="91"/>
  <c r="Z81" i="91"/>
  <c r="X81" i="91"/>
  <c r="R81" i="91"/>
  <c r="N81" i="91"/>
  <c r="L81" i="91"/>
  <c r="B81" i="91"/>
  <c r="Z80" i="91"/>
  <c r="X80" i="91"/>
  <c r="N80" i="91"/>
  <c r="L80" i="91"/>
  <c r="B80" i="91"/>
  <c r="Z79" i="91"/>
  <c r="X79" i="91"/>
  <c r="N79" i="91"/>
  <c r="L79" i="91"/>
  <c r="B79" i="91"/>
  <c r="Z78" i="91"/>
  <c r="X78" i="91"/>
  <c r="N78" i="91"/>
  <c r="L78" i="91"/>
  <c r="B78" i="91"/>
  <c r="Z77" i="91"/>
  <c r="X77" i="91"/>
  <c r="L77" i="91"/>
  <c r="N77" i="91" s="1"/>
  <c r="B77" i="91"/>
  <c r="Z76" i="91"/>
  <c r="X76" i="91"/>
  <c r="N76" i="91"/>
  <c r="L76" i="91"/>
  <c r="J76" i="91"/>
  <c r="B76" i="91"/>
  <c r="X75" i="91"/>
  <c r="Z75" i="91" s="1"/>
  <c r="L75" i="91"/>
  <c r="N75" i="91" s="1"/>
  <c r="B75" i="91"/>
  <c r="Z74" i="91"/>
  <c r="X74" i="91"/>
  <c r="V74" i="91"/>
  <c r="R74" i="91"/>
  <c r="N74" i="91"/>
  <c r="L74" i="91"/>
  <c r="B74" i="91"/>
  <c r="Z73" i="91"/>
  <c r="X73" i="91"/>
  <c r="N73" i="91"/>
  <c r="L73" i="91"/>
  <c r="F73" i="91"/>
  <c r="B73" i="91"/>
  <c r="T72" i="91"/>
  <c r="R72" i="91"/>
  <c r="P72" i="91"/>
  <c r="N72" i="91"/>
  <c r="H72" i="91"/>
  <c r="L72" i="91" s="1"/>
  <c r="D72" i="91"/>
  <c r="B72" i="91"/>
  <c r="X71" i="91"/>
  <c r="Z71" i="91" s="1"/>
  <c r="R71" i="91"/>
  <c r="N71" i="91"/>
  <c r="L71" i="91"/>
  <c r="B71" i="91"/>
  <c r="Z70" i="91"/>
  <c r="X70" i="91"/>
  <c r="N70" i="91"/>
  <c r="L70" i="91"/>
  <c r="B70" i="91"/>
  <c r="V69" i="91"/>
  <c r="T69" i="91"/>
  <c r="P69" i="91"/>
  <c r="H69" i="91"/>
  <c r="N69" i="91" s="1"/>
  <c r="D69" i="91"/>
  <c r="L69" i="91" s="1"/>
  <c r="B69" i="91"/>
  <c r="X68" i="91"/>
  <c r="Z68" i="91" s="1"/>
  <c r="N68" i="91"/>
  <c r="L68" i="91"/>
  <c r="F68" i="91"/>
  <c r="B68" i="91"/>
  <c r="X67" i="91"/>
  <c r="Z67" i="91" s="1"/>
  <c r="L67" i="91"/>
  <c r="N67" i="91" s="1"/>
  <c r="B67" i="91"/>
  <c r="X66" i="91"/>
  <c r="Z66" i="91" s="1"/>
  <c r="N66" i="91"/>
  <c r="L66" i="91"/>
  <c r="F66" i="91"/>
  <c r="B66" i="91"/>
  <c r="X65" i="91"/>
  <c r="Z65" i="91" s="1"/>
  <c r="L65" i="91"/>
  <c r="N65" i="91" s="1"/>
  <c r="F65" i="91"/>
  <c r="B65" i="91"/>
  <c r="X64" i="91"/>
  <c r="Z64" i="91" s="1"/>
  <c r="N64" i="91"/>
  <c r="L64" i="91"/>
  <c r="F64" i="91"/>
  <c r="B64" i="91"/>
  <c r="X63" i="91"/>
  <c r="T63" i="91"/>
  <c r="P63" i="91"/>
  <c r="H63" i="91"/>
  <c r="D63" i="91"/>
  <c r="L63" i="91" s="1"/>
  <c r="B63" i="91"/>
  <c r="Z62" i="91"/>
  <c r="X62" i="91"/>
  <c r="V62" i="91"/>
  <c r="R62" i="91"/>
  <c r="N62" i="91"/>
  <c r="L62" i="91"/>
  <c r="B62" i="91"/>
  <c r="Z61" i="91"/>
  <c r="X61" i="91"/>
  <c r="L61" i="91"/>
  <c r="N61" i="91" s="1"/>
  <c r="F61" i="91"/>
  <c r="B61" i="91"/>
  <c r="Z60" i="91"/>
  <c r="X60" i="91"/>
  <c r="V60" i="91"/>
  <c r="N60" i="91"/>
  <c r="L60" i="91"/>
  <c r="B60" i="91"/>
  <c r="Z59" i="91"/>
  <c r="X59" i="91"/>
  <c r="N59" i="91"/>
  <c r="L59" i="91"/>
  <c r="F59" i="91"/>
  <c r="B59" i="91"/>
  <c r="T58" i="91"/>
  <c r="X58" i="91" s="1"/>
  <c r="P58" i="91"/>
  <c r="H58" i="91"/>
  <c r="F58" i="91"/>
  <c r="D58" i="91"/>
  <c r="B58" i="91"/>
  <c r="Z57" i="91"/>
  <c r="X57" i="91"/>
  <c r="N57" i="91"/>
  <c r="L57" i="91"/>
  <c r="F57" i="91"/>
  <c r="B57" i="91"/>
  <c r="Z56" i="91"/>
  <c r="T56" i="91"/>
  <c r="R56" i="91"/>
  <c r="P56" i="91"/>
  <c r="X56" i="91" s="1"/>
  <c r="N56" i="91"/>
  <c r="H56" i="91"/>
  <c r="F56" i="91"/>
  <c r="D56" i="91"/>
  <c r="L56" i="91" s="1"/>
  <c r="B56" i="91"/>
  <c r="X55" i="91"/>
  <c r="Z55" i="91" s="1"/>
  <c r="L55" i="91"/>
  <c r="N55" i="91" s="1"/>
  <c r="B55" i="91"/>
  <c r="X54" i="91"/>
  <c r="Z54" i="91" s="1"/>
  <c r="V54" i="91"/>
  <c r="T54" i="91"/>
  <c r="P54" i="91"/>
  <c r="L54" i="91"/>
  <c r="N54" i="91" s="1"/>
  <c r="H54" i="91"/>
  <c r="D54" i="91"/>
  <c r="B54" i="91"/>
  <c r="X53" i="91"/>
  <c r="Z53" i="91" s="1"/>
  <c r="R53" i="91"/>
  <c r="N53" i="91"/>
  <c r="L53" i="91"/>
  <c r="B53" i="91"/>
  <c r="T52" i="91"/>
  <c r="P52" i="91"/>
  <c r="H52" i="91"/>
  <c r="L52" i="91" s="1"/>
  <c r="D52" i="91"/>
  <c r="B52" i="91"/>
  <c r="X51" i="91"/>
  <c r="Z51" i="91" s="1"/>
  <c r="N51" i="91"/>
  <c r="L51" i="91"/>
  <c r="F51" i="91"/>
  <c r="B51" i="91"/>
  <c r="Z50" i="91"/>
  <c r="T50" i="91"/>
  <c r="P50" i="91"/>
  <c r="X50" i="91" s="1"/>
  <c r="N50" i="91"/>
  <c r="H50" i="91"/>
  <c r="F50" i="91"/>
  <c r="D50" i="91"/>
  <c r="L50" i="91" s="1"/>
  <c r="B50" i="91"/>
  <c r="X49" i="91"/>
  <c r="Z49" i="91" s="1"/>
  <c r="R49" i="91"/>
  <c r="L49" i="91"/>
  <c r="N49" i="91" s="1"/>
  <c r="B49" i="91"/>
  <c r="Z48" i="91"/>
  <c r="X48" i="91"/>
  <c r="T48" i="91"/>
  <c r="P48" i="91"/>
  <c r="N48" i="91"/>
  <c r="L48" i="91"/>
  <c r="H48" i="91"/>
  <c r="F48" i="91"/>
  <c r="D48" i="91"/>
  <c r="B48" i="91"/>
  <c r="Z47" i="91"/>
  <c r="X47" i="91"/>
  <c r="L47" i="91"/>
  <c r="N47" i="91" s="1"/>
  <c r="F47" i="91"/>
  <c r="B47" i="91"/>
  <c r="V46" i="91"/>
  <c r="T46" i="91"/>
  <c r="R46" i="91"/>
  <c r="P46" i="91"/>
  <c r="H46" i="91"/>
  <c r="D46" i="91"/>
  <c r="B46" i="91"/>
  <c r="X45" i="91"/>
  <c r="Z45" i="91" s="1"/>
  <c r="N45" i="91"/>
  <c r="L45" i="91"/>
  <c r="F45" i="91"/>
  <c r="B45" i="91"/>
  <c r="T44" i="91"/>
  <c r="P44" i="91"/>
  <c r="X44" i="91" s="1"/>
  <c r="Z44" i="91" s="1"/>
  <c r="N44" i="91"/>
  <c r="H44" i="91"/>
  <c r="F44" i="91"/>
  <c r="D44" i="91"/>
  <c r="L44" i="91" s="1"/>
  <c r="B44" i="91"/>
  <c r="X43" i="91"/>
  <c r="Z43" i="91" s="1"/>
  <c r="N43" i="91"/>
  <c r="L43" i="91"/>
  <c r="F43" i="91"/>
  <c r="B43" i="91"/>
  <c r="X42" i="91"/>
  <c r="Z42" i="91" s="1"/>
  <c r="L42" i="91"/>
  <c r="N42" i="91" s="1"/>
  <c r="B42" i="91"/>
  <c r="X41" i="91"/>
  <c r="Z41" i="91" s="1"/>
  <c r="L41" i="91"/>
  <c r="N41" i="91" s="1"/>
  <c r="F41" i="91"/>
  <c r="B41" i="91"/>
  <c r="X40" i="91"/>
  <c r="Z40" i="91" s="1"/>
  <c r="V40" i="91"/>
  <c r="T40" i="91"/>
  <c r="P40" i="91"/>
  <c r="H40" i="91"/>
  <c r="F40" i="91"/>
  <c r="D40" i="91"/>
  <c r="L40" i="91" s="1"/>
  <c r="N40" i="91" s="1"/>
  <c r="B40" i="91"/>
  <c r="Z39" i="91"/>
  <c r="X39" i="91"/>
  <c r="R39" i="91"/>
  <c r="N39" i="91"/>
  <c r="L39" i="91"/>
  <c r="B39" i="91"/>
  <c r="Z38" i="91"/>
  <c r="T38" i="91"/>
  <c r="X38" i="91" s="1"/>
  <c r="R38" i="91"/>
  <c r="P38" i="91"/>
  <c r="N38" i="91"/>
  <c r="H38" i="91"/>
  <c r="L38" i="91" s="1"/>
  <c r="F38" i="91"/>
  <c r="D38" i="91"/>
  <c r="B38" i="91"/>
  <c r="Z37" i="91"/>
  <c r="X37" i="91"/>
  <c r="L37" i="91"/>
  <c r="N37" i="91" s="1"/>
  <c r="F37" i="91"/>
  <c r="B37" i="91"/>
  <c r="T36" i="91"/>
  <c r="P36" i="91"/>
  <c r="H36" i="91"/>
  <c r="F36" i="91"/>
  <c r="D36" i="91"/>
  <c r="L36" i="91" s="1"/>
  <c r="N36" i="91" s="1"/>
  <c r="B36" i="91"/>
  <c r="X35" i="91"/>
  <c r="Z35" i="91" s="1"/>
  <c r="N35" i="91"/>
  <c r="L35" i="91"/>
  <c r="F35" i="91"/>
  <c r="B35" i="91"/>
  <c r="X34" i="91"/>
  <c r="Z34" i="91" s="1"/>
  <c r="N34" i="91"/>
  <c r="L34" i="91"/>
  <c r="B34" i="91"/>
  <c r="X33" i="91"/>
  <c r="Z33" i="91" s="1"/>
  <c r="N33" i="91"/>
  <c r="L33" i="91"/>
  <c r="F33" i="91"/>
  <c r="B33" i="91"/>
  <c r="Z32" i="91"/>
  <c r="X32" i="91"/>
  <c r="V32" i="91"/>
  <c r="L32" i="91"/>
  <c r="N32" i="91" s="1"/>
  <c r="B32" i="91"/>
  <c r="X31" i="91"/>
  <c r="Z31" i="91" s="1"/>
  <c r="R31" i="91"/>
  <c r="L31" i="91"/>
  <c r="N31" i="91" s="1"/>
  <c r="F31" i="91"/>
  <c r="B31" i="91"/>
  <c r="X30" i="91"/>
  <c r="Z30" i="91" s="1"/>
  <c r="L30" i="91"/>
  <c r="N30" i="91" s="1"/>
  <c r="F30" i="91"/>
  <c r="B30" i="91"/>
  <c r="V29" i="91"/>
  <c r="T29" i="91"/>
  <c r="R29" i="91"/>
  <c r="P29" i="91"/>
  <c r="H29" i="91"/>
  <c r="F29" i="91"/>
  <c r="D29" i="91"/>
  <c r="L29" i="91" s="1"/>
  <c r="B29" i="91"/>
  <c r="Z28" i="91"/>
  <c r="X28" i="91"/>
  <c r="V28" i="91"/>
  <c r="R28" i="91"/>
  <c r="N28" i="91"/>
  <c r="L28" i="91"/>
  <c r="F28" i="91"/>
  <c r="B28" i="91"/>
  <c r="X27" i="91"/>
  <c r="Z27" i="91" s="1"/>
  <c r="R27" i="91"/>
  <c r="L27" i="91"/>
  <c r="N27" i="91" s="1"/>
  <c r="J27" i="91"/>
  <c r="F27" i="91"/>
  <c r="B27" i="91"/>
  <c r="Z26" i="91"/>
  <c r="X26" i="91"/>
  <c r="N26" i="91"/>
  <c r="L26" i="91"/>
  <c r="F26" i="91"/>
  <c r="B26" i="91"/>
  <c r="X25" i="91"/>
  <c r="Z25" i="91" s="1"/>
  <c r="N25" i="91"/>
  <c r="L25" i="91"/>
  <c r="F25" i="91"/>
  <c r="B25" i="91"/>
  <c r="Z24" i="91"/>
  <c r="X24" i="91"/>
  <c r="V24" i="91"/>
  <c r="R24" i="91"/>
  <c r="N24" i="91"/>
  <c r="L24" i="91"/>
  <c r="F24" i="91"/>
  <c r="B24" i="91"/>
  <c r="X23" i="91"/>
  <c r="Z23" i="91" s="1"/>
  <c r="R23" i="91"/>
  <c r="L23" i="91"/>
  <c r="N23" i="91" s="1"/>
  <c r="F23" i="91"/>
  <c r="B23" i="91"/>
  <c r="Z22" i="91"/>
  <c r="X22" i="91"/>
  <c r="N22" i="91"/>
  <c r="L22" i="91"/>
  <c r="F22" i="91"/>
  <c r="B22" i="91"/>
  <c r="Z21" i="91"/>
  <c r="X21" i="91"/>
  <c r="N21" i="91"/>
  <c r="L21" i="91"/>
  <c r="F21" i="91"/>
  <c r="B21" i="91"/>
  <c r="Z20" i="91"/>
  <c r="X20" i="91"/>
  <c r="V20" i="91"/>
  <c r="R20" i="91"/>
  <c r="N20" i="91"/>
  <c r="L20" i="91"/>
  <c r="F20" i="91"/>
  <c r="B20" i="91"/>
  <c r="T19" i="91"/>
  <c r="Z19" i="91" s="1"/>
  <c r="P19" i="91"/>
  <c r="X19" i="91" s="1"/>
  <c r="N19" i="91"/>
  <c r="L19" i="91"/>
  <c r="H19" i="91"/>
  <c r="F19" i="91"/>
  <c r="D19" i="91"/>
  <c r="B19" i="91"/>
  <c r="T18" i="91"/>
  <c r="R18" i="91"/>
  <c r="P18" i="91"/>
  <c r="X18" i="91" s="1"/>
  <c r="N18" i="91"/>
  <c r="H18" i="91"/>
  <c r="F18" i="91"/>
  <c r="D18" i="91"/>
  <c r="L18" i="91" s="1"/>
  <c r="R16" i="91"/>
  <c r="F16" i="91"/>
  <c r="T14" i="91"/>
  <c r="Z14" i="91" s="1"/>
  <c r="R14" i="91"/>
  <c r="P14" i="91"/>
  <c r="X14" i="91" s="1"/>
  <c r="N14" i="91"/>
  <c r="H14" i="91"/>
  <c r="F14" i="91"/>
  <c r="D14" i="91"/>
  <c r="L14" i="91" s="1"/>
  <c r="T12" i="91"/>
  <c r="V94" i="91" s="1"/>
  <c r="P12" i="91"/>
  <c r="H12" i="91"/>
  <c r="J42" i="91" s="1"/>
  <c r="D12" i="91"/>
  <c r="F81" i="91" s="1"/>
  <c r="D6" i="91"/>
  <c r="D4" i="91"/>
  <c r="X79" i="88"/>
  <c r="Z79" i="88" s="1"/>
  <c r="N79" i="88"/>
  <c r="L79" i="88"/>
  <c r="J79" i="88"/>
  <c r="F79" i="88"/>
  <c r="Z75" i="88"/>
  <c r="T75" i="88"/>
  <c r="P75" i="88"/>
  <c r="X75" i="88" s="1"/>
  <c r="H75" i="88"/>
  <c r="N75" i="88" s="1"/>
  <c r="D75" i="88"/>
  <c r="L75" i="88" s="1"/>
  <c r="Z73" i="88"/>
  <c r="X73" i="88"/>
  <c r="N73" i="88"/>
  <c r="L73" i="88"/>
  <c r="B73" i="88"/>
  <c r="X72" i="88"/>
  <c r="Z72" i="88" s="1"/>
  <c r="N72" i="88"/>
  <c r="L72" i="88"/>
  <c r="B72" i="88"/>
  <c r="T71" i="88"/>
  <c r="P71" i="88"/>
  <c r="X71" i="88" s="1"/>
  <c r="N71" i="88"/>
  <c r="H71" i="88"/>
  <c r="D71" i="88"/>
  <c r="L71" i="88" s="1"/>
  <c r="B71" i="88"/>
  <c r="Z70" i="88"/>
  <c r="X70" i="88"/>
  <c r="N70" i="88"/>
  <c r="L70" i="88"/>
  <c r="B70" i="88"/>
  <c r="T69" i="88"/>
  <c r="Z69" i="88" s="1"/>
  <c r="P69" i="88"/>
  <c r="X69" i="88" s="1"/>
  <c r="N69" i="88"/>
  <c r="L69" i="88"/>
  <c r="H69" i="88"/>
  <c r="D69" i="88"/>
  <c r="B69" i="88"/>
  <c r="X68" i="88"/>
  <c r="Z68" i="88" s="1"/>
  <c r="L68" i="88"/>
  <c r="N68" i="88" s="1"/>
  <c r="F68" i="88"/>
  <c r="B68" i="88"/>
  <c r="X67" i="88"/>
  <c r="T67" i="88"/>
  <c r="Z67" i="88" s="1"/>
  <c r="P67" i="88"/>
  <c r="H67" i="88"/>
  <c r="D67" i="88"/>
  <c r="B67" i="88"/>
  <c r="Z66" i="88"/>
  <c r="X66" i="88"/>
  <c r="N66" i="88"/>
  <c r="L66" i="88"/>
  <c r="F66" i="88"/>
  <c r="B66" i="88"/>
  <c r="Z65" i="88"/>
  <c r="X65" i="88"/>
  <c r="N65" i="88"/>
  <c r="L65" i="88"/>
  <c r="B65" i="88"/>
  <c r="X64" i="88"/>
  <c r="Z64" i="88" s="1"/>
  <c r="L64" i="88"/>
  <c r="N64" i="88" s="1"/>
  <c r="B64" i="88"/>
  <c r="Z63" i="88"/>
  <c r="X63" i="88"/>
  <c r="N63" i="88"/>
  <c r="L63" i="88"/>
  <c r="B63" i="88"/>
  <c r="Z62" i="88"/>
  <c r="X62" i="88"/>
  <c r="N62" i="88"/>
  <c r="L62" i="88"/>
  <c r="F62" i="88"/>
  <c r="B62" i="88"/>
  <c r="Z61" i="88"/>
  <c r="X61" i="88"/>
  <c r="N61" i="88"/>
  <c r="L61" i="88"/>
  <c r="B61" i="88"/>
  <c r="T60" i="88"/>
  <c r="P60" i="88"/>
  <c r="H60" i="88"/>
  <c r="D60" i="88"/>
  <c r="L60" i="88" s="1"/>
  <c r="N60" i="88" s="1"/>
  <c r="B60" i="88"/>
  <c r="Z59" i="88"/>
  <c r="X59" i="88"/>
  <c r="L59" i="88"/>
  <c r="N59" i="88" s="1"/>
  <c r="B59" i="88"/>
  <c r="X58" i="88"/>
  <c r="Z58" i="88" s="1"/>
  <c r="N58" i="88"/>
  <c r="L58" i="88"/>
  <c r="B58" i="88"/>
  <c r="T57" i="88"/>
  <c r="P57" i="88"/>
  <c r="X57" i="88" s="1"/>
  <c r="L57" i="88"/>
  <c r="N57" i="88" s="1"/>
  <c r="H57" i="88"/>
  <c r="D57" i="88"/>
  <c r="B57" i="88"/>
  <c r="X56" i="88"/>
  <c r="Z56" i="88" s="1"/>
  <c r="L56" i="88"/>
  <c r="N56" i="88" s="1"/>
  <c r="J56" i="88"/>
  <c r="F56" i="88"/>
  <c r="B56" i="88"/>
  <c r="X55" i="88"/>
  <c r="Z55" i="88" s="1"/>
  <c r="N55" i="88"/>
  <c r="L55" i="88"/>
  <c r="B55" i="88"/>
  <c r="Z54" i="88"/>
  <c r="X54" i="88"/>
  <c r="N54" i="88"/>
  <c r="L54" i="88"/>
  <c r="B54" i="88"/>
  <c r="Z53" i="88"/>
  <c r="V53" i="88"/>
  <c r="T53" i="88"/>
  <c r="X53" i="88" s="1"/>
  <c r="P53" i="88"/>
  <c r="L53" i="88"/>
  <c r="H53" i="88"/>
  <c r="N53" i="88" s="1"/>
  <c r="D53" i="88"/>
  <c r="B53" i="88"/>
  <c r="X52" i="88"/>
  <c r="Z52" i="88" s="1"/>
  <c r="N52" i="88"/>
  <c r="L52" i="88"/>
  <c r="B52" i="88"/>
  <c r="T51" i="88"/>
  <c r="P51" i="88"/>
  <c r="X51" i="88" s="1"/>
  <c r="N51" i="88"/>
  <c r="H51" i="88"/>
  <c r="D51" i="88"/>
  <c r="L51" i="88" s="1"/>
  <c r="B51" i="88"/>
  <c r="Z50" i="88"/>
  <c r="X50" i="88"/>
  <c r="N50" i="88"/>
  <c r="L50" i="88"/>
  <c r="B50" i="88"/>
  <c r="T49" i="88"/>
  <c r="Z49" i="88" s="1"/>
  <c r="P49" i="88"/>
  <c r="X49" i="88" s="1"/>
  <c r="N49" i="88"/>
  <c r="L49" i="88"/>
  <c r="H49" i="88"/>
  <c r="D49" i="88"/>
  <c r="B49" i="88"/>
  <c r="X48" i="88"/>
  <c r="Z48" i="88" s="1"/>
  <c r="N48" i="88"/>
  <c r="L48" i="88"/>
  <c r="F48" i="88"/>
  <c r="B48" i="88"/>
  <c r="X47" i="88"/>
  <c r="T47" i="88"/>
  <c r="Z47" i="88" s="1"/>
  <c r="P47" i="88"/>
  <c r="N47" i="88"/>
  <c r="J47" i="88"/>
  <c r="H47" i="88"/>
  <c r="L47" i="88" s="1"/>
  <c r="D47" i="88"/>
  <c r="B47" i="88"/>
  <c r="Z46" i="88"/>
  <c r="X46" i="88"/>
  <c r="L46" i="88"/>
  <c r="N46" i="88" s="1"/>
  <c r="B46" i="88"/>
  <c r="Z45" i="88"/>
  <c r="T45" i="88"/>
  <c r="P45" i="88"/>
  <c r="X45" i="88" s="1"/>
  <c r="H45" i="88"/>
  <c r="D45" i="88"/>
  <c r="L45" i="88" s="1"/>
  <c r="B45" i="88"/>
  <c r="X44" i="88"/>
  <c r="Z44" i="88" s="1"/>
  <c r="L44" i="88"/>
  <c r="N44" i="88" s="1"/>
  <c r="B44" i="88"/>
  <c r="X43" i="88"/>
  <c r="Z43" i="88" s="1"/>
  <c r="V43" i="88"/>
  <c r="T43" i="88"/>
  <c r="P43" i="88"/>
  <c r="H43" i="88"/>
  <c r="F43" i="88"/>
  <c r="D43" i="88"/>
  <c r="L43" i="88" s="1"/>
  <c r="B43" i="88"/>
  <c r="Z42" i="88"/>
  <c r="X42" i="88"/>
  <c r="N42" i="88"/>
  <c r="L42" i="88"/>
  <c r="B42" i="88"/>
  <c r="Z41" i="88"/>
  <c r="T41" i="88"/>
  <c r="X41" i="88" s="1"/>
  <c r="P41" i="88"/>
  <c r="L41" i="88"/>
  <c r="H41" i="88"/>
  <c r="N41" i="88" s="1"/>
  <c r="D41" i="88"/>
  <c r="B41" i="88"/>
  <c r="X40" i="88"/>
  <c r="Z40" i="88" s="1"/>
  <c r="V40" i="88"/>
  <c r="L40" i="88"/>
  <c r="N40" i="88" s="1"/>
  <c r="B40" i="88"/>
  <c r="T39" i="88"/>
  <c r="P39" i="88"/>
  <c r="X39" i="88" s="1"/>
  <c r="N39" i="88"/>
  <c r="H39" i="88"/>
  <c r="D39" i="88"/>
  <c r="L39" i="88" s="1"/>
  <c r="B39" i="88"/>
  <c r="X38" i="88"/>
  <c r="Z38" i="88" s="1"/>
  <c r="N38" i="88"/>
  <c r="L38" i="88"/>
  <c r="B38" i="88"/>
  <c r="X37" i="88"/>
  <c r="Z37" i="88" s="1"/>
  <c r="N37" i="88"/>
  <c r="L37" i="88"/>
  <c r="F37" i="88"/>
  <c r="B37" i="88"/>
  <c r="Z36" i="88"/>
  <c r="X36" i="88"/>
  <c r="N36" i="88"/>
  <c r="L36" i="88"/>
  <c r="B36" i="88"/>
  <c r="X35" i="88"/>
  <c r="Z35" i="88" s="1"/>
  <c r="L35" i="88"/>
  <c r="N35" i="88" s="1"/>
  <c r="B35" i="88"/>
  <c r="Z34" i="88"/>
  <c r="X34" i="88"/>
  <c r="V34" i="88"/>
  <c r="N34" i="88"/>
  <c r="L34" i="88"/>
  <c r="B34" i="88"/>
  <c r="X33" i="88"/>
  <c r="Z33" i="88" s="1"/>
  <c r="L33" i="88"/>
  <c r="N33" i="88" s="1"/>
  <c r="F33" i="88"/>
  <c r="B33" i="88"/>
  <c r="T32" i="88"/>
  <c r="P32" i="88"/>
  <c r="X32" i="88" s="1"/>
  <c r="Z32" i="88" s="1"/>
  <c r="L32" i="88"/>
  <c r="J32" i="88"/>
  <c r="H32" i="88"/>
  <c r="F32" i="88"/>
  <c r="D32" i="88"/>
  <c r="B32" i="88"/>
  <c r="X31" i="88"/>
  <c r="Z31" i="88" s="1"/>
  <c r="N31" i="88"/>
  <c r="L31" i="88"/>
  <c r="F31" i="88"/>
  <c r="B31" i="88"/>
  <c r="X30" i="88"/>
  <c r="Z30" i="88" s="1"/>
  <c r="N30" i="88"/>
  <c r="L30" i="88"/>
  <c r="B30" i="88"/>
  <c r="X29" i="88"/>
  <c r="Z29" i="88" s="1"/>
  <c r="V29" i="88"/>
  <c r="N29" i="88"/>
  <c r="L29" i="88"/>
  <c r="F29" i="88"/>
  <c r="B29" i="88"/>
  <c r="X28" i="88"/>
  <c r="Z28" i="88" s="1"/>
  <c r="L28" i="88"/>
  <c r="N28" i="88" s="1"/>
  <c r="F28" i="88"/>
  <c r="B28" i="88"/>
  <c r="X27" i="88"/>
  <c r="Z27" i="88" s="1"/>
  <c r="N27" i="88"/>
  <c r="L27" i="88"/>
  <c r="J27" i="88"/>
  <c r="F27" i="88"/>
  <c r="B27" i="88"/>
  <c r="Z26" i="88"/>
  <c r="X26" i="88"/>
  <c r="N26" i="88"/>
  <c r="L26" i="88"/>
  <c r="F26" i="88"/>
  <c r="B26" i="88"/>
  <c r="X25" i="88"/>
  <c r="Z25" i="88" s="1"/>
  <c r="V25" i="88"/>
  <c r="N25" i="88"/>
  <c r="L25" i="88"/>
  <c r="F25" i="88"/>
  <c r="B25" i="88"/>
  <c r="X24" i="88"/>
  <c r="Z24" i="88" s="1"/>
  <c r="N24" i="88"/>
  <c r="L24" i="88"/>
  <c r="F24" i="88"/>
  <c r="B24" i="88"/>
  <c r="X23" i="88"/>
  <c r="T23" i="88"/>
  <c r="P23" i="88"/>
  <c r="H23" i="88"/>
  <c r="F23" i="88"/>
  <c r="D23" i="88"/>
  <c r="B23" i="88"/>
  <c r="T22" i="88"/>
  <c r="P22" i="88"/>
  <c r="H22" i="88"/>
  <c r="D22" i="88"/>
  <c r="H20" i="88"/>
  <c r="Z18" i="88"/>
  <c r="X18" i="88"/>
  <c r="L18" i="88"/>
  <c r="N18" i="88" s="1"/>
  <c r="J18" i="88"/>
  <c r="F18" i="88"/>
  <c r="B18" i="88"/>
  <c r="Z17" i="88"/>
  <c r="X17" i="88"/>
  <c r="V17" i="88"/>
  <c r="L17" i="88"/>
  <c r="N17" i="88" s="1"/>
  <c r="B17" i="88"/>
  <c r="V16" i="88"/>
  <c r="T16" i="88"/>
  <c r="P16" i="88"/>
  <c r="H16" i="88"/>
  <c r="D16" i="88"/>
  <c r="Z14" i="88"/>
  <c r="T14" i="88"/>
  <c r="P14" i="88"/>
  <c r="X14" i="88" s="1"/>
  <c r="H14" i="88"/>
  <c r="D14" i="88"/>
  <c r="B14" i="88"/>
  <c r="T13" i="88"/>
  <c r="T12" i="88" s="1"/>
  <c r="P13" i="88"/>
  <c r="N13" i="88"/>
  <c r="L13" i="88"/>
  <c r="H13" i="88"/>
  <c r="D13" i="88"/>
  <c r="B13" i="88"/>
  <c r="L12" i="88"/>
  <c r="H12" i="88"/>
  <c r="J68" i="88" s="1"/>
  <c r="D12" i="88"/>
  <c r="D6" i="88"/>
  <c r="D4" i="88"/>
  <c r="X88" i="87"/>
  <c r="Z88" i="87" s="1"/>
  <c r="L88" i="87"/>
  <c r="N88" i="87" s="1"/>
  <c r="T84" i="87"/>
  <c r="Z84" i="87" s="1"/>
  <c r="P84" i="87"/>
  <c r="X84" i="87" s="1"/>
  <c r="H84" i="87"/>
  <c r="N84" i="87" s="1"/>
  <c r="D84" i="87"/>
  <c r="L84" i="87" s="1"/>
  <c r="Z82" i="87"/>
  <c r="X82" i="87"/>
  <c r="L82" i="87"/>
  <c r="N82" i="87" s="1"/>
  <c r="B82" i="87"/>
  <c r="T81" i="87"/>
  <c r="P81" i="87"/>
  <c r="X81" i="87" s="1"/>
  <c r="Z81" i="87" s="1"/>
  <c r="N81" i="87"/>
  <c r="H81" i="87"/>
  <c r="D81" i="87"/>
  <c r="L81" i="87" s="1"/>
  <c r="B81" i="87"/>
  <c r="X80" i="87"/>
  <c r="Z80" i="87" s="1"/>
  <c r="N80" i="87"/>
  <c r="L80" i="87"/>
  <c r="B80" i="87"/>
  <c r="T79" i="87"/>
  <c r="Z79" i="87" s="1"/>
  <c r="P79" i="87"/>
  <c r="X79" i="87" s="1"/>
  <c r="N79" i="87"/>
  <c r="L79" i="87"/>
  <c r="H79" i="87"/>
  <c r="D79" i="87"/>
  <c r="B79" i="87"/>
  <c r="X78" i="87"/>
  <c r="Z78" i="87" s="1"/>
  <c r="N78" i="87"/>
  <c r="L78" i="87"/>
  <c r="B78" i="87"/>
  <c r="Z77" i="87"/>
  <c r="X77" i="87"/>
  <c r="T77" i="87"/>
  <c r="P77" i="87"/>
  <c r="N77" i="87"/>
  <c r="L77" i="87"/>
  <c r="H77" i="87"/>
  <c r="D77" i="87"/>
  <c r="B77" i="87"/>
  <c r="Z76" i="87"/>
  <c r="X76" i="87"/>
  <c r="L76" i="87"/>
  <c r="N76" i="87" s="1"/>
  <c r="B76" i="87"/>
  <c r="T75" i="87"/>
  <c r="Z75" i="87" s="1"/>
  <c r="P75" i="87"/>
  <c r="X75" i="87" s="1"/>
  <c r="H75" i="87"/>
  <c r="D75" i="87"/>
  <c r="L75" i="87" s="1"/>
  <c r="N75" i="87" s="1"/>
  <c r="B75" i="87"/>
  <c r="X74" i="87"/>
  <c r="Z74" i="87" s="1"/>
  <c r="N74" i="87"/>
  <c r="L74" i="87"/>
  <c r="B74" i="87"/>
  <c r="Z73" i="87"/>
  <c r="X73" i="87"/>
  <c r="L73" i="87"/>
  <c r="N73" i="87" s="1"/>
  <c r="B73" i="87"/>
  <c r="X72" i="87"/>
  <c r="Z72" i="87" s="1"/>
  <c r="N72" i="87"/>
  <c r="L72" i="87"/>
  <c r="B72" i="87"/>
  <c r="X71" i="87"/>
  <c r="Z71" i="87" s="1"/>
  <c r="L71" i="87"/>
  <c r="N71" i="87" s="1"/>
  <c r="B71" i="87"/>
  <c r="X70" i="87"/>
  <c r="Z70" i="87" s="1"/>
  <c r="N70" i="87"/>
  <c r="L70" i="87"/>
  <c r="B70" i="87"/>
  <c r="X69" i="87"/>
  <c r="Z69" i="87" s="1"/>
  <c r="N69" i="87"/>
  <c r="L69" i="87"/>
  <c r="B69" i="87"/>
  <c r="X68" i="87"/>
  <c r="Z68" i="87" s="1"/>
  <c r="N68" i="87"/>
  <c r="L68" i="87"/>
  <c r="B68" i="87"/>
  <c r="X67" i="87"/>
  <c r="T67" i="87"/>
  <c r="P67" i="87"/>
  <c r="L67" i="87"/>
  <c r="N67" i="87" s="1"/>
  <c r="H67" i="87"/>
  <c r="D67" i="87"/>
  <c r="B67" i="87"/>
  <c r="Z66" i="87"/>
  <c r="X66" i="87"/>
  <c r="N66" i="87"/>
  <c r="L66" i="87"/>
  <c r="B66" i="87"/>
  <c r="Z65" i="87"/>
  <c r="X65" i="87"/>
  <c r="N65" i="87"/>
  <c r="L65" i="87"/>
  <c r="J65" i="87"/>
  <c r="B65" i="87"/>
  <c r="T64" i="87"/>
  <c r="P64" i="87"/>
  <c r="H64" i="87"/>
  <c r="D64" i="87"/>
  <c r="B64" i="87"/>
  <c r="Z63" i="87"/>
  <c r="X63" i="87"/>
  <c r="L63" i="87"/>
  <c r="N63" i="87" s="1"/>
  <c r="B63" i="87"/>
  <c r="Z62" i="87"/>
  <c r="X62" i="87"/>
  <c r="L62" i="87"/>
  <c r="N62" i="87" s="1"/>
  <c r="B62" i="87"/>
  <c r="X61" i="87"/>
  <c r="Z61" i="87" s="1"/>
  <c r="L61" i="87"/>
  <c r="N61" i="87" s="1"/>
  <c r="B61" i="87"/>
  <c r="T60" i="87"/>
  <c r="Z60" i="87" s="1"/>
  <c r="P60" i="87"/>
  <c r="X60" i="87" s="1"/>
  <c r="H60" i="87"/>
  <c r="D60" i="87"/>
  <c r="B60" i="87"/>
  <c r="X59" i="87"/>
  <c r="Z59" i="87" s="1"/>
  <c r="L59" i="87"/>
  <c r="N59" i="87" s="1"/>
  <c r="B59" i="87"/>
  <c r="X58" i="87"/>
  <c r="T58" i="87"/>
  <c r="Z58" i="87" s="1"/>
  <c r="P58" i="87"/>
  <c r="H58" i="87"/>
  <c r="N58" i="87" s="1"/>
  <c r="D58" i="87"/>
  <c r="L58" i="87" s="1"/>
  <c r="B58" i="87"/>
  <c r="X57" i="87"/>
  <c r="Z57" i="87" s="1"/>
  <c r="N57" i="87"/>
  <c r="L57" i="87"/>
  <c r="B57" i="87"/>
  <c r="Z56" i="87"/>
  <c r="X56" i="87"/>
  <c r="N56" i="87"/>
  <c r="L56" i="87"/>
  <c r="J56" i="87"/>
  <c r="F56" i="87"/>
  <c r="B56" i="87"/>
  <c r="T55" i="87"/>
  <c r="P55" i="87"/>
  <c r="H55" i="87"/>
  <c r="D55" i="87"/>
  <c r="L55" i="87" s="1"/>
  <c r="N55" i="87" s="1"/>
  <c r="B55" i="87"/>
  <c r="X54" i="87"/>
  <c r="Z54" i="87" s="1"/>
  <c r="L54" i="87"/>
  <c r="N54" i="87" s="1"/>
  <c r="B54" i="87"/>
  <c r="T53" i="87"/>
  <c r="P53" i="87"/>
  <c r="H53" i="87"/>
  <c r="N53" i="87" s="1"/>
  <c r="D53" i="87"/>
  <c r="L53" i="87" s="1"/>
  <c r="B53" i="87"/>
  <c r="Z52" i="87"/>
  <c r="X52" i="87"/>
  <c r="N52" i="87"/>
  <c r="L52" i="87"/>
  <c r="B52" i="87"/>
  <c r="T51" i="87"/>
  <c r="P51" i="87"/>
  <c r="X51" i="87" s="1"/>
  <c r="L51" i="87"/>
  <c r="N51" i="87" s="1"/>
  <c r="H51" i="87"/>
  <c r="D51" i="87"/>
  <c r="B51" i="87"/>
  <c r="X50" i="87"/>
  <c r="Z50" i="87" s="1"/>
  <c r="N50" i="87"/>
  <c r="L50" i="87"/>
  <c r="F50" i="87"/>
  <c r="B50" i="87"/>
  <c r="T49" i="87"/>
  <c r="P49" i="87"/>
  <c r="X49" i="87" s="1"/>
  <c r="Z49" i="87" s="1"/>
  <c r="N49" i="87"/>
  <c r="L49" i="87"/>
  <c r="H49" i="87"/>
  <c r="D49" i="87"/>
  <c r="B49" i="87"/>
  <c r="Z48" i="87"/>
  <c r="X48" i="87"/>
  <c r="L48" i="87"/>
  <c r="N48" i="87" s="1"/>
  <c r="B48" i="87"/>
  <c r="T47" i="87"/>
  <c r="P47" i="87"/>
  <c r="X47" i="87" s="1"/>
  <c r="H47" i="87"/>
  <c r="N47" i="87" s="1"/>
  <c r="D47" i="87"/>
  <c r="L47" i="87" s="1"/>
  <c r="B47" i="87"/>
  <c r="X46" i="87"/>
  <c r="Z46" i="87" s="1"/>
  <c r="L46" i="87"/>
  <c r="N46" i="87" s="1"/>
  <c r="J46" i="87"/>
  <c r="B46" i="87"/>
  <c r="X45" i="87"/>
  <c r="Z45" i="87" s="1"/>
  <c r="N45" i="87"/>
  <c r="L45" i="87"/>
  <c r="B45" i="87"/>
  <c r="Z44" i="87"/>
  <c r="X44" i="87"/>
  <c r="T44" i="87"/>
  <c r="P44" i="87"/>
  <c r="H44" i="87"/>
  <c r="D44" i="87"/>
  <c r="L44" i="87" s="1"/>
  <c r="N44" i="87" s="1"/>
  <c r="B44" i="87"/>
  <c r="Z43" i="87"/>
  <c r="X43" i="87"/>
  <c r="L43" i="87"/>
  <c r="N43" i="87" s="1"/>
  <c r="B43" i="87"/>
  <c r="X42" i="87"/>
  <c r="T42" i="87"/>
  <c r="P42" i="87"/>
  <c r="H42" i="87"/>
  <c r="D42" i="87"/>
  <c r="B42" i="87"/>
  <c r="X41" i="87"/>
  <c r="Z41" i="87" s="1"/>
  <c r="N41" i="87"/>
  <c r="L41" i="87"/>
  <c r="B41" i="87"/>
  <c r="T40" i="87"/>
  <c r="P40" i="87"/>
  <c r="H40" i="87"/>
  <c r="N40" i="87" s="1"/>
  <c r="D40" i="87"/>
  <c r="L40" i="87" s="1"/>
  <c r="B40" i="87"/>
  <c r="X39" i="87"/>
  <c r="Z39" i="87" s="1"/>
  <c r="N39" i="87"/>
  <c r="L39" i="87"/>
  <c r="B39" i="87"/>
  <c r="T38" i="87"/>
  <c r="P38" i="87"/>
  <c r="X38" i="87" s="1"/>
  <c r="Z38" i="87" s="1"/>
  <c r="L38" i="87"/>
  <c r="N38" i="87" s="1"/>
  <c r="H38" i="87"/>
  <c r="D38" i="87"/>
  <c r="B38" i="87"/>
  <c r="X37" i="87"/>
  <c r="Z37" i="87" s="1"/>
  <c r="N37" i="87"/>
  <c r="L37" i="87"/>
  <c r="B37" i="87"/>
  <c r="X36" i="87"/>
  <c r="Z36" i="87" s="1"/>
  <c r="N36" i="87"/>
  <c r="L36" i="87"/>
  <c r="B36" i="87"/>
  <c r="Z35" i="87"/>
  <c r="X35" i="87"/>
  <c r="L35" i="87"/>
  <c r="N35" i="87" s="1"/>
  <c r="B35" i="87"/>
  <c r="Z34" i="87"/>
  <c r="X34" i="87"/>
  <c r="N34" i="87"/>
  <c r="L34" i="87"/>
  <c r="B34" i="87"/>
  <c r="X33" i="87"/>
  <c r="Z33" i="87" s="1"/>
  <c r="N33" i="87"/>
  <c r="L33" i="87"/>
  <c r="J33" i="87"/>
  <c r="B33" i="87"/>
  <c r="T32" i="87"/>
  <c r="P32" i="87"/>
  <c r="L32" i="87"/>
  <c r="H32" i="87"/>
  <c r="D32" i="87"/>
  <c r="B32" i="87"/>
  <c r="X31" i="87"/>
  <c r="Z31" i="87" s="1"/>
  <c r="L31" i="87"/>
  <c r="N31" i="87" s="1"/>
  <c r="J31" i="87"/>
  <c r="F31" i="87"/>
  <c r="B31" i="87"/>
  <c r="X30" i="87"/>
  <c r="Z30" i="87" s="1"/>
  <c r="N30" i="87"/>
  <c r="L30" i="87"/>
  <c r="B30" i="87"/>
  <c r="Z29" i="87"/>
  <c r="X29" i="87"/>
  <c r="N29" i="87"/>
  <c r="L29" i="87"/>
  <c r="B29" i="87"/>
  <c r="Z28" i="87"/>
  <c r="X28" i="87"/>
  <c r="L28" i="87"/>
  <c r="N28" i="87" s="1"/>
  <c r="B28" i="87"/>
  <c r="X27" i="87"/>
  <c r="Z27" i="87" s="1"/>
  <c r="L27" i="87"/>
  <c r="N27" i="87" s="1"/>
  <c r="B27" i="87"/>
  <c r="X26" i="87"/>
  <c r="Z26" i="87" s="1"/>
  <c r="N26" i="87"/>
  <c r="L26" i="87"/>
  <c r="B26" i="87"/>
  <c r="X25" i="87"/>
  <c r="Z25" i="87" s="1"/>
  <c r="N25" i="87"/>
  <c r="L25" i="87"/>
  <c r="B25" i="87"/>
  <c r="Z24" i="87"/>
  <c r="X24" i="87"/>
  <c r="N24" i="87"/>
  <c r="L24" i="87"/>
  <c r="B24" i="87"/>
  <c r="X23" i="87"/>
  <c r="T23" i="87"/>
  <c r="Z23" i="87" s="1"/>
  <c r="P23" i="87"/>
  <c r="N23" i="87"/>
  <c r="L23" i="87"/>
  <c r="H23" i="87"/>
  <c r="D23" i="87"/>
  <c r="B23" i="87"/>
  <c r="T22" i="87"/>
  <c r="P22" i="87"/>
  <c r="X22" i="87" s="1"/>
  <c r="Z22" i="87" s="1"/>
  <c r="N22" i="87"/>
  <c r="L22" i="87"/>
  <c r="H22" i="87"/>
  <c r="D22" i="87"/>
  <c r="Z18" i="87"/>
  <c r="X18" i="87"/>
  <c r="L18" i="87"/>
  <c r="N18" i="87" s="1"/>
  <c r="J18" i="87"/>
  <c r="F18" i="87"/>
  <c r="B18" i="87"/>
  <c r="Z17" i="87"/>
  <c r="X17" i="87"/>
  <c r="N17" i="87"/>
  <c r="L17" i="87"/>
  <c r="B17" i="87"/>
  <c r="Z16" i="87"/>
  <c r="X16" i="87"/>
  <c r="T16" i="87"/>
  <c r="P16" i="87"/>
  <c r="H16" i="87"/>
  <c r="D16" i="87"/>
  <c r="L16" i="87" s="1"/>
  <c r="N16" i="87" s="1"/>
  <c r="Z14" i="87"/>
  <c r="X14" i="87"/>
  <c r="T14" i="87"/>
  <c r="P14" i="87"/>
  <c r="H14" i="87"/>
  <c r="N14" i="87" s="1"/>
  <c r="D14" i="87"/>
  <c r="L14" i="87" s="1"/>
  <c r="B14" i="87"/>
  <c r="T13" i="87"/>
  <c r="P13" i="87"/>
  <c r="H13" i="87"/>
  <c r="D13" i="87"/>
  <c r="L13" i="87" s="1"/>
  <c r="N13" i="87" s="1"/>
  <c r="B13" i="87"/>
  <c r="H12" i="87"/>
  <c r="J76" i="87" s="1"/>
  <c r="D12" i="87"/>
  <c r="F76" i="87" s="1"/>
  <c r="D6" i="87"/>
  <c r="D4" i="87"/>
  <c r="Z32" i="85"/>
  <c r="X32" i="85"/>
  <c r="R32" i="85"/>
  <c r="L32" i="85"/>
  <c r="N32" i="85" s="1"/>
  <c r="T28" i="85"/>
  <c r="Z28" i="85" s="1"/>
  <c r="P28" i="85"/>
  <c r="L28" i="85"/>
  <c r="H28" i="85"/>
  <c r="N28" i="85" s="1"/>
  <c r="D28" i="85"/>
  <c r="X26" i="85"/>
  <c r="Z26" i="85" s="1"/>
  <c r="N26" i="85"/>
  <c r="L26" i="85"/>
  <c r="B26" i="85"/>
  <c r="T25" i="85"/>
  <c r="P25" i="85"/>
  <c r="X25" i="85" s="1"/>
  <c r="Z25" i="85" s="1"/>
  <c r="H25" i="85"/>
  <c r="D25" i="85"/>
  <c r="L25" i="85" s="1"/>
  <c r="N25" i="85" s="1"/>
  <c r="B25" i="85"/>
  <c r="X24" i="85"/>
  <c r="Z24" i="85" s="1"/>
  <c r="N24" i="85"/>
  <c r="L24" i="85"/>
  <c r="B24" i="85"/>
  <c r="X23" i="85"/>
  <c r="Z23" i="85" s="1"/>
  <c r="V23" i="85"/>
  <c r="T23" i="85"/>
  <c r="P23" i="85"/>
  <c r="H23" i="85"/>
  <c r="D23" i="85"/>
  <c r="B23" i="85"/>
  <c r="X22" i="85"/>
  <c r="Z22" i="85" s="1"/>
  <c r="L22" i="85"/>
  <c r="N22" i="85" s="1"/>
  <c r="B22" i="85"/>
  <c r="T21" i="85"/>
  <c r="R21" i="85"/>
  <c r="P21" i="85"/>
  <c r="H21" i="85"/>
  <c r="N21" i="85" s="1"/>
  <c r="D21" i="85"/>
  <c r="L21" i="85" s="1"/>
  <c r="B21" i="85"/>
  <c r="T20" i="85"/>
  <c r="P20" i="85"/>
  <c r="H20" i="85"/>
  <c r="D20" i="85"/>
  <c r="T18" i="85"/>
  <c r="X16" i="85"/>
  <c r="Z16" i="85" s="1"/>
  <c r="V16" i="85"/>
  <c r="R16" i="85"/>
  <c r="L16" i="85"/>
  <c r="N16" i="85" s="1"/>
  <c r="B16" i="85"/>
  <c r="T15" i="85"/>
  <c r="R15" i="85"/>
  <c r="P15" i="85"/>
  <c r="X15" i="85" s="1"/>
  <c r="Z15" i="85" s="1"/>
  <c r="H15" i="85"/>
  <c r="D15" i="85"/>
  <c r="L15" i="85" s="1"/>
  <c r="N15" i="85" s="1"/>
  <c r="X13" i="85"/>
  <c r="Z13" i="85" s="1"/>
  <c r="T13" i="85"/>
  <c r="P13" i="85"/>
  <c r="L13" i="85"/>
  <c r="H13" i="85"/>
  <c r="H12" i="85" s="1"/>
  <c r="D13" i="85"/>
  <c r="B13" i="85"/>
  <c r="T12" i="85"/>
  <c r="V22" i="85" s="1"/>
  <c r="P12" i="85"/>
  <c r="R20" i="85" s="1"/>
  <c r="D12" i="85"/>
  <c r="F25" i="85" s="1"/>
  <c r="D6" i="85"/>
  <c r="D4" i="85"/>
  <c r="X127" i="84"/>
  <c r="Z127" i="84" s="1"/>
  <c r="N127" i="84"/>
  <c r="L127" i="84"/>
  <c r="X123" i="84"/>
  <c r="T123" i="84"/>
  <c r="Z123" i="84" s="1"/>
  <c r="P123" i="84"/>
  <c r="H123" i="84"/>
  <c r="N123" i="84" s="1"/>
  <c r="D123" i="84"/>
  <c r="X121" i="84"/>
  <c r="Z121" i="84" s="1"/>
  <c r="L121" i="84"/>
  <c r="N121" i="84" s="1"/>
  <c r="B121" i="84"/>
  <c r="T120" i="84"/>
  <c r="P120" i="84"/>
  <c r="X120" i="84" s="1"/>
  <c r="Z120" i="84" s="1"/>
  <c r="H120" i="84"/>
  <c r="D120" i="84"/>
  <c r="L120" i="84" s="1"/>
  <c r="N120" i="84" s="1"/>
  <c r="B120" i="84"/>
  <c r="Z119" i="84"/>
  <c r="X119" i="84"/>
  <c r="N119" i="84"/>
  <c r="L119" i="84"/>
  <c r="B119" i="84"/>
  <c r="X118" i="84"/>
  <c r="T118" i="84"/>
  <c r="Z118" i="84" s="1"/>
  <c r="P118" i="84"/>
  <c r="N118" i="84"/>
  <c r="L118" i="84"/>
  <c r="H118" i="84"/>
  <c r="D118" i="84"/>
  <c r="B118" i="84"/>
  <c r="Z117" i="84"/>
  <c r="X117" i="84"/>
  <c r="N117" i="84"/>
  <c r="L117" i="84"/>
  <c r="B117" i="84"/>
  <c r="T116" i="84"/>
  <c r="Z116" i="84" s="1"/>
  <c r="P116" i="84"/>
  <c r="X116" i="84" s="1"/>
  <c r="H116" i="84"/>
  <c r="D116" i="84"/>
  <c r="B116" i="84"/>
  <c r="X115" i="84"/>
  <c r="Z115" i="84" s="1"/>
  <c r="N115" i="84"/>
  <c r="L115" i="84"/>
  <c r="B115" i="84"/>
  <c r="T114" i="84"/>
  <c r="P114" i="84"/>
  <c r="X114" i="84" s="1"/>
  <c r="Z114" i="84" s="1"/>
  <c r="H114" i="84"/>
  <c r="D114" i="84"/>
  <c r="L114" i="84" s="1"/>
  <c r="N114" i="84" s="1"/>
  <c r="B114" i="84"/>
  <c r="X113" i="84"/>
  <c r="Z113" i="84" s="1"/>
  <c r="N113" i="84"/>
  <c r="L113" i="84"/>
  <c r="B113" i="84"/>
  <c r="Z112" i="84"/>
  <c r="X112" i="84"/>
  <c r="N112" i="84"/>
  <c r="L112" i="84"/>
  <c r="B112" i="84"/>
  <c r="Z111" i="84"/>
  <c r="X111" i="84"/>
  <c r="L111" i="84"/>
  <c r="N111" i="84" s="1"/>
  <c r="B111" i="84"/>
  <c r="X110" i="84"/>
  <c r="Z110" i="84" s="1"/>
  <c r="N110" i="84"/>
  <c r="L110" i="84"/>
  <c r="B110" i="84"/>
  <c r="X109" i="84"/>
  <c r="Z109" i="84" s="1"/>
  <c r="N109" i="84"/>
  <c r="L109" i="84"/>
  <c r="B109" i="84"/>
  <c r="Z108" i="84"/>
  <c r="X108" i="84"/>
  <c r="T108" i="84"/>
  <c r="P108" i="84"/>
  <c r="L108" i="84"/>
  <c r="H108" i="84"/>
  <c r="N108" i="84" s="1"/>
  <c r="D108" i="84"/>
  <c r="B108" i="84"/>
  <c r="X107" i="84"/>
  <c r="Z107" i="84" s="1"/>
  <c r="L107" i="84"/>
  <c r="N107" i="84" s="1"/>
  <c r="B107" i="84"/>
  <c r="Z106" i="84"/>
  <c r="X106" i="84"/>
  <c r="N106" i="84"/>
  <c r="L106" i="84"/>
  <c r="B106" i="84"/>
  <c r="T105" i="84"/>
  <c r="P105" i="84"/>
  <c r="X105" i="84" s="1"/>
  <c r="Z105" i="84" s="1"/>
  <c r="N105" i="84"/>
  <c r="L105" i="84"/>
  <c r="H105" i="84"/>
  <c r="D105" i="84"/>
  <c r="B105" i="84"/>
  <c r="X104" i="84"/>
  <c r="Z104" i="84" s="1"/>
  <c r="L104" i="84"/>
  <c r="N104" i="84" s="1"/>
  <c r="B104" i="84"/>
  <c r="X103" i="84"/>
  <c r="Z103" i="84" s="1"/>
  <c r="N103" i="84"/>
  <c r="L103" i="84"/>
  <c r="B103" i="84"/>
  <c r="Z102" i="84"/>
  <c r="X102" i="84"/>
  <c r="L102" i="84"/>
  <c r="N102" i="84" s="1"/>
  <c r="B102" i="84"/>
  <c r="X101" i="84"/>
  <c r="T101" i="84"/>
  <c r="P101" i="84"/>
  <c r="H101" i="84"/>
  <c r="D101" i="84"/>
  <c r="B101" i="84"/>
  <c r="Z100" i="84"/>
  <c r="X100" i="84"/>
  <c r="N100" i="84"/>
  <c r="L100" i="84"/>
  <c r="B100" i="84"/>
  <c r="Z99" i="84"/>
  <c r="X99" i="84"/>
  <c r="N99" i="84"/>
  <c r="L99" i="84"/>
  <c r="B99" i="84"/>
  <c r="X98" i="84"/>
  <c r="T98" i="84"/>
  <c r="Z98" i="84" s="1"/>
  <c r="P98" i="84"/>
  <c r="N98" i="84"/>
  <c r="L98" i="84"/>
  <c r="H98" i="84"/>
  <c r="D98" i="84"/>
  <c r="B98" i="84"/>
  <c r="Z97" i="84"/>
  <c r="X97" i="84"/>
  <c r="L97" i="84"/>
  <c r="N97" i="84" s="1"/>
  <c r="B97" i="84"/>
  <c r="T96" i="84"/>
  <c r="P96" i="84"/>
  <c r="X96" i="84" s="1"/>
  <c r="H96" i="84"/>
  <c r="D96" i="84"/>
  <c r="B96" i="84"/>
  <c r="X95" i="84"/>
  <c r="Z95" i="84" s="1"/>
  <c r="N95" i="84"/>
  <c r="L95" i="84"/>
  <c r="B95" i="84"/>
  <c r="T94" i="84"/>
  <c r="P94" i="84"/>
  <c r="X94" i="84" s="1"/>
  <c r="Z94" i="84" s="1"/>
  <c r="N94" i="84"/>
  <c r="H94" i="84"/>
  <c r="D94" i="84"/>
  <c r="L94" i="84" s="1"/>
  <c r="B94" i="84"/>
  <c r="X93" i="84"/>
  <c r="Z93" i="84" s="1"/>
  <c r="N93" i="84"/>
  <c r="L93" i="84"/>
  <c r="B93" i="84"/>
  <c r="X92" i="84"/>
  <c r="Z92" i="84" s="1"/>
  <c r="T92" i="84"/>
  <c r="P92" i="84"/>
  <c r="L92" i="84"/>
  <c r="H92" i="84"/>
  <c r="N92" i="84" s="1"/>
  <c r="D92" i="84"/>
  <c r="B92" i="84"/>
  <c r="Z91" i="84"/>
  <c r="X91" i="84"/>
  <c r="L91" i="84"/>
  <c r="N91" i="84" s="1"/>
  <c r="B91" i="84"/>
  <c r="T90" i="84"/>
  <c r="P90" i="84"/>
  <c r="H90" i="84"/>
  <c r="N90" i="84" s="1"/>
  <c r="D90" i="84"/>
  <c r="L90" i="84" s="1"/>
  <c r="B90" i="84"/>
  <c r="X89" i="84"/>
  <c r="Z89" i="84" s="1"/>
  <c r="N89" i="84"/>
  <c r="L89" i="84"/>
  <c r="B89" i="84"/>
  <c r="T88" i="84"/>
  <c r="P88" i="84"/>
  <c r="X88" i="84" s="1"/>
  <c r="Z88" i="84" s="1"/>
  <c r="N88" i="84"/>
  <c r="H88" i="84"/>
  <c r="D88" i="84"/>
  <c r="L88" i="84" s="1"/>
  <c r="B88" i="84"/>
  <c r="Z87" i="84"/>
  <c r="X87" i="84"/>
  <c r="N87" i="84"/>
  <c r="L87" i="84"/>
  <c r="B87" i="84"/>
  <c r="X86" i="84"/>
  <c r="T86" i="84"/>
  <c r="Z86" i="84" s="1"/>
  <c r="P86" i="84"/>
  <c r="N86" i="84"/>
  <c r="L86" i="84"/>
  <c r="H86" i="84"/>
  <c r="D86" i="84"/>
  <c r="B86" i="84"/>
  <c r="Z85" i="84"/>
  <c r="X85" i="84"/>
  <c r="N85" i="84"/>
  <c r="L85" i="84"/>
  <c r="B85" i="84"/>
  <c r="T84" i="84"/>
  <c r="Z84" i="84" s="1"/>
  <c r="P84" i="84"/>
  <c r="X84" i="84" s="1"/>
  <c r="H84" i="84"/>
  <c r="D84" i="84"/>
  <c r="B84" i="84"/>
  <c r="X83" i="84"/>
  <c r="Z83" i="84" s="1"/>
  <c r="N83" i="84"/>
  <c r="L83" i="84"/>
  <c r="B83" i="84"/>
  <c r="T82" i="84"/>
  <c r="P82" i="84"/>
  <c r="X82" i="84" s="1"/>
  <c r="Z82" i="84" s="1"/>
  <c r="H82" i="84"/>
  <c r="D82" i="84"/>
  <c r="L82" i="84" s="1"/>
  <c r="N82" i="84" s="1"/>
  <c r="B82" i="84"/>
  <c r="X81" i="84"/>
  <c r="Z81" i="84" s="1"/>
  <c r="N81" i="84"/>
  <c r="L81" i="84"/>
  <c r="B81" i="84"/>
  <c r="X80" i="84"/>
  <c r="Z80" i="84" s="1"/>
  <c r="T80" i="84"/>
  <c r="P80" i="84"/>
  <c r="L80" i="84"/>
  <c r="H80" i="84"/>
  <c r="N80" i="84" s="1"/>
  <c r="D80" i="84"/>
  <c r="B80" i="84"/>
  <c r="Z79" i="84"/>
  <c r="X79" i="84"/>
  <c r="L79" i="84"/>
  <c r="N79" i="84" s="1"/>
  <c r="B79" i="84"/>
  <c r="T78" i="84"/>
  <c r="P78" i="84"/>
  <c r="H78" i="84"/>
  <c r="N78" i="84" s="1"/>
  <c r="D78" i="84"/>
  <c r="L78" i="84" s="1"/>
  <c r="B78" i="84"/>
  <c r="X77" i="84"/>
  <c r="Z77" i="84" s="1"/>
  <c r="L77" i="84"/>
  <c r="N77" i="84" s="1"/>
  <c r="B77" i="84"/>
  <c r="T76" i="84"/>
  <c r="P76" i="84"/>
  <c r="X76" i="84" s="1"/>
  <c r="Z76" i="84" s="1"/>
  <c r="H76" i="84"/>
  <c r="D76" i="84"/>
  <c r="L76" i="84" s="1"/>
  <c r="N76" i="84" s="1"/>
  <c r="B76" i="84"/>
  <c r="Z75" i="84"/>
  <c r="X75" i="84"/>
  <c r="N75" i="84"/>
  <c r="L75" i="84"/>
  <c r="B75" i="84"/>
  <c r="X74" i="84"/>
  <c r="Z74" i="84" s="1"/>
  <c r="L74" i="84"/>
  <c r="N74" i="84" s="1"/>
  <c r="B74" i="84"/>
  <c r="X73" i="84"/>
  <c r="Z73" i="84" s="1"/>
  <c r="N73" i="84"/>
  <c r="L73" i="84"/>
  <c r="B73" i="84"/>
  <c r="Z72" i="84"/>
  <c r="X72" i="84"/>
  <c r="N72" i="84"/>
  <c r="L72" i="84"/>
  <c r="B72" i="84"/>
  <c r="Z71" i="84"/>
  <c r="X71" i="84"/>
  <c r="N71" i="84"/>
  <c r="L71" i="84"/>
  <c r="B71" i="84"/>
  <c r="X70" i="84"/>
  <c r="T70" i="84"/>
  <c r="Z70" i="84" s="1"/>
  <c r="P70" i="84"/>
  <c r="L70" i="84"/>
  <c r="N70" i="84" s="1"/>
  <c r="H70" i="84"/>
  <c r="D70" i="84"/>
  <c r="B70" i="84"/>
  <c r="Z69" i="84"/>
  <c r="X69" i="84"/>
  <c r="N69" i="84"/>
  <c r="L69" i="84"/>
  <c r="B69" i="84"/>
  <c r="Z68" i="84"/>
  <c r="X68" i="84"/>
  <c r="N68" i="84"/>
  <c r="L68" i="84"/>
  <c r="B68" i="84"/>
  <c r="Z67" i="84"/>
  <c r="X67" i="84"/>
  <c r="N67" i="84"/>
  <c r="L67" i="84"/>
  <c r="B67" i="84"/>
  <c r="X66" i="84"/>
  <c r="Z66" i="84" s="1"/>
  <c r="N66" i="84"/>
  <c r="L66" i="84"/>
  <c r="B66" i="84"/>
  <c r="Z65" i="84"/>
  <c r="X65" i="84"/>
  <c r="L65" i="84"/>
  <c r="N65" i="84" s="1"/>
  <c r="B65" i="84"/>
  <c r="Z64" i="84"/>
  <c r="X64" i="84"/>
  <c r="L64" i="84"/>
  <c r="N64" i="84" s="1"/>
  <c r="B64" i="84"/>
  <c r="X63" i="84"/>
  <c r="Z63" i="84" s="1"/>
  <c r="L63" i="84"/>
  <c r="N63" i="84" s="1"/>
  <c r="B63" i="84"/>
  <c r="X62" i="84"/>
  <c r="Z62" i="84" s="1"/>
  <c r="N62" i="84"/>
  <c r="L62" i="84"/>
  <c r="B62" i="84"/>
  <c r="Z61" i="84"/>
  <c r="T61" i="84"/>
  <c r="P61" i="84"/>
  <c r="X61" i="84" s="1"/>
  <c r="N61" i="84"/>
  <c r="L61" i="84"/>
  <c r="H61" i="84"/>
  <c r="D61" i="84"/>
  <c r="B61" i="84"/>
  <c r="T60" i="84"/>
  <c r="P60" i="84"/>
  <c r="X60" i="84" s="1"/>
  <c r="Z60" i="84" s="1"/>
  <c r="H60" i="84"/>
  <c r="D60" i="84"/>
  <c r="L60" i="84" s="1"/>
  <c r="N60" i="84" s="1"/>
  <c r="X56" i="84"/>
  <c r="Z56" i="84" s="1"/>
  <c r="N56" i="84"/>
  <c r="L56" i="84"/>
  <c r="B56" i="84"/>
  <c r="Z55" i="84"/>
  <c r="X55" i="84"/>
  <c r="N55" i="84"/>
  <c r="L55" i="84"/>
  <c r="B55" i="84"/>
  <c r="Z54" i="84"/>
  <c r="X54" i="84"/>
  <c r="L54" i="84"/>
  <c r="N54" i="84" s="1"/>
  <c r="B54" i="84"/>
  <c r="X53" i="84"/>
  <c r="Z53" i="84" s="1"/>
  <c r="L53" i="84"/>
  <c r="N53" i="84" s="1"/>
  <c r="B53" i="84"/>
  <c r="X52" i="84"/>
  <c r="Z52" i="84" s="1"/>
  <c r="N52" i="84"/>
  <c r="L52" i="84"/>
  <c r="B52" i="84"/>
  <c r="Z51" i="84"/>
  <c r="X51" i="84"/>
  <c r="N51" i="84"/>
  <c r="L51" i="84"/>
  <c r="B51" i="84"/>
  <c r="Z50" i="84"/>
  <c r="X50" i="84"/>
  <c r="N50" i="84"/>
  <c r="L50" i="84"/>
  <c r="B50" i="84"/>
  <c r="X49" i="84"/>
  <c r="Z49" i="84" s="1"/>
  <c r="L49" i="84"/>
  <c r="N49" i="84" s="1"/>
  <c r="B49" i="84"/>
  <c r="Z48" i="84"/>
  <c r="X48" i="84"/>
  <c r="N48" i="84"/>
  <c r="L48" i="84"/>
  <c r="B48" i="84"/>
  <c r="Z47" i="84"/>
  <c r="X47" i="84"/>
  <c r="N47" i="84"/>
  <c r="L47" i="84"/>
  <c r="B47" i="84"/>
  <c r="Z46" i="84"/>
  <c r="X46" i="84"/>
  <c r="L46" i="84"/>
  <c r="N46" i="84" s="1"/>
  <c r="B46" i="84"/>
  <c r="X45" i="84"/>
  <c r="Z45" i="84" s="1"/>
  <c r="L45" i="84"/>
  <c r="N45" i="84" s="1"/>
  <c r="B45" i="84"/>
  <c r="X44" i="84"/>
  <c r="Z44" i="84" s="1"/>
  <c r="L44" i="84"/>
  <c r="N44" i="84" s="1"/>
  <c r="B44" i="84"/>
  <c r="Z43" i="84"/>
  <c r="X43" i="84"/>
  <c r="N43" i="84"/>
  <c r="L43" i="84"/>
  <c r="B43" i="84"/>
  <c r="Z42" i="84"/>
  <c r="X42" i="84"/>
  <c r="N42" i="84"/>
  <c r="L42" i="84"/>
  <c r="B42" i="84"/>
  <c r="X41" i="84"/>
  <c r="Z41" i="84" s="1"/>
  <c r="N41" i="84"/>
  <c r="L41" i="84"/>
  <c r="B41" i="84"/>
  <c r="Z40" i="84"/>
  <c r="X40" i="84"/>
  <c r="N40" i="84"/>
  <c r="L40" i="84"/>
  <c r="B40" i="84"/>
  <c r="Z39" i="84"/>
  <c r="X39" i="84"/>
  <c r="N39" i="84"/>
  <c r="L39" i="84"/>
  <c r="B39" i="84"/>
  <c r="Z38" i="84"/>
  <c r="T38" i="84"/>
  <c r="P38" i="84"/>
  <c r="X38" i="84" s="1"/>
  <c r="L38" i="84"/>
  <c r="N38" i="84" s="1"/>
  <c r="H38" i="84"/>
  <c r="D38" i="84"/>
  <c r="Z36" i="84"/>
  <c r="T36" i="84"/>
  <c r="P36" i="84"/>
  <c r="X36" i="84" s="1"/>
  <c r="H36" i="84"/>
  <c r="N36" i="84" s="1"/>
  <c r="D36" i="84"/>
  <c r="B36" i="84"/>
  <c r="T35" i="84"/>
  <c r="P35" i="84"/>
  <c r="X35" i="84" s="1"/>
  <c r="H35" i="84"/>
  <c r="D35" i="84"/>
  <c r="B35" i="84"/>
  <c r="X34" i="84"/>
  <c r="Z34" i="84" s="1"/>
  <c r="T34" i="84"/>
  <c r="P34" i="84"/>
  <c r="N34" i="84"/>
  <c r="L34" i="84"/>
  <c r="H34" i="84"/>
  <c r="D34" i="84"/>
  <c r="B34" i="84"/>
  <c r="T33" i="84"/>
  <c r="P33" i="84"/>
  <c r="H33" i="84"/>
  <c r="D33" i="84"/>
  <c r="L33" i="84" s="1"/>
  <c r="N33" i="84" s="1"/>
  <c r="B33" i="84"/>
  <c r="Z32" i="84"/>
  <c r="T32" i="84"/>
  <c r="P32" i="84"/>
  <c r="X32" i="84" s="1"/>
  <c r="H32" i="84"/>
  <c r="D32" i="84"/>
  <c r="L32" i="84" s="1"/>
  <c r="B32" i="84"/>
  <c r="T31" i="84"/>
  <c r="P31" i="84"/>
  <c r="H31" i="84"/>
  <c r="D31" i="84"/>
  <c r="B31" i="84"/>
  <c r="Z30" i="84"/>
  <c r="X30" i="84"/>
  <c r="T30" i="84"/>
  <c r="P30" i="84"/>
  <c r="N30" i="84"/>
  <c r="L30" i="84"/>
  <c r="H30" i="84"/>
  <c r="D30" i="84"/>
  <c r="B30" i="84"/>
  <c r="T29" i="84"/>
  <c r="P29" i="84"/>
  <c r="N29" i="84"/>
  <c r="H29" i="84"/>
  <c r="D29" i="84"/>
  <c r="L29" i="84" s="1"/>
  <c r="B29" i="84"/>
  <c r="T28" i="84"/>
  <c r="P28" i="84"/>
  <c r="X28" i="84" s="1"/>
  <c r="Z28" i="84" s="1"/>
  <c r="H28" i="84"/>
  <c r="D28" i="84"/>
  <c r="B28" i="84"/>
  <c r="T27" i="84"/>
  <c r="P27" i="84"/>
  <c r="H27" i="84"/>
  <c r="N27" i="84" s="1"/>
  <c r="D27" i="84"/>
  <c r="B27" i="84"/>
  <c r="X26" i="84"/>
  <c r="Z26" i="84" s="1"/>
  <c r="T26" i="84"/>
  <c r="P26" i="84"/>
  <c r="L26" i="84"/>
  <c r="H26" i="84"/>
  <c r="D26" i="84"/>
  <c r="B26" i="84"/>
  <c r="T25" i="84"/>
  <c r="P25" i="84"/>
  <c r="H25" i="84"/>
  <c r="D25" i="84"/>
  <c r="L25" i="84" s="1"/>
  <c r="N25" i="84" s="1"/>
  <c r="B25" i="84"/>
  <c r="T24" i="84"/>
  <c r="P24" i="84"/>
  <c r="X24" i="84" s="1"/>
  <c r="Z24" i="84" s="1"/>
  <c r="H24" i="84"/>
  <c r="D24" i="84"/>
  <c r="B24" i="84"/>
  <c r="T23" i="84"/>
  <c r="P23" i="84"/>
  <c r="X23" i="84" s="1"/>
  <c r="H23" i="84"/>
  <c r="D23" i="84"/>
  <c r="B23" i="84"/>
  <c r="X22" i="84"/>
  <c r="Z22" i="84" s="1"/>
  <c r="T22" i="84"/>
  <c r="P22" i="84"/>
  <c r="N22" i="84"/>
  <c r="L22" i="84"/>
  <c r="H22" i="84"/>
  <c r="D22" i="84"/>
  <c r="B22" i="84"/>
  <c r="T21" i="84"/>
  <c r="P21" i="84"/>
  <c r="N21" i="84"/>
  <c r="H21" i="84"/>
  <c r="D21" i="84"/>
  <c r="B21" i="84"/>
  <c r="Z20" i="84"/>
  <c r="T20" i="84"/>
  <c r="P20" i="84"/>
  <c r="X20" i="84" s="1"/>
  <c r="H20" i="84"/>
  <c r="D20" i="84"/>
  <c r="L20" i="84" s="1"/>
  <c r="B20" i="84"/>
  <c r="T19" i="84"/>
  <c r="P19" i="84"/>
  <c r="H19" i="84"/>
  <c r="D19" i="84"/>
  <c r="B19" i="84"/>
  <c r="Z18" i="84"/>
  <c r="X18" i="84"/>
  <c r="T18" i="84"/>
  <c r="P18" i="84"/>
  <c r="L18" i="84"/>
  <c r="H18" i="84"/>
  <c r="N18" i="84" s="1"/>
  <c r="D18" i="84"/>
  <c r="B18" i="84"/>
  <c r="T17" i="84"/>
  <c r="P17" i="84"/>
  <c r="N17" i="84"/>
  <c r="H17" i="84"/>
  <c r="D17" i="84"/>
  <c r="L17" i="84" s="1"/>
  <c r="B17" i="84"/>
  <c r="T16" i="84"/>
  <c r="P16" i="84"/>
  <c r="X16" i="84" s="1"/>
  <c r="Z16" i="84" s="1"/>
  <c r="H16" i="84"/>
  <c r="N16" i="84" s="1"/>
  <c r="D16" i="84"/>
  <c r="B16" i="84"/>
  <c r="T15" i="84"/>
  <c r="P15" i="84"/>
  <c r="H15" i="84"/>
  <c r="D15" i="84"/>
  <c r="B15" i="84"/>
  <c r="X14" i="84"/>
  <c r="Z14" i="84" s="1"/>
  <c r="T14" i="84"/>
  <c r="P14" i="84"/>
  <c r="L14" i="84"/>
  <c r="H14" i="84"/>
  <c r="N14" i="84" s="1"/>
  <c r="D14" i="84"/>
  <c r="B14" i="84"/>
  <c r="T13" i="84"/>
  <c r="P13" i="84"/>
  <c r="N13" i="84"/>
  <c r="H13" i="84"/>
  <c r="D13" i="84"/>
  <c r="L13" i="84" s="1"/>
  <c r="B13" i="84"/>
  <c r="H12" i="84"/>
  <c r="J116" i="84" s="1"/>
  <c r="D6" i="84"/>
  <c r="D4" i="84"/>
  <c r="Z88" i="83"/>
  <c r="X88" i="83"/>
  <c r="L88" i="83"/>
  <c r="N88" i="83" s="1"/>
  <c r="Z84" i="83"/>
  <c r="X84" i="83"/>
  <c r="T84" i="83"/>
  <c r="P84" i="83"/>
  <c r="N84" i="83"/>
  <c r="H84" i="83"/>
  <c r="D84" i="83"/>
  <c r="L84" i="83" s="1"/>
  <c r="X82" i="83"/>
  <c r="Z82" i="83" s="1"/>
  <c r="L82" i="83"/>
  <c r="N82" i="83" s="1"/>
  <c r="B82" i="83"/>
  <c r="T81" i="83"/>
  <c r="P81" i="83"/>
  <c r="L81" i="83"/>
  <c r="H81" i="83"/>
  <c r="D81" i="83"/>
  <c r="B81" i="83"/>
  <c r="X80" i="83"/>
  <c r="Z80" i="83" s="1"/>
  <c r="V80" i="83"/>
  <c r="N80" i="83"/>
  <c r="L80" i="83"/>
  <c r="B80" i="83"/>
  <c r="T79" i="83"/>
  <c r="P79" i="83"/>
  <c r="X79" i="83" s="1"/>
  <c r="H79" i="83"/>
  <c r="N79" i="83" s="1"/>
  <c r="F79" i="83"/>
  <c r="D79" i="83"/>
  <c r="B79" i="83"/>
  <c r="X78" i="83"/>
  <c r="Z78" i="83" s="1"/>
  <c r="N78" i="83"/>
  <c r="L78" i="83"/>
  <c r="B78" i="83"/>
  <c r="X77" i="83"/>
  <c r="Z77" i="83" s="1"/>
  <c r="T77" i="83"/>
  <c r="P77" i="83"/>
  <c r="N77" i="83"/>
  <c r="L77" i="83"/>
  <c r="H77" i="83"/>
  <c r="D77" i="83"/>
  <c r="B77" i="83"/>
  <c r="Z76" i="83"/>
  <c r="X76" i="83"/>
  <c r="N76" i="83"/>
  <c r="L76" i="83"/>
  <c r="B76" i="83"/>
  <c r="X75" i="83"/>
  <c r="Z75" i="83" s="1"/>
  <c r="L75" i="83"/>
  <c r="N75" i="83" s="1"/>
  <c r="B75" i="83"/>
  <c r="X74" i="83"/>
  <c r="Z74" i="83" s="1"/>
  <c r="L74" i="83"/>
  <c r="N74" i="83" s="1"/>
  <c r="B74" i="83"/>
  <c r="Z73" i="83"/>
  <c r="X73" i="83"/>
  <c r="N73" i="83"/>
  <c r="L73" i="83"/>
  <c r="B73" i="83"/>
  <c r="Z72" i="83"/>
  <c r="X72" i="83"/>
  <c r="L72" i="83"/>
  <c r="N72" i="83" s="1"/>
  <c r="F72" i="83"/>
  <c r="B72" i="83"/>
  <c r="X71" i="83"/>
  <c r="Z71" i="83" s="1"/>
  <c r="N71" i="83"/>
  <c r="L71" i="83"/>
  <c r="B71" i="83"/>
  <c r="X70" i="83"/>
  <c r="T70" i="83"/>
  <c r="P70" i="83"/>
  <c r="H70" i="83"/>
  <c r="D70" i="83"/>
  <c r="L70" i="83" s="1"/>
  <c r="N70" i="83" s="1"/>
  <c r="B70" i="83"/>
  <c r="Z69" i="83"/>
  <c r="X69" i="83"/>
  <c r="N69" i="83"/>
  <c r="L69" i="83"/>
  <c r="B69" i="83"/>
  <c r="X68" i="83"/>
  <c r="Z68" i="83" s="1"/>
  <c r="N68" i="83"/>
  <c r="L68" i="83"/>
  <c r="B68" i="83"/>
  <c r="T67" i="83"/>
  <c r="P67" i="83"/>
  <c r="X67" i="83" s="1"/>
  <c r="N67" i="83"/>
  <c r="H67" i="83"/>
  <c r="D67" i="83"/>
  <c r="L67" i="83" s="1"/>
  <c r="B67" i="83"/>
  <c r="X66" i="83"/>
  <c r="Z66" i="83" s="1"/>
  <c r="L66" i="83"/>
  <c r="N66" i="83" s="1"/>
  <c r="B66" i="83"/>
  <c r="Z65" i="83"/>
  <c r="X65" i="83"/>
  <c r="N65" i="83"/>
  <c r="L65" i="83"/>
  <c r="B65" i="83"/>
  <c r="X64" i="83"/>
  <c r="Z64" i="83" s="1"/>
  <c r="N64" i="83"/>
  <c r="L64" i="83"/>
  <c r="B64" i="83"/>
  <c r="X63" i="83"/>
  <c r="Z63" i="83" s="1"/>
  <c r="N63" i="83"/>
  <c r="L63" i="83"/>
  <c r="B63" i="83"/>
  <c r="T62" i="83"/>
  <c r="P62" i="83"/>
  <c r="H62" i="83"/>
  <c r="D62" i="83"/>
  <c r="B62" i="83"/>
  <c r="Z61" i="83"/>
  <c r="X61" i="83"/>
  <c r="N61" i="83"/>
  <c r="L61" i="83"/>
  <c r="B61" i="83"/>
  <c r="Z60" i="83"/>
  <c r="X60" i="83"/>
  <c r="N60" i="83"/>
  <c r="L60" i="83"/>
  <c r="B60" i="83"/>
  <c r="Z59" i="83"/>
  <c r="X59" i="83"/>
  <c r="N59" i="83"/>
  <c r="L59" i="83"/>
  <c r="B59" i="83"/>
  <c r="T58" i="83"/>
  <c r="X58" i="83" s="1"/>
  <c r="P58" i="83"/>
  <c r="H58" i="83"/>
  <c r="D58" i="83"/>
  <c r="B58" i="83"/>
  <c r="Z57" i="83"/>
  <c r="X57" i="83"/>
  <c r="L57" i="83"/>
  <c r="N57" i="83" s="1"/>
  <c r="B57" i="83"/>
  <c r="T56" i="83"/>
  <c r="P56" i="83"/>
  <c r="H56" i="83"/>
  <c r="D56" i="83"/>
  <c r="L56" i="83" s="1"/>
  <c r="N56" i="83" s="1"/>
  <c r="B56" i="83"/>
  <c r="Z55" i="83"/>
  <c r="X55" i="83"/>
  <c r="L55" i="83"/>
  <c r="N55" i="83" s="1"/>
  <c r="B55" i="83"/>
  <c r="X54" i="83"/>
  <c r="T54" i="83"/>
  <c r="P54" i="83"/>
  <c r="L54" i="83"/>
  <c r="H54" i="83"/>
  <c r="D54" i="83"/>
  <c r="B54" i="83"/>
  <c r="Z53" i="83"/>
  <c r="X53" i="83"/>
  <c r="N53" i="83"/>
  <c r="L53" i="83"/>
  <c r="B53" i="83"/>
  <c r="T52" i="83"/>
  <c r="Z52" i="83" s="1"/>
  <c r="P52" i="83"/>
  <c r="X52" i="83" s="1"/>
  <c r="L52" i="83"/>
  <c r="N52" i="83" s="1"/>
  <c r="H52" i="83"/>
  <c r="D52" i="83"/>
  <c r="B52" i="83"/>
  <c r="X51" i="83"/>
  <c r="Z51" i="83" s="1"/>
  <c r="L51" i="83"/>
  <c r="N51" i="83" s="1"/>
  <c r="B51" i="83"/>
  <c r="T50" i="83"/>
  <c r="P50" i="83"/>
  <c r="X50" i="83" s="1"/>
  <c r="Z50" i="83" s="1"/>
  <c r="L50" i="83"/>
  <c r="H50" i="83"/>
  <c r="D50" i="83"/>
  <c r="B50" i="83"/>
  <c r="Z49" i="83"/>
  <c r="X49" i="83"/>
  <c r="N49" i="83"/>
  <c r="L49" i="83"/>
  <c r="F49" i="83"/>
  <c r="B49" i="83"/>
  <c r="X48" i="83"/>
  <c r="T48" i="83"/>
  <c r="P48" i="83"/>
  <c r="N48" i="83"/>
  <c r="L48" i="83"/>
  <c r="H48" i="83"/>
  <c r="D48" i="83"/>
  <c r="B48" i="83"/>
  <c r="Z47" i="83"/>
  <c r="X47" i="83"/>
  <c r="L47" i="83"/>
  <c r="N47" i="83" s="1"/>
  <c r="B47" i="83"/>
  <c r="Z46" i="83"/>
  <c r="X46" i="83"/>
  <c r="L46" i="83"/>
  <c r="N46" i="83" s="1"/>
  <c r="B46" i="83"/>
  <c r="T45" i="83"/>
  <c r="X45" i="83" s="1"/>
  <c r="P45" i="83"/>
  <c r="H45" i="83"/>
  <c r="D45" i="83"/>
  <c r="L45" i="83" s="1"/>
  <c r="N45" i="83" s="1"/>
  <c r="B45" i="83"/>
  <c r="X44" i="83"/>
  <c r="Z44" i="83" s="1"/>
  <c r="L44" i="83"/>
  <c r="N44" i="83" s="1"/>
  <c r="B44" i="83"/>
  <c r="V43" i="83"/>
  <c r="T43" i="83"/>
  <c r="P43" i="83"/>
  <c r="X43" i="83" s="1"/>
  <c r="H43" i="83"/>
  <c r="D43" i="83"/>
  <c r="L43" i="83" s="1"/>
  <c r="N43" i="83" s="1"/>
  <c r="B43" i="83"/>
  <c r="Z42" i="83"/>
  <c r="X42" i="83"/>
  <c r="L42" i="83"/>
  <c r="N42" i="83" s="1"/>
  <c r="B42" i="83"/>
  <c r="T41" i="83"/>
  <c r="P41" i="83"/>
  <c r="X41" i="83" s="1"/>
  <c r="H41" i="83"/>
  <c r="D41" i="83"/>
  <c r="L41" i="83" s="1"/>
  <c r="N41" i="83" s="1"/>
  <c r="B41" i="83"/>
  <c r="Z40" i="83"/>
  <c r="X40" i="83"/>
  <c r="L40" i="83"/>
  <c r="N40" i="83" s="1"/>
  <c r="B40" i="83"/>
  <c r="X39" i="83"/>
  <c r="Z39" i="83" s="1"/>
  <c r="T39" i="83"/>
  <c r="P39" i="83"/>
  <c r="H39" i="83"/>
  <c r="D39" i="83"/>
  <c r="B39" i="83"/>
  <c r="Z38" i="83"/>
  <c r="X38" i="83"/>
  <c r="L38" i="83"/>
  <c r="N38" i="83" s="1"/>
  <c r="B38" i="83"/>
  <c r="Z37" i="83"/>
  <c r="X37" i="83"/>
  <c r="V37" i="83"/>
  <c r="N37" i="83"/>
  <c r="L37" i="83"/>
  <c r="B37" i="83"/>
  <c r="Z36" i="83"/>
  <c r="X36" i="83"/>
  <c r="L36" i="83"/>
  <c r="N36" i="83" s="1"/>
  <c r="B36" i="83"/>
  <c r="X35" i="83"/>
  <c r="Z35" i="83" s="1"/>
  <c r="V35" i="83"/>
  <c r="L35" i="83"/>
  <c r="N35" i="83" s="1"/>
  <c r="B35" i="83"/>
  <c r="Z34" i="83"/>
  <c r="X34" i="83"/>
  <c r="N34" i="83"/>
  <c r="L34" i="83"/>
  <c r="B34" i="83"/>
  <c r="Z33" i="83"/>
  <c r="X33" i="83"/>
  <c r="L33" i="83"/>
  <c r="N33" i="83" s="1"/>
  <c r="B33" i="83"/>
  <c r="X32" i="83"/>
  <c r="Z32" i="83" s="1"/>
  <c r="V32" i="83"/>
  <c r="T32" i="83"/>
  <c r="P32" i="83"/>
  <c r="N32" i="83"/>
  <c r="L32" i="83"/>
  <c r="H32" i="83"/>
  <c r="D32" i="83"/>
  <c r="B32" i="83"/>
  <c r="X31" i="83"/>
  <c r="Z31" i="83" s="1"/>
  <c r="V31" i="83"/>
  <c r="N31" i="83"/>
  <c r="L31" i="83"/>
  <c r="B31" i="83"/>
  <c r="X30" i="83"/>
  <c r="Z30" i="83" s="1"/>
  <c r="L30" i="83"/>
  <c r="N30" i="83" s="1"/>
  <c r="F30" i="83"/>
  <c r="B30" i="83"/>
  <c r="X29" i="83"/>
  <c r="Z29" i="83" s="1"/>
  <c r="N29" i="83"/>
  <c r="L29" i="83"/>
  <c r="B29" i="83"/>
  <c r="X28" i="83"/>
  <c r="Z28" i="83" s="1"/>
  <c r="V28" i="83"/>
  <c r="N28" i="83"/>
  <c r="L28" i="83"/>
  <c r="B28" i="83"/>
  <c r="X27" i="83"/>
  <c r="Z27" i="83" s="1"/>
  <c r="N27" i="83"/>
  <c r="L27" i="83"/>
  <c r="B27" i="83"/>
  <c r="X26" i="83"/>
  <c r="Z26" i="83" s="1"/>
  <c r="L26" i="83"/>
  <c r="N26" i="83" s="1"/>
  <c r="B26" i="83"/>
  <c r="X25" i="83"/>
  <c r="Z25" i="83" s="1"/>
  <c r="N25" i="83"/>
  <c r="L25" i="83"/>
  <c r="B25" i="83"/>
  <c r="X24" i="83"/>
  <c r="Z24" i="83" s="1"/>
  <c r="V24" i="83"/>
  <c r="N24" i="83"/>
  <c r="L24" i="83"/>
  <c r="F24" i="83"/>
  <c r="B24" i="83"/>
  <c r="T23" i="83"/>
  <c r="P23" i="83"/>
  <c r="X23" i="83" s="1"/>
  <c r="Z23" i="83" s="1"/>
  <c r="L23" i="83"/>
  <c r="H23" i="83"/>
  <c r="D23" i="83"/>
  <c r="B23" i="83"/>
  <c r="T22" i="83"/>
  <c r="P22" i="83"/>
  <c r="X22" i="83" s="1"/>
  <c r="H22" i="83"/>
  <c r="D22" i="83"/>
  <c r="L22" i="83" s="1"/>
  <c r="X18" i="83"/>
  <c r="Z18" i="83" s="1"/>
  <c r="N18" i="83"/>
  <c r="L18" i="83"/>
  <c r="B18" i="83"/>
  <c r="Z17" i="83"/>
  <c r="X17" i="83"/>
  <c r="V17" i="83"/>
  <c r="N17" i="83"/>
  <c r="L17" i="83"/>
  <c r="B17" i="83"/>
  <c r="T16" i="83"/>
  <c r="Z16" i="83" s="1"/>
  <c r="P16" i="83"/>
  <c r="X16" i="83" s="1"/>
  <c r="H16" i="83"/>
  <c r="D16" i="83"/>
  <c r="T14" i="83"/>
  <c r="P14" i="83"/>
  <c r="H14" i="83"/>
  <c r="D14" i="83"/>
  <c r="L14" i="83" s="1"/>
  <c r="B14" i="83"/>
  <c r="T13" i="83"/>
  <c r="T12" i="83" s="1"/>
  <c r="P13" i="83"/>
  <c r="P12" i="83" s="1"/>
  <c r="R70" i="83" s="1"/>
  <c r="N13" i="83"/>
  <c r="L13" i="83"/>
  <c r="H13" i="83"/>
  <c r="D13" i="83"/>
  <c r="B13" i="83"/>
  <c r="D12" i="83"/>
  <c r="F60" i="83" s="1"/>
  <c r="D6" i="83"/>
  <c r="D4" i="83"/>
  <c r="Z32" i="82"/>
  <c r="X32" i="82"/>
  <c r="N32" i="82"/>
  <c r="L32" i="82"/>
  <c r="T28" i="82"/>
  <c r="X28" i="82" s="1"/>
  <c r="P28" i="82"/>
  <c r="H28" i="82"/>
  <c r="N28" i="82" s="1"/>
  <c r="D28" i="82"/>
  <c r="Z26" i="82"/>
  <c r="X26" i="82"/>
  <c r="R26" i="82"/>
  <c r="N26" i="82"/>
  <c r="L26" i="82"/>
  <c r="B26" i="82"/>
  <c r="T25" i="82"/>
  <c r="P25" i="82"/>
  <c r="N25" i="82"/>
  <c r="H25" i="82"/>
  <c r="D25" i="82"/>
  <c r="L25" i="82" s="1"/>
  <c r="B25" i="82"/>
  <c r="T24" i="82"/>
  <c r="R24" i="82"/>
  <c r="P24" i="82"/>
  <c r="X24" i="82" s="1"/>
  <c r="Z24" i="82" s="1"/>
  <c r="N24" i="82"/>
  <c r="H24" i="82"/>
  <c r="D24" i="82"/>
  <c r="L24" i="82" s="1"/>
  <c r="Z20" i="82"/>
  <c r="X20" i="82"/>
  <c r="L20" i="82"/>
  <c r="N20" i="82" s="1"/>
  <c r="B20" i="82"/>
  <c r="X19" i="82"/>
  <c r="Z19" i="82" s="1"/>
  <c r="L19" i="82"/>
  <c r="N19" i="82" s="1"/>
  <c r="F19" i="82"/>
  <c r="B19" i="82"/>
  <c r="T18" i="82"/>
  <c r="P18" i="82"/>
  <c r="X18" i="82" s="1"/>
  <c r="Z18" i="82" s="1"/>
  <c r="J18" i="82"/>
  <c r="H18" i="82"/>
  <c r="F18" i="82"/>
  <c r="D18" i="82"/>
  <c r="L18" i="82" s="1"/>
  <c r="N18" i="82" s="1"/>
  <c r="T16" i="82"/>
  <c r="P16" i="82"/>
  <c r="X16" i="82" s="1"/>
  <c r="Z16" i="82" s="1"/>
  <c r="H16" i="82"/>
  <c r="L16" i="82" s="1"/>
  <c r="N16" i="82" s="1"/>
  <c r="D16" i="82"/>
  <c r="B16" i="82"/>
  <c r="X15" i="82"/>
  <c r="T15" i="82"/>
  <c r="P15" i="82"/>
  <c r="H15" i="82"/>
  <c r="N15" i="82" s="1"/>
  <c r="D15" i="82"/>
  <c r="L15" i="82" s="1"/>
  <c r="B15" i="82"/>
  <c r="T14" i="82"/>
  <c r="P14" i="82"/>
  <c r="X14" i="82" s="1"/>
  <c r="N14" i="82"/>
  <c r="L14" i="82"/>
  <c r="H14" i="82"/>
  <c r="D14" i="82"/>
  <c r="B14" i="82"/>
  <c r="X13" i="82"/>
  <c r="T13" i="82"/>
  <c r="P13" i="82"/>
  <c r="P12" i="82" s="1"/>
  <c r="H13" i="82"/>
  <c r="D13" i="82"/>
  <c r="D12" i="82" s="1"/>
  <c r="B13" i="82"/>
  <c r="H12" i="82"/>
  <c r="J20" i="82" s="1"/>
  <c r="D6" i="82"/>
  <c r="D4" i="82"/>
  <c r="Z84" i="80"/>
  <c r="X84" i="80"/>
  <c r="N84" i="80"/>
  <c r="L84" i="80"/>
  <c r="Z80" i="80"/>
  <c r="T80" i="80"/>
  <c r="P80" i="80"/>
  <c r="X80" i="80" s="1"/>
  <c r="H80" i="80"/>
  <c r="N80" i="80" s="1"/>
  <c r="D80" i="80"/>
  <c r="L80" i="80" s="1"/>
  <c r="Z78" i="80"/>
  <c r="X78" i="80"/>
  <c r="N78" i="80"/>
  <c r="L78" i="80"/>
  <c r="B78" i="80"/>
  <c r="X77" i="80"/>
  <c r="Z77" i="80" s="1"/>
  <c r="T77" i="80"/>
  <c r="P77" i="80"/>
  <c r="L77" i="80"/>
  <c r="H77" i="80"/>
  <c r="D77" i="80"/>
  <c r="B77" i="80"/>
  <c r="Z76" i="80"/>
  <c r="X76" i="80"/>
  <c r="N76" i="80"/>
  <c r="L76" i="80"/>
  <c r="B76" i="80"/>
  <c r="T75" i="80"/>
  <c r="Z75" i="80" s="1"/>
  <c r="P75" i="80"/>
  <c r="H75" i="80"/>
  <c r="N75" i="80" s="1"/>
  <c r="D75" i="80"/>
  <c r="B75" i="80"/>
  <c r="Z74" i="80"/>
  <c r="X74" i="80"/>
  <c r="N74" i="80"/>
  <c r="L74" i="80"/>
  <c r="B74" i="80"/>
  <c r="T73" i="80"/>
  <c r="P73" i="80"/>
  <c r="N73" i="80"/>
  <c r="H73" i="80"/>
  <c r="D73" i="80"/>
  <c r="L73" i="80" s="1"/>
  <c r="B73" i="80"/>
  <c r="Z72" i="80"/>
  <c r="X72" i="80"/>
  <c r="N72" i="80"/>
  <c r="L72" i="80"/>
  <c r="B72" i="80"/>
  <c r="X71" i="80"/>
  <c r="Z71" i="80" s="1"/>
  <c r="L71" i="80"/>
  <c r="N71" i="80" s="1"/>
  <c r="B71" i="80"/>
  <c r="Z70" i="80"/>
  <c r="X70" i="80"/>
  <c r="N70" i="80"/>
  <c r="L70" i="80"/>
  <c r="B70" i="80"/>
  <c r="X69" i="80"/>
  <c r="Z69" i="80" s="1"/>
  <c r="L69" i="80"/>
  <c r="N69" i="80" s="1"/>
  <c r="B69" i="80"/>
  <c r="Z68" i="80"/>
  <c r="X68" i="80"/>
  <c r="N68" i="80"/>
  <c r="L68" i="80"/>
  <c r="B68" i="80"/>
  <c r="X67" i="80"/>
  <c r="Z67" i="80" s="1"/>
  <c r="L67" i="80"/>
  <c r="N67" i="80" s="1"/>
  <c r="B67" i="80"/>
  <c r="Z66" i="80"/>
  <c r="X66" i="80"/>
  <c r="N66" i="80"/>
  <c r="L66" i="80"/>
  <c r="B66" i="80"/>
  <c r="X65" i="80"/>
  <c r="Z65" i="80" s="1"/>
  <c r="T65" i="80"/>
  <c r="P65" i="80"/>
  <c r="H65" i="80"/>
  <c r="D65" i="80"/>
  <c r="L65" i="80" s="1"/>
  <c r="B65" i="80"/>
  <c r="X64" i="80"/>
  <c r="Z64" i="80" s="1"/>
  <c r="N64" i="80"/>
  <c r="L64" i="80"/>
  <c r="B64" i="80"/>
  <c r="X63" i="80"/>
  <c r="T63" i="80"/>
  <c r="P63" i="80"/>
  <c r="H63" i="80"/>
  <c r="N63" i="80" s="1"/>
  <c r="D63" i="80"/>
  <c r="B63" i="80"/>
  <c r="Z62" i="80"/>
  <c r="X62" i="80"/>
  <c r="N62" i="80"/>
  <c r="L62" i="80"/>
  <c r="B62" i="80"/>
  <c r="X61" i="80"/>
  <c r="Z61" i="80" s="1"/>
  <c r="N61" i="80"/>
  <c r="L61" i="80"/>
  <c r="B61" i="80"/>
  <c r="Z60" i="80"/>
  <c r="X60" i="80"/>
  <c r="N60" i="80"/>
  <c r="L60" i="80"/>
  <c r="B60" i="80"/>
  <c r="Z59" i="80"/>
  <c r="T59" i="80"/>
  <c r="P59" i="80"/>
  <c r="X59" i="80" s="1"/>
  <c r="H59" i="80"/>
  <c r="D59" i="80"/>
  <c r="L59" i="80" s="1"/>
  <c r="B59" i="80"/>
  <c r="Z58" i="80"/>
  <c r="X58" i="80"/>
  <c r="N58" i="80"/>
  <c r="L58" i="80"/>
  <c r="J58" i="80"/>
  <c r="B58" i="80"/>
  <c r="Z57" i="80"/>
  <c r="X57" i="80"/>
  <c r="N57" i="80"/>
  <c r="L57" i="80"/>
  <c r="B57" i="80"/>
  <c r="T56" i="80"/>
  <c r="Z56" i="80" s="1"/>
  <c r="P56" i="80"/>
  <c r="X56" i="80" s="1"/>
  <c r="H56" i="80"/>
  <c r="D56" i="80"/>
  <c r="L56" i="80" s="1"/>
  <c r="N56" i="80" s="1"/>
  <c r="B56" i="80"/>
  <c r="X55" i="80"/>
  <c r="Z55" i="80" s="1"/>
  <c r="N55" i="80"/>
  <c r="L55" i="80"/>
  <c r="B55" i="80"/>
  <c r="Z54" i="80"/>
  <c r="X54" i="80"/>
  <c r="T54" i="80"/>
  <c r="P54" i="80"/>
  <c r="N54" i="80"/>
  <c r="L54" i="80"/>
  <c r="H54" i="80"/>
  <c r="D54" i="80"/>
  <c r="B54" i="80"/>
  <c r="X53" i="80"/>
  <c r="Z53" i="80" s="1"/>
  <c r="N53" i="80"/>
  <c r="L53" i="80"/>
  <c r="B53" i="80"/>
  <c r="T52" i="80"/>
  <c r="P52" i="80"/>
  <c r="J52" i="80"/>
  <c r="H52" i="80"/>
  <c r="D52" i="80"/>
  <c r="B52" i="80"/>
  <c r="X51" i="80"/>
  <c r="Z51" i="80" s="1"/>
  <c r="N51" i="80"/>
  <c r="L51" i="80"/>
  <c r="B51" i="80"/>
  <c r="T50" i="80"/>
  <c r="P50" i="80"/>
  <c r="X50" i="80" s="1"/>
  <c r="Z50" i="80" s="1"/>
  <c r="N50" i="80"/>
  <c r="H50" i="80"/>
  <c r="D50" i="80"/>
  <c r="L50" i="80" s="1"/>
  <c r="B50" i="80"/>
  <c r="X49" i="80"/>
  <c r="Z49" i="80" s="1"/>
  <c r="L49" i="80"/>
  <c r="N49" i="80" s="1"/>
  <c r="B49" i="80"/>
  <c r="Z48" i="80"/>
  <c r="X48" i="80"/>
  <c r="T48" i="80"/>
  <c r="P48" i="80"/>
  <c r="H48" i="80"/>
  <c r="D48" i="80"/>
  <c r="L48" i="80" s="1"/>
  <c r="N48" i="80" s="1"/>
  <c r="B48" i="80"/>
  <c r="Z47" i="80"/>
  <c r="X47" i="80"/>
  <c r="L47" i="80"/>
  <c r="N47" i="80" s="1"/>
  <c r="B47" i="80"/>
  <c r="T46" i="80"/>
  <c r="P46" i="80"/>
  <c r="H46" i="80"/>
  <c r="D46" i="80"/>
  <c r="B46" i="80"/>
  <c r="Z45" i="80"/>
  <c r="X45" i="80"/>
  <c r="L45" i="80"/>
  <c r="N45" i="80" s="1"/>
  <c r="B45" i="80"/>
  <c r="T44" i="80"/>
  <c r="P44" i="80"/>
  <c r="H44" i="80"/>
  <c r="D44" i="80"/>
  <c r="L44" i="80" s="1"/>
  <c r="N44" i="80" s="1"/>
  <c r="B44" i="80"/>
  <c r="X43" i="80"/>
  <c r="Z43" i="80" s="1"/>
  <c r="N43" i="80"/>
  <c r="L43" i="80"/>
  <c r="B43" i="80"/>
  <c r="T42" i="80"/>
  <c r="P42" i="80"/>
  <c r="X42" i="80" s="1"/>
  <c r="Z42" i="80" s="1"/>
  <c r="L42" i="80"/>
  <c r="N42" i="80" s="1"/>
  <c r="H42" i="80"/>
  <c r="D42" i="80"/>
  <c r="B42" i="80"/>
  <c r="Z41" i="80"/>
  <c r="X41" i="80"/>
  <c r="N41" i="80"/>
  <c r="L41" i="80"/>
  <c r="B41" i="80"/>
  <c r="T40" i="80"/>
  <c r="P40" i="80"/>
  <c r="H40" i="80"/>
  <c r="D40" i="80"/>
  <c r="B40" i="80"/>
  <c r="X39" i="80"/>
  <c r="Z39" i="80" s="1"/>
  <c r="L39" i="80"/>
  <c r="N39" i="80" s="1"/>
  <c r="B39" i="80"/>
  <c r="T38" i="80"/>
  <c r="P38" i="80"/>
  <c r="H38" i="80"/>
  <c r="N38" i="80" s="1"/>
  <c r="D38" i="80"/>
  <c r="L38" i="80" s="1"/>
  <c r="B38" i="80"/>
  <c r="X37" i="80"/>
  <c r="Z37" i="80" s="1"/>
  <c r="N37" i="80"/>
  <c r="L37" i="80"/>
  <c r="B37" i="80"/>
  <c r="X36" i="80"/>
  <c r="Z36" i="80" s="1"/>
  <c r="V36" i="80"/>
  <c r="L36" i="80"/>
  <c r="N36" i="80" s="1"/>
  <c r="B36" i="80"/>
  <c r="X35" i="80"/>
  <c r="Z35" i="80" s="1"/>
  <c r="L35" i="80"/>
  <c r="N35" i="80" s="1"/>
  <c r="B35" i="80"/>
  <c r="Z34" i="80"/>
  <c r="X34" i="80"/>
  <c r="N34" i="80"/>
  <c r="L34" i="80"/>
  <c r="J34" i="80"/>
  <c r="B34" i="80"/>
  <c r="X33" i="80"/>
  <c r="Z33" i="80" s="1"/>
  <c r="N33" i="80"/>
  <c r="L33" i="80"/>
  <c r="B33" i="80"/>
  <c r="X32" i="80"/>
  <c r="Z32" i="80" s="1"/>
  <c r="T32" i="80"/>
  <c r="P32" i="80"/>
  <c r="L32" i="80"/>
  <c r="N32" i="80" s="1"/>
  <c r="J32" i="80"/>
  <c r="H32" i="80"/>
  <c r="D32" i="80"/>
  <c r="B32" i="80"/>
  <c r="X31" i="80"/>
  <c r="Z31" i="80" s="1"/>
  <c r="L31" i="80"/>
  <c r="N31" i="80" s="1"/>
  <c r="B31" i="80"/>
  <c r="X30" i="80"/>
  <c r="Z30" i="80" s="1"/>
  <c r="N30" i="80"/>
  <c r="L30" i="80"/>
  <c r="B30" i="80"/>
  <c r="X29" i="80"/>
  <c r="Z29" i="80" s="1"/>
  <c r="L29" i="80"/>
  <c r="N29" i="80" s="1"/>
  <c r="B29" i="80"/>
  <c r="Z28" i="80"/>
  <c r="X28" i="80"/>
  <c r="N28" i="80"/>
  <c r="L28" i="80"/>
  <c r="J28" i="80"/>
  <c r="B28" i="80"/>
  <c r="Z27" i="80"/>
  <c r="X27" i="80"/>
  <c r="N27" i="80"/>
  <c r="L27" i="80"/>
  <c r="B27" i="80"/>
  <c r="X26" i="80"/>
  <c r="Z26" i="80" s="1"/>
  <c r="N26" i="80"/>
  <c r="L26" i="80"/>
  <c r="B26" i="80"/>
  <c r="X25" i="80"/>
  <c r="Z25" i="80" s="1"/>
  <c r="L25" i="80"/>
  <c r="N25" i="80" s="1"/>
  <c r="B25" i="80"/>
  <c r="X24" i="80"/>
  <c r="Z24" i="80" s="1"/>
  <c r="N24" i="80"/>
  <c r="L24" i="80"/>
  <c r="B24" i="80"/>
  <c r="X23" i="80"/>
  <c r="Z23" i="80" s="1"/>
  <c r="T23" i="80"/>
  <c r="P23" i="80"/>
  <c r="N23" i="80"/>
  <c r="L23" i="80"/>
  <c r="H23" i="80"/>
  <c r="D23" i="80"/>
  <c r="B23" i="80"/>
  <c r="T22" i="80"/>
  <c r="P22" i="80"/>
  <c r="J22" i="80"/>
  <c r="H22" i="80"/>
  <c r="D22" i="80"/>
  <c r="Z18" i="80"/>
  <c r="X18" i="80"/>
  <c r="N18" i="80"/>
  <c r="L18" i="80"/>
  <c r="J18" i="80"/>
  <c r="B18" i="80"/>
  <c r="Z17" i="80"/>
  <c r="X17" i="80"/>
  <c r="L17" i="80"/>
  <c r="N17" i="80" s="1"/>
  <c r="B17" i="80"/>
  <c r="T16" i="80"/>
  <c r="P16" i="80"/>
  <c r="J16" i="80"/>
  <c r="H16" i="80"/>
  <c r="D16" i="80"/>
  <c r="T14" i="80"/>
  <c r="T12" i="80" s="1"/>
  <c r="T20" i="80" s="1"/>
  <c r="P14" i="80"/>
  <c r="X14" i="80" s="1"/>
  <c r="L14" i="80"/>
  <c r="N14" i="80" s="1"/>
  <c r="H14" i="80"/>
  <c r="D14" i="80"/>
  <c r="B14" i="80"/>
  <c r="Z13" i="80"/>
  <c r="X13" i="80"/>
  <c r="T13" i="80"/>
  <c r="P13" i="80"/>
  <c r="P12" i="80" s="1"/>
  <c r="H13" i="80"/>
  <c r="D13" i="80"/>
  <c r="B13" i="80"/>
  <c r="H12" i="80"/>
  <c r="J76" i="80" s="1"/>
  <c r="D6" i="80"/>
  <c r="D4" i="80"/>
  <c r="Z75" i="79"/>
  <c r="X75" i="79"/>
  <c r="N75" i="79"/>
  <c r="L75" i="79"/>
  <c r="T71" i="79"/>
  <c r="Z71" i="79" s="1"/>
  <c r="P71" i="79"/>
  <c r="H71" i="79"/>
  <c r="N71" i="79" s="1"/>
  <c r="D71" i="79"/>
  <c r="Z69" i="79"/>
  <c r="X69" i="79"/>
  <c r="R69" i="79"/>
  <c r="L69" i="79"/>
  <c r="N69" i="79" s="1"/>
  <c r="B69" i="79"/>
  <c r="X68" i="79"/>
  <c r="Z68" i="79" s="1"/>
  <c r="T68" i="79"/>
  <c r="P68" i="79"/>
  <c r="J68" i="79"/>
  <c r="H68" i="79"/>
  <c r="N68" i="79" s="1"/>
  <c r="D68" i="79"/>
  <c r="L68" i="79" s="1"/>
  <c r="B68" i="79"/>
  <c r="Z67" i="79"/>
  <c r="X67" i="79"/>
  <c r="N67" i="79"/>
  <c r="L67" i="79"/>
  <c r="B67" i="79"/>
  <c r="X66" i="79"/>
  <c r="T66" i="79"/>
  <c r="P66" i="79"/>
  <c r="H66" i="79"/>
  <c r="N66" i="79" s="1"/>
  <c r="D66" i="79"/>
  <c r="L66" i="79" s="1"/>
  <c r="B66" i="79"/>
  <c r="X65" i="79"/>
  <c r="Z65" i="79" s="1"/>
  <c r="N65" i="79"/>
  <c r="L65" i="79"/>
  <c r="B65" i="79"/>
  <c r="T64" i="79"/>
  <c r="P64" i="79"/>
  <c r="X64" i="79" s="1"/>
  <c r="L64" i="79"/>
  <c r="N64" i="79" s="1"/>
  <c r="H64" i="79"/>
  <c r="D64" i="79"/>
  <c r="B64" i="79"/>
  <c r="Z63" i="79"/>
  <c r="X63" i="79"/>
  <c r="N63" i="79"/>
  <c r="L63" i="79"/>
  <c r="B63" i="79"/>
  <c r="X62" i="79"/>
  <c r="Z62" i="79" s="1"/>
  <c r="L62" i="79"/>
  <c r="N62" i="79" s="1"/>
  <c r="B62" i="79"/>
  <c r="Z61" i="79"/>
  <c r="X61" i="79"/>
  <c r="N61" i="79"/>
  <c r="L61" i="79"/>
  <c r="B61" i="79"/>
  <c r="Z60" i="79"/>
  <c r="X60" i="79"/>
  <c r="N60" i="79"/>
  <c r="L60" i="79"/>
  <c r="B60" i="79"/>
  <c r="Z59" i="79"/>
  <c r="X59" i="79"/>
  <c r="L59" i="79"/>
  <c r="N59" i="79" s="1"/>
  <c r="B59" i="79"/>
  <c r="Z58" i="79"/>
  <c r="X58" i="79"/>
  <c r="N58" i="79"/>
  <c r="L58" i="79"/>
  <c r="B58" i="79"/>
  <c r="T57" i="79"/>
  <c r="P57" i="79"/>
  <c r="H57" i="79"/>
  <c r="D57" i="79"/>
  <c r="L57" i="79" s="1"/>
  <c r="N57" i="79" s="1"/>
  <c r="B57" i="79"/>
  <c r="X56" i="79"/>
  <c r="Z56" i="79" s="1"/>
  <c r="L56" i="79"/>
  <c r="N56" i="79" s="1"/>
  <c r="B56" i="79"/>
  <c r="X55" i="79"/>
  <c r="Z55" i="79" s="1"/>
  <c r="N55" i="79"/>
  <c r="L55" i="79"/>
  <c r="B55" i="79"/>
  <c r="X54" i="79"/>
  <c r="Z54" i="79" s="1"/>
  <c r="N54" i="79"/>
  <c r="L54" i="79"/>
  <c r="B54" i="79"/>
  <c r="Z53" i="79"/>
  <c r="X53" i="79"/>
  <c r="T53" i="79"/>
  <c r="P53" i="79"/>
  <c r="N53" i="79"/>
  <c r="L53" i="79"/>
  <c r="H53" i="79"/>
  <c r="D53" i="79"/>
  <c r="B53" i="79"/>
  <c r="Z52" i="79"/>
  <c r="X52" i="79"/>
  <c r="N52" i="79"/>
  <c r="L52" i="79"/>
  <c r="J52" i="79"/>
  <c r="B52" i="79"/>
  <c r="T51" i="79"/>
  <c r="P51" i="79"/>
  <c r="H51" i="79"/>
  <c r="D51" i="79"/>
  <c r="B51" i="79"/>
  <c r="Z50" i="79"/>
  <c r="X50" i="79"/>
  <c r="N50" i="79"/>
  <c r="L50" i="79"/>
  <c r="B50" i="79"/>
  <c r="Z49" i="79"/>
  <c r="X49" i="79"/>
  <c r="N49" i="79"/>
  <c r="L49" i="79"/>
  <c r="B49" i="79"/>
  <c r="Z48" i="79"/>
  <c r="X48" i="79"/>
  <c r="R48" i="79"/>
  <c r="N48" i="79"/>
  <c r="L48" i="79"/>
  <c r="B48" i="79"/>
  <c r="Z47" i="79"/>
  <c r="T47" i="79"/>
  <c r="P47" i="79"/>
  <c r="X47" i="79" s="1"/>
  <c r="L47" i="79"/>
  <c r="H47" i="79"/>
  <c r="N47" i="79" s="1"/>
  <c r="D47" i="79"/>
  <c r="B47" i="79"/>
  <c r="X46" i="79"/>
  <c r="Z46" i="79" s="1"/>
  <c r="N46" i="79"/>
  <c r="L46" i="79"/>
  <c r="F46" i="79"/>
  <c r="B46" i="79"/>
  <c r="T45" i="79"/>
  <c r="P45" i="79"/>
  <c r="X45" i="79" s="1"/>
  <c r="Z45" i="79" s="1"/>
  <c r="L45" i="79"/>
  <c r="H45" i="79"/>
  <c r="N45" i="79" s="1"/>
  <c r="D45" i="79"/>
  <c r="B45" i="79"/>
  <c r="X44" i="79"/>
  <c r="Z44" i="79" s="1"/>
  <c r="N44" i="79"/>
  <c r="L44" i="79"/>
  <c r="B44" i="79"/>
  <c r="X43" i="79"/>
  <c r="T43" i="79"/>
  <c r="P43" i="79"/>
  <c r="L43" i="79"/>
  <c r="N43" i="79" s="1"/>
  <c r="H43" i="79"/>
  <c r="D43" i="79"/>
  <c r="B43" i="79"/>
  <c r="Z42" i="79"/>
  <c r="X42" i="79"/>
  <c r="N42" i="79"/>
  <c r="L42" i="79"/>
  <c r="B42" i="79"/>
  <c r="T41" i="79"/>
  <c r="P41" i="79"/>
  <c r="H41" i="79"/>
  <c r="D41" i="79"/>
  <c r="B41" i="79"/>
  <c r="X40" i="79"/>
  <c r="Z40" i="79" s="1"/>
  <c r="N40" i="79"/>
  <c r="L40" i="79"/>
  <c r="B40" i="79"/>
  <c r="T39" i="79"/>
  <c r="P39" i="79"/>
  <c r="X39" i="79" s="1"/>
  <c r="Z39" i="79" s="1"/>
  <c r="H39" i="79"/>
  <c r="D39" i="79"/>
  <c r="L39" i="79" s="1"/>
  <c r="N39" i="79" s="1"/>
  <c r="B39" i="79"/>
  <c r="X38" i="79"/>
  <c r="Z38" i="79" s="1"/>
  <c r="N38" i="79"/>
  <c r="L38" i="79"/>
  <c r="B38" i="79"/>
  <c r="X37" i="79"/>
  <c r="Z37" i="79" s="1"/>
  <c r="T37" i="79"/>
  <c r="P37" i="79"/>
  <c r="L37" i="79"/>
  <c r="H37" i="79"/>
  <c r="N37" i="79" s="1"/>
  <c r="D37" i="79"/>
  <c r="B37" i="79"/>
  <c r="Z36" i="79"/>
  <c r="X36" i="79"/>
  <c r="L36" i="79"/>
  <c r="N36" i="79" s="1"/>
  <c r="J36" i="79"/>
  <c r="B36" i="79"/>
  <c r="X35" i="79"/>
  <c r="Z35" i="79" s="1"/>
  <c r="N35" i="79"/>
  <c r="L35" i="79"/>
  <c r="B35" i="79"/>
  <c r="Z34" i="79"/>
  <c r="X34" i="79"/>
  <c r="N34" i="79"/>
  <c r="L34" i="79"/>
  <c r="B34" i="79"/>
  <c r="Z33" i="79"/>
  <c r="X33" i="79"/>
  <c r="R33" i="79"/>
  <c r="L33" i="79"/>
  <c r="N33" i="79" s="1"/>
  <c r="B33" i="79"/>
  <c r="Z32" i="79"/>
  <c r="X32" i="79"/>
  <c r="N32" i="79"/>
  <c r="L32" i="79"/>
  <c r="J32" i="79"/>
  <c r="B32" i="79"/>
  <c r="T31" i="79"/>
  <c r="P31" i="79"/>
  <c r="H31" i="79"/>
  <c r="D31" i="79"/>
  <c r="L31" i="79" s="1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L27" i="79"/>
  <c r="N27" i="79" s="1"/>
  <c r="B27" i="79"/>
  <c r="Z26" i="79"/>
  <c r="X26" i="79"/>
  <c r="N26" i="79"/>
  <c r="L26" i="79"/>
  <c r="B26" i="79"/>
  <c r="X25" i="79"/>
  <c r="Z25" i="79" s="1"/>
  <c r="L25" i="79"/>
  <c r="N25" i="79" s="1"/>
  <c r="B25" i="79"/>
  <c r="X24" i="79"/>
  <c r="Z24" i="79" s="1"/>
  <c r="N24" i="79"/>
  <c r="L24" i="79"/>
  <c r="B24" i="79"/>
  <c r="T23" i="79"/>
  <c r="P23" i="79"/>
  <c r="X23" i="79" s="1"/>
  <c r="Z23" i="79" s="1"/>
  <c r="H23" i="79"/>
  <c r="N23" i="79" s="1"/>
  <c r="D23" i="79"/>
  <c r="L23" i="79" s="1"/>
  <c r="B23" i="79"/>
  <c r="T22" i="79"/>
  <c r="R22" i="79"/>
  <c r="P22" i="79"/>
  <c r="H22" i="79"/>
  <c r="D22" i="79"/>
  <c r="L22" i="79" s="1"/>
  <c r="N22" i="79" s="1"/>
  <c r="X18" i="79"/>
  <c r="Z18" i="79" s="1"/>
  <c r="N18" i="79"/>
  <c r="L18" i="79"/>
  <c r="B18" i="79"/>
  <c r="X17" i="79"/>
  <c r="Z17" i="79" s="1"/>
  <c r="N17" i="79"/>
  <c r="L17" i="79"/>
  <c r="F17" i="79"/>
  <c r="B17" i="79"/>
  <c r="T16" i="79"/>
  <c r="P16" i="79"/>
  <c r="X16" i="79" s="1"/>
  <c r="Z16" i="79" s="1"/>
  <c r="H16" i="79"/>
  <c r="F16" i="79"/>
  <c r="D16" i="79"/>
  <c r="T14" i="79"/>
  <c r="P14" i="79"/>
  <c r="X14" i="79" s="1"/>
  <c r="Z14" i="79" s="1"/>
  <c r="H14" i="79"/>
  <c r="D14" i="79"/>
  <c r="L14" i="79" s="1"/>
  <c r="N14" i="79" s="1"/>
  <c r="B14" i="79"/>
  <c r="X13" i="79"/>
  <c r="Z13" i="79" s="1"/>
  <c r="T13" i="79"/>
  <c r="T12" i="79" s="1"/>
  <c r="P13" i="79"/>
  <c r="P12" i="79" s="1"/>
  <c r="R57" i="79" s="1"/>
  <c r="H13" i="79"/>
  <c r="D13" i="79"/>
  <c r="D12" i="79" s="1"/>
  <c r="F45" i="79" s="1"/>
  <c r="B13" i="79"/>
  <c r="H12" i="79"/>
  <c r="D6" i="79"/>
  <c r="D4" i="79"/>
  <c r="Z73" i="78"/>
  <c r="X73" i="78"/>
  <c r="L73" i="78"/>
  <c r="N73" i="78" s="1"/>
  <c r="J73" i="78"/>
  <c r="T69" i="78"/>
  <c r="P69" i="78"/>
  <c r="X69" i="78" s="1"/>
  <c r="Z69" i="78" s="1"/>
  <c r="H69" i="78"/>
  <c r="N69" i="78" s="1"/>
  <c r="F69" i="78"/>
  <c r="D69" i="78"/>
  <c r="B69" i="78"/>
  <c r="T68" i="78"/>
  <c r="P68" i="78"/>
  <c r="H68" i="78"/>
  <c r="D68" i="78"/>
  <c r="B68" i="78"/>
  <c r="T67" i="78"/>
  <c r="P67" i="78"/>
  <c r="X67" i="78" s="1"/>
  <c r="L67" i="78"/>
  <c r="J67" i="78"/>
  <c r="H67" i="78"/>
  <c r="N67" i="78" s="1"/>
  <c r="D67" i="78"/>
  <c r="B67" i="78"/>
  <c r="X66" i="78"/>
  <c r="Z66" i="78" s="1"/>
  <c r="T66" i="78"/>
  <c r="P66" i="78"/>
  <c r="L66" i="78"/>
  <c r="H66" i="78"/>
  <c r="D66" i="78"/>
  <c r="B66" i="78"/>
  <c r="T65" i="78"/>
  <c r="T64" i="78" s="1"/>
  <c r="P65" i="78"/>
  <c r="X65" i="78" s="1"/>
  <c r="Z65" i="78" s="1"/>
  <c r="N65" i="78"/>
  <c r="H65" i="78"/>
  <c r="D65" i="78"/>
  <c r="L65" i="78" s="1"/>
  <c r="B65" i="78"/>
  <c r="P64" i="78"/>
  <c r="X64" i="78" s="1"/>
  <c r="D64" i="78"/>
  <c r="Z62" i="78"/>
  <c r="X62" i="78"/>
  <c r="L62" i="78"/>
  <c r="N62" i="78" s="1"/>
  <c r="B62" i="78"/>
  <c r="X61" i="78"/>
  <c r="T61" i="78"/>
  <c r="Z61" i="78" s="1"/>
  <c r="P61" i="78"/>
  <c r="L61" i="78"/>
  <c r="J61" i="78"/>
  <c r="H61" i="78"/>
  <c r="N61" i="78" s="1"/>
  <c r="D61" i="78"/>
  <c r="B61" i="78"/>
  <c r="X60" i="78"/>
  <c r="Z60" i="78" s="1"/>
  <c r="N60" i="78"/>
  <c r="L60" i="78"/>
  <c r="F60" i="78"/>
  <c r="B60" i="78"/>
  <c r="Z59" i="78"/>
  <c r="X59" i="78"/>
  <c r="N59" i="78"/>
  <c r="L59" i="78"/>
  <c r="B59" i="78"/>
  <c r="X58" i="78"/>
  <c r="Z58" i="78" s="1"/>
  <c r="L58" i="78"/>
  <c r="N58" i="78" s="1"/>
  <c r="F58" i="78"/>
  <c r="B58" i="78"/>
  <c r="T57" i="78"/>
  <c r="R57" i="78"/>
  <c r="P57" i="78"/>
  <c r="H57" i="78"/>
  <c r="F57" i="78"/>
  <c r="D57" i="78"/>
  <c r="L57" i="78" s="1"/>
  <c r="N57" i="78" s="1"/>
  <c r="B57" i="78"/>
  <c r="Z56" i="78"/>
  <c r="X56" i="78"/>
  <c r="R56" i="78"/>
  <c r="L56" i="78"/>
  <c r="N56" i="78" s="1"/>
  <c r="B56" i="78"/>
  <c r="T55" i="78"/>
  <c r="P55" i="78"/>
  <c r="X55" i="78" s="1"/>
  <c r="Z55" i="78" s="1"/>
  <c r="H55" i="78"/>
  <c r="D55" i="78"/>
  <c r="L55" i="78" s="1"/>
  <c r="N55" i="78" s="1"/>
  <c r="B55" i="78"/>
  <c r="Z54" i="78"/>
  <c r="X54" i="78"/>
  <c r="N54" i="78"/>
  <c r="L54" i="78"/>
  <c r="B54" i="78"/>
  <c r="X53" i="78"/>
  <c r="T53" i="78"/>
  <c r="Z53" i="78" s="1"/>
  <c r="P53" i="78"/>
  <c r="L53" i="78"/>
  <c r="J53" i="78"/>
  <c r="H53" i="78"/>
  <c r="N53" i="78" s="1"/>
  <c r="D53" i="78"/>
  <c r="B53" i="78"/>
  <c r="X52" i="78"/>
  <c r="Z52" i="78" s="1"/>
  <c r="N52" i="78"/>
  <c r="L52" i="78"/>
  <c r="F52" i="78"/>
  <c r="B52" i="78"/>
  <c r="Z51" i="78"/>
  <c r="X51" i="78"/>
  <c r="N51" i="78"/>
  <c r="L51" i="78"/>
  <c r="B51" i="78"/>
  <c r="X50" i="78"/>
  <c r="T50" i="78"/>
  <c r="Z50" i="78" s="1"/>
  <c r="P50" i="78"/>
  <c r="L50" i="78"/>
  <c r="N50" i="78" s="1"/>
  <c r="H50" i="78"/>
  <c r="D50" i="78"/>
  <c r="B50" i="78"/>
  <c r="Z49" i="78"/>
  <c r="X49" i="78"/>
  <c r="L49" i="78"/>
  <c r="N49" i="78" s="1"/>
  <c r="J49" i="78"/>
  <c r="B49" i="78"/>
  <c r="T48" i="78"/>
  <c r="P48" i="78"/>
  <c r="X48" i="78" s="1"/>
  <c r="H48" i="78"/>
  <c r="D48" i="78"/>
  <c r="B48" i="78"/>
  <c r="X47" i="78"/>
  <c r="Z47" i="78" s="1"/>
  <c r="N47" i="78"/>
  <c r="L47" i="78"/>
  <c r="B47" i="78"/>
  <c r="T46" i="78"/>
  <c r="P46" i="78"/>
  <c r="X46" i="78" s="1"/>
  <c r="Z46" i="78" s="1"/>
  <c r="H46" i="78"/>
  <c r="D46" i="78"/>
  <c r="L46" i="78" s="1"/>
  <c r="N46" i="78" s="1"/>
  <c r="B46" i="78"/>
  <c r="X45" i="78"/>
  <c r="Z45" i="78" s="1"/>
  <c r="N45" i="78"/>
  <c r="L45" i="78"/>
  <c r="B45" i="78"/>
  <c r="X44" i="78"/>
  <c r="Z44" i="78" s="1"/>
  <c r="N44" i="78"/>
  <c r="L44" i="78"/>
  <c r="F44" i="78"/>
  <c r="B44" i="78"/>
  <c r="Z43" i="78"/>
  <c r="X43" i="78"/>
  <c r="N43" i="78"/>
  <c r="L43" i="78"/>
  <c r="B43" i="78"/>
  <c r="X42" i="78"/>
  <c r="Z42" i="78" s="1"/>
  <c r="L42" i="78"/>
  <c r="N42" i="78" s="1"/>
  <c r="F42" i="78"/>
  <c r="B42" i="78"/>
  <c r="X41" i="78"/>
  <c r="Z41" i="78" s="1"/>
  <c r="N41" i="78"/>
  <c r="L41" i="78"/>
  <c r="B41" i="78"/>
  <c r="X40" i="78"/>
  <c r="Z40" i="78" s="1"/>
  <c r="N40" i="78"/>
  <c r="L40" i="78"/>
  <c r="F40" i="78"/>
  <c r="B40" i="78"/>
  <c r="T39" i="78"/>
  <c r="P39" i="78"/>
  <c r="X39" i="78" s="1"/>
  <c r="Z39" i="78" s="1"/>
  <c r="L39" i="78"/>
  <c r="H39" i="78"/>
  <c r="N39" i="78" s="1"/>
  <c r="F39" i="78"/>
  <c r="D39" i="78"/>
  <c r="B39" i="78"/>
  <c r="X38" i="78"/>
  <c r="Z38" i="78" s="1"/>
  <c r="N38" i="78"/>
  <c r="L38" i="78"/>
  <c r="B38" i="78"/>
  <c r="Z37" i="78"/>
  <c r="X37" i="78"/>
  <c r="L37" i="78"/>
  <c r="N37" i="78" s="1"/>
  <c r="J37" i="78"/>
  <c r="B37" i="78"/>
  <c r="Z36" i="78"/>
  <c r="X36" i="78"/>
  <c r="L36" i="78"/>
  <c r="N36" i="78" s="1"/>
  <c r="B36" i="78"/>
  <c r="Z35" i="78"/>
  <c r="X35" i="78"/>
  <c r="L35" i="78"/>
  <c r="N35" i="78" s="1"/>
  <c r="J35" i="78"/>
  <c r="B35" i="78"/>
  <c r="X34" i="78"/>
  <c r="Z34" i="78" s="1"/>
  <c r="N34" i="78"/>
  <c r="L34" i="78"/>
  <c r="B34" i="78"/>
  <c r="Z33" i="78"/>
  <c r="X33" i="78"/>
  <c r="L33" i="78"/>
  <c r="N33" i="78" s="1"/>
  <c r="J33" i="78"/>
  <c r="B33" i="78"/>
  <c r="Z32" i="78"/>
  <c r="X32" i="78"/>
  <c r="L32" i="78"/>
  <c r="N32" i="78" s="1"/>
  <c r="B32" i="78"/>
  <c r="Z31" i="78"/>
  <c r="X31" i="78"/>
  <c r="L31" i="78"/>
  <c r="N31" i="78" s="1"/>
  <c r="J31" i="78"/>
  <c r="B31" i="78"/>
  <c r="T30" i="78"/>
  <c r="P30" i="78"/>
  <c r="H30" i="78"/>
  <c r="D30" i="78"/>
  <c r="L30" i="78" s="1"/>
  <c r="B30" i="78"/>
  <c r="T29" i="78"/>
  <c r="Z29" i="78" s="1"/>
  <c r="P29" i="78"/>
  <c r="X29" i="78" s="1"/>
  <c r="J29" i="78"/>
  <c r="H29" i="78"/>
  <c r="D29" i="78"/>
  <c r="X25" i="78"/>
  <c r="Z25" i="78" s="1"/>
  <c r="L25" i="78"/>
  <c r="N25" i="78" s="1"/>
  <c r="B25" i="78"/>
  <c r="X24" i="78"/>
  <c r="Z24" i="78" s="1"/>
  <c r="L24" i="78"/>
  <c r="N24" i="78" s="1"/>
  <c r="B24" i="78"/>
  <c r="X23" i="78"/>
  <c r="Z23" i="78" s="1"/>
  <c r="N23" i="78"/>
  <c r="L23" i="78"/>
  <c r="B23" i="78"/>
  <c r="Z22" i="78"/>
  <c r="X22" i="78"/>
  <c r="L22" i="78"/>
  <c r="N22" i="78" s="1"/>
  <c r="B22" i="78"/>
  <c r="X21" i="78"/>
  <c r="Z21" i="78" s="1"/>
  <c r="L21" i="78"/>
  <c r="N21" i="78" s="1"/>
  <c r="B21" i="78"/>
  <c r="T20" i="78"/>
  <c r="P20" i="78"/>
  <c r="X20" i="78" s="1"/>
  <c r="Z20" i="78" s="1"/>
  <c r="J20" i="78"/>
  <c r="H20" i="78"/>
  <c r="D20" i="78"/>
  <c r="L20" i="78" s="1"/>
  <c r="N20" i="78" s="1"/>
  <c r="X18" i="78"/>
  <c r="Z18" i="78" s="1"/>
  <c r="T18" i="78"/>
  <c r="P18" i="78"/>
  <c r="N18" i="78"/>
  <c r="L18" i="78"/>
  <c r="H18" i="78"/>
  <c r="D18" i="78"/>
  <c r="B18" i="78"/>
  <c r="T17" i="78"/>
  <c r="P17" i="78"/>
  <c r="X17" i="78" s="1"/>
  <c r="H17" i="78"/>
  <c r="D17" i="78"/>
  <c r="L17" i="78" s="1"/>
  <c r="N17" i="78" s="1"/>
  <c r="B17" i="78"/>
  <c r="T16" i="78"/>
  <c r="P16" i="78"/>
  <c r="X16" i="78" s="1"/>
  <c r="L16" i="78"/>
  <c r="H16" i="78"/>
  <c r="D16" i="78"/>
  <c r="B16" i="78"/>
  <c r="T15" i="78"/>
  <c r="P15" i="78"/>
  <c r="L15" i="78"/>
  <c r="H15" i="78"/>
  <c r="N15" i="78" s="1"/>
  <c r="D15" i="78"/>
  <c r="B15" i="78"/>
  <c r="X14" i="78"/>
  <c r="Z14" i="78" s="1"/>
  <c r="T14" i="78"/>
  <c r="P14" i="78"/>
  <c r="L14" i="78"/>
  <c r="N14" i="78" s="1"/>
  <c r="H14" i="78"/>
  <c r="D14" i="78"/>
  <c r="B14" i="78"/>
  <c r="T13" i="78"/>
  <c r="P13" i="78"/>
  <c r="P12" i="78" s="1"/>
  <c r="R36" i="78" s="1"/>
  <c r="H13" i="78"/>
  <c r="D13" i="78"/>
  <c r="L13" i="78" s="1"/>
  <c r="N13" i="78" s="1"/>
  <c r="B13" i="78"/>
  <c r="L12" i="78"/>
  <c r="H12" i="78"/>
  <c r="J66" i="78" s="1"/>
  <c r="D12" i="78"/>
  <c r="F73" i="78" s="1"/>
  <c r="D6" i="78"/>
  <c r="D4" i="78"/>
  <c r="X114" i="76"/>
  <c r="Z114" i="76" s="1"/>
  <c r="L114" i="76"/>
  <c r="N114" i="76" s="1"/>
  <c r="T110" i="76"/>
  <c r="P110" i="76"/>
  <c r="X110" i="76" s="1"/>
  <c r="Z110" i="76" s="1"/>
  <c r="H110" i="76"/>
  <c r="D110" i="76"/>
  <c r="L110" i="76" s="1"/>
  <c r="B110" i="76"/>
  <c r="X109" i="76"/>
  <c r="T109" i="76"/>
  <c r="Z109" i="76" s="1"/>
  <c r="P109" i="76"/>
  <c r="N109" i="76"/>
  <c r="H109" i="76"/>
  <c r="D109" i="76"/>
  <c r="L109" i="76" s="1"/>
  <c r="B109" i="76"/>
  <c r="T108" i="76"/>
  <c r="P108" i="76"/>
  <c r="P106" i="76" s="1"/>
  <c r="H108" i="76"/>
  <c r="D108" i="76"/>
  <c r="B108" i="76"/>
  <c r="T107" i="76"/>
  <c r="P107" i="76"/>
  <c r="H107" i="76"/>
  <c r="H106" i="76" s="1"/>
  <c r="D107" i="76"/>
  <c r="L107" i="76" s="1"/>
  <c r="N107" i="76" s="1"/>
  <c r="B107" i="76"/>
  <c r="X104" i="76"/>
  <c r="Z104" i="76" s="1"/>
  <c r="N104" i="76"/>
  <c r="L104" i="76"/>
  <c r="B104" i="76"/>
  <c r="X103" i="76"/>
  <c r="Z103" i="76" s="1"/>
  <c r="N103" i="76"/>
  <c r="L103" i="76"/>
  <c r="B103" i="76"/>
  <c r="X102" i="76"/>
  <c r="Z102" i="76" s="1"/>
  <c r="T102" i="76"/>
  <c r="P102" i="76"/>
  <c r="L102" i="76"/>
  <c r="H102" i="76"/>
  <c r="N102" i="76" s="1"/>
  <c r="D102" i="76"/>
  <c r="B102" i="76"/>
  <c r="Z101" i="76"/>
  <c r="X101" i="76"/>
  <c r="L101" i="76"/>
  <c r="N101" i="76" s="1"/>
  <c r="B101" i="76"/>
  <c r="T100" i="76"/>
  <c r="P100" i="76"/>
  <c r="H100" i="76"/>
  <c r="D100" i="76"/>
  <c r="B100" i="76"/>
  <c r="Z99" i="76"/>
  <c r="X99" i="76"/>
  <c r="L99" i="76"/>
  <c r="N99" i="76" s="1"/>
  <c r="B99" i="76"/>
  <c r="T98" i="76"/>
  <c r="P98" i="76"/>
  <c r="X98" i="76" s="1"/>
  <c r="H98" i="76"/>
  <c r="D98" i="76"/>
  <c r="L98" i="76" s="1"/>
  <c r="N98" i="76" s="1"/>
  <c r="B98" i="76"/>
  <c r="Z97" i="76"/>
  <c r="X97" i="76"/>
  <c r="N97" i="76"/>
  <c r="L97" i="76"/>
  <c r="B97" i="76"/>
  <c r="X96" i="76"/>
  <c r="Z96" i="76" s="1"/>
  <c r="L96" i="76"/>
  <c r="N96" i="76" s="1"/>
  <c r="B96" i="76"/>
  <c r="X95" i="76"/>
  <c r="T95" i="76"/>
  <c r="Z95" i="76" s="1"/>
  <c r="P95" i="76"/>
  <c r="H95" i="76"/>
  <c r="D95" i="76"/>
  <c r="L95" i="76" s="1"/>
  <c r="N95" i="76" s="1"/>
  <c r="B95" i="76"/>
  <c r="Z94" i="76"/>
  <c r="X94" i="76"/>
  <c r="N94" i="76"/>
  <c r="L94" i="76"/>
  <c r="B94" i="76"/>
  <c r="Z93" i="76"/>
  <c r="T93" i="76"/>
  <c r="X93" i="76" s="1"/>
  <c r="P93" i="76"/>
  <c r="N93" i="76"/>
  <c r="H93" i="76"/>
  <c r="D93" i="76"/>
  <c r="L93" i="76" s="1"/>
  <c r="B93" i="76"/>
  <c r="Z92" i="76"/>
  <c r="X92" i="76"/>
  <c r="N92" i="76"/>
  <c r="L92" i="76"/>
  <c r="B92" i="76"/>
  <c r="Z91" i="76"/>
  <c r="T91" i="76"/>
  <c r="P91" i="76"/>
  <c r="X91" i="76" s="1"/>
  <c r="H91" i="76"/>
  <c r="N91" i="76" s="1"/>
  <c r="D91" i="76"/>
  <c r="L91" i="76" s="1"/>
  <c r="B91" i="76"/>
  <c r="X90" i="76"/>
  <c r="Z90" i="76" s="1"/>
  <c r="N90" i="76"/>
  <c r="L90" i="76"/>
  <c r="B90" i="76"/>
  <c r="T89" i="76"/>
  <c r="P89" i="76"/>
  <c r="X89" i="76" s="1"/>
  <c r="Z89" i="76" s="1"/>
  <c r="L89" i="76"/>
  <c r="H89" i="76"/>
  <c r="N89" i="76" s="1"/>
  <c r="D89" i="76"/>
  <c r="B89" i="76"/>
  <c r="X88" i="76"/>
  <c r="Z88" i="76" s="1"/>
  <c r="N88" i="76"/>
  <c r="L88" i="76"/>
  <c r="B88" i="76"/>
  <c r="T87" i="76"/>
  <c r="P87" i="76"/>
  <c r="X87" i="76" s="1"/>
  <c r="Z87" i="76" s="1"/>
  <c r="N87" i="76"/>
  <c r="H87" i="76"/>
  <c r="L87" i="76" s="1"/>
  <c r="D87" i="76"/>
  <c r="B87" i="76"/>
  <c r="X86" i="76"/>
  <c r="Z86" i="76" s="1"/>
  <c r="N86" i="76"/>
  <c r="L86" i="76"/>
  <c r="B86" i="76"/>
  <c r="X85" i="76"/>
  <c r="Z85" i="76" s="1"/>
  <c r="N85" i="76"/>
  <c r="L85" i="76"/>
  <c r="B85" i="76"/>
  <c r="T84" i="76"/>
  <c r="P84" i="76"/>
  <c r="X84" i="76" s="1"/>
  <c r="Z84" i="76" s="1"/>
  <c r="H84" i="76"/>
  <c r="N84" i="76" s="1"/>
  <c r="D84" i="76"/>
  <c r="L84" i="76" s="1"/>
  <c r="B84" i="76"/>
  <c r="X83" i="76"/>
  <c r="Z83" i="76" s="1"/>
  <c r="N83" i="76"/>
  <c r="L83" i="76"/>
  <c r="B83" i="76"/>
  <c r="X82" i="76"/>
  <c r="Z82" i="76" s="1"/>
  <c r="T82" i="76"/>
  <c r="P82" i="76"/>
  <c r="L82" i="76"/>
  <c r="H82" i="76"/>
  <c r="N82" i="76" s="1"/>
  <c r="D82" i="76"/>
  <c r="B82" i="76"/>
  <c r="Z81" i="76"/>
  <c r="X81" i="76"/>
  <c r="N81" i="76"/>
  <c r="L81" i="76"/>
  <c r="B81" i="76"/>
  <c r="T80" i="76"/>
  <c r="P80" i="76"/>
  <c r="H80" i="76"/>
  <c r="N80" i="76" s="1"/>
  <c r="D80" i="76"/>
  <c r="L80" i="76" s="1"/>
  <c r="B80" i="76"/>
  <c r="Z79" i="76"/>
  <c r="X79" i="76"/>
  <c r="L79" i="76"/>
  <c r="N79" i="76" s="1"/>
  <c r="B79" i="76"/>
  <c r="T78" i="76"/>
  <c r="P78" i="76"/>
  <c r="X78" i="76" s="1"/>
  <c r="H78" i="76"/>
  <c r="D78" i="76"/>
  <c r="L78" i="76" s="1"/>
  <c r="N78" i="76" s="1"/>
  <c r="B78" i="76"/>
  <c r="Z77" i="76"/>
  <c r="X77" i="76"/>
  <c r="N77" i="76"/>
  <c r="L77" i="76"/>
  <c r="B77" i="76"/>
  <c r="X76" i="76"/>
  <c r="T76" i="76"/>
  <c r="P76" i="76"/>
  <c r="L76" i="76"/>
  <c r="N76" i="76" s="1"/>
  <c r="H76" i="76"/>
  <c r="D76" i="76"/>
  <c r="B76" i="76"/>
  <c r="Z75" i="76"/>
  <c r="X75" i="76"/>
  <c r="N75" i="76"/>
  <c r="L75" i="76"/>
  <c r="B75" i="76"/>
  <c r="T74" i="76"/>
  <c r="P74" i="76"/>
  <c r="X74" i="76" s="1"/>
  <c r="H74" i="76"/>
  <c r="D74" i="76"/>
  <c r="B74" i="76"/>
  <c r="X73" i="76"/>
  <c r="Z73" i="76" s="1"/>
  <c r="N73" i="76"/>
  <c r="L73" i="76"/>
  <c r="B73" i="76"/>
  <c r="Z72" i="76"/>
  <c r="X72" i="76"/>
  <c r="N72" i="76"/>
  <c r="L72" i="76"/>
  <c r="B72" i="76"/>
  <c r="Z71" i="76"/>
  <c r="X71" i="76"/>
  <c r="L71" i="76"/>
  <c r="N71" i="76" s="1"/>
  <c r="B71" i="76"/>
  <c r="Z70" i="76"/>
  <c r="X70" i="76"/>
  <c r="N70" i="76"/>
  <c r="L70" i="76"/>
  <c r="B70" i="76"/>
  <c r="X69" i="76"/>
  <c r="Z69" i="76" s="1"/>
  <c r="N69" i="76"/>
  <c r="L69" i="76"/>
  <c r="B69" i="76"/>
  <c r="T68" i="76"/>
  <c r="P68" i="76"/>
  <c r="X68" i="76" s="1"/>
  <c r="Z68" i="76" s="1"/>
  <c r="H68" i="76"/>
  <c r="N68" i="76" s="1"/>
  <c r="D68" i="76"/>
  <c r="L68" i="76" s="1"/>
  <c r="B68" i="76"/>
  <c r="X67" i="76"/>
  <c r="Z67" i="76" s="1"/>
  <c r="N67" i="76"/>
  <c r="L67" i="76"/>
  <c r="B67" i="76"/>
  <c r="X66" i="76"/>
  <c r="Z66" i="76" s="1"/>
  <c r="N66" i="76"/>
  <c r="L66" i="76"/>
  <c r="B66" i="76"/>
  <c r="Z65" i="76"/>
  <c r="X65" i="76"/>
  <c r="N65" i="76"/>
  <c r="L65" i="76"/>
  <c r="B65" i="76"/>
  <c r="X64" i="76"/>
  <c r="Z64" i="76" s="1"/>
  <c r="L64" i="76"/>
  <c r="N64" i="76" s="1"/>
  <c r="B64" i="76"/>
  <c r="X63" i="76"/>
  <c r="Z63" i="76" s="1"/>
  <c r="N63" i="76"/>
  <c r="L63" i="76"/>
  <c r="B63" i="76"/>
  <c r="X62" i="76"/>
  <c r="Z62" i="76" s="1"/>
  <c r="N62" i="76"/>
  <c r="L62" i="76"/>
  <c r="B62" i="76"/>
  <c r="Z61" i="76"/>
  <c r="X61" i="76"/>
  <c r="N61" i="76"/>
  <c r="L61" i="76"/>
  <c r="B61" i="76"/>
  <c r="X60" i="76"/>
  <c r="Z60" i="76" s="1"/>
  <c r="L60" i="76"/>
  <c r="N60" i="76" s="1"/>
  <c r="B60" i="76"/>
  <c r="X59" i="76"/>
  <c r="Z59" i="76" s="1"/>
  <c r="N59" i="76"/>
  <c r="L59" i="76"/>
  <c r="B59" i="76"/>
  <c r="X58" i="76"/>
  <c r="Z58" i="76" s="1"/>
  <c r="T58" i="76"/>
  <c r="P58" i="76"/>
  <c r="L58" i="76"/>
  <c r="H58" i="76"/>
  <c r="N58" i="76" s="1"/>
  <c r="D58" i="76"/>
  <c r="B58" i="76"/>
  <c r="Z57" i="76"/>
  <c r="T57" i="76"/>
  <c r="P57" i="76"/>
  <c r="X57" i="76" s="1"/>
  <c r="H57" i="76"/>
  <c r="D57" i="76"/>
  <c r="L57" i="76" s="1"/>
  <c r="N57" i="76" s="1"/>
  <c r="Z53" i="76"/>
  <c r="X53" i="76"/>
  <c r="L53" i="76"/>
  <c r="N53" i="76" s="1"/>
  <c r="B53" i="76"/>
  <c r="Z52" i="76"/>
  <c r="X52" i="76"/>
  <c r="N52" i="76"/>
  <c r="L52" i="76"/>
  <c r="B52" i="76"/>
  <c r="Z51" i="76"/>
  <c r="X51" i="76"/>
  <c r="L51" i="76"/>
  <c r="N51" i="76" s="1"/>
  <c r="B51" i="76"/>
  <c r="Z50" i="76"/>
  <c r="X50" i="76"/>
  <c r="N50" i="76"/>
  <c r="L50" i="76"/>
  <c r="B50" i="76"/>
  <c r="Z49" i="76"/>
  <c r="X49" i="76"/>
  <c r="N49" i="76"/>
  <c r="L49" i="76"/>
  <c r="B49" i="76"/>
  <c r="X48" i="76"/>
  <c r="Z48" i="76" s="1"/>
  <c r="N48" i="76"/>
  <c r="L48" i="76"/>
  <c r="B48" i="76"/>
  <c r="Z47" i="76"/>
  <c r="X47" i="76"/>
  <c r="L47" i="76"/>
  <c r="N47" i="76" s="1"/>
  <c r="B47" i="76"/>
  <c r="Z46" i="76"/>
  <c r="X46" i="76"/>
  <c r="L46" i="76"/>
  <c r="N46" i="76" s="1"/>
  <c r="B46" i="76"/>
  <c r="Z45" i="76"/>
  <c r="X45" i="76"/>
  <c r="L45" i="76"/>
  <c r="N45" i="76" s="1"/>
  <c r="B45" i="76"/>
  <c r="X44" i="76"/>
  <c r="Z44" i="76" s="1"/>
  <c r="N44" i="76"/>
  <c r="L44" i="76"/>
  <c r="B44" i="76"/>
  <c r="Z43" i="76"/>
  <c r="X43" i="76"/>
  <c r="L43" i="76"/>
  <c r="N43" i="76" s="1"/>
  <c r="B43" i="76"/>
  <c r="Z42" i="76"/>
  <c r="X42" i="76"/>
  <c r="N42" i="76"/>
  <c r="L42" i="76"/>
  <c r="B42" i="76"/>
  <c r="Z41" i="76"/>
  <c r="X41" i="76"/>
  <c r="L41" i="76"/>
  <c r="N41" i="76" s="1"/>
  <c r="B41" i="76"/>
  <c r="X40" i="76"/>
  <c r="Z40" i="76" s="1"/>
  <c r="N40" i="76"/>
  <c r="L40" i="76"/>
  <c r="B40" i="76"/>
  <c r="Z39" i="76"/>
  <c r="X39" i="76"/>
  <c r="L39" i="76"/>
  <c r="N39" i="76" s="1"/>
  <c r="B39" i="76"/>
  <c r="T38" i="76"/>
  <c r="P38" i="76"/>
  <c r="H38" i="76"/>
  <c r="D38" i="76"/>
  <c r="T36" i="76"/>
  <c r="P36" i="76"/>
  <c r="X36" i="76" s="1"/>
  <c r="Z36" i="76" s="1"/>
  <c r="L36" i="76"/>
  <c r="H36" i="76"/>
  <c r="N36" i="76" s="1"/>
  <c r="D36" i="76"/>
  <c r="B36" i="76"/>
  <c r="T35" i="76"/>
  <c r="P35" i="76"/>
  <c r="X35" i="76" s="1"/>
  <c r="Z35" i="76" s="1"/>
  <c r="H35" i="76"/>
  <c r="D35" i="76"/>
  <c r="B35" i="76"/>
  <c r="T34" i="76"/>
  <c r="P34" i="76"/>
  <c r="X34" i="76" s="1"/>
  <c r="H34" i="76"/>
  <c r="D34" i="76"/>
  <c r="L34" i="76" s="1"/>
  <c r="B34" i="76"/>
  <c r="T33" i="76"/>
  <c r="P33" i="76"/>
  <c r="L33" i="76"/>
  <c r="H33" i="76"/>
  <c r="D33" i="76"/>
  <c r="B33" i="76"/>
  <c r="Z32" i="76"/>
  <c r="T32" i="76"/>
  <c r="P32" i="76"/>
  <c r="X32" i="76" s="1"/>
  <c r="L32" i="76"/>
  <c r="H32" i="76"/>
  <c r="N32" i="76" s="1"/>
  <c r="D32" i="76"/>
  <c r="B32" i="76"/>
  <c r="T31" i="76"/>
  <c r="P31" i="76"/>
  <c r="X31" i="76" s="1"/>
  <c r="Z31" i="76" s="1"/>
  <c r="H31" i="76"/>
  <c r="N31" i="76" s="1"/>
  <c r="D31" i="76"/>
  <c r="B31" i="76"/>
  <c r="T30" i="76"/>
  <c r="Z30" i="76" s="1"/>
  <c r="P30" i="76"/>
  <c r="X30" i="76" s="1"/>
  <c r="H30" i="76"/>
  <c r="N30" i="76" s="1"/>
  <c r="D30" i="76"/>
  <c r="L30" i="76" s="1"/>
  <c r="B30" i="76"/>
  <c r="T29" i="76"/>
  <c r="P29" i="76"/>
  <c r="H29" i="76"/>
  <c r="D29" i="76"/>
  <c r="B29" i="76"/>
  <c r="Z28" i="76"/>
  <c r="T28" i="76"/>
  <c r="P28" i="76"/>
  <c r="X28" i="76" s="1"/>
  <c r="H28" i="76"/>
  <c r="D28" i="76"/>
  <c r="L28" i="76" s="1"/>
  <c r="B28" i="76"/>
  <c r="T27" i="76"/>
  <c r="P27" i="76"/>
  <c r="X27" i="76" s="1"/>
  <c r="Z27" i="76" s="1"/>
  <c r="H27" i="76"/>
  <c r="D27" i="76"/>
  <c r="B27" i="76"/>
  <c r="T26" i="76"/>
  <c r="P26" i="76"/>
  <c r="X26" i="76" s="1"/>
  <c r="H26" i="76"/>
  <c r="N26" i="76" s="1"/>
  <c r="D26" i="76"/>
  <c r="B26" i="76"/>
  <c r="T25" i="76"/>
  <c r="P25" i="76"/>
  <c r="L25" i="76"/>
  <c r="N25" i="76" s="1"/>
  <c r="H25" i="76"/>
  <c r="D25" i="76"/>
  <c r="B25" i="76"/>
  <c r="T24" i="76"/>
  <c r="P24" i="76"/>
  <c r="H24" i="76"/>
  <c r="D24" i="76"/>
  <c r="L24" i="76" s="1"/>
  <c r="B24" i="76"/>
  <c r="Z23" i="76"/>
  <c r="T23" i="76"/>
  <c r="P23" i="76"/>
  <c r="X23" i="76" s="1"/>
  <c r="L23" i="76"/>
  <c r="H23" i="76"/>
  <c r="N23" i="76" s="1"/>
  <c r="D23" i="76"/>
  <c r="B23" i="76"/>
  <c r="T22" i="76"/>
  <c r="P22" i="76"/>
  <c r="X22" i="76" s="1"/>
  <c r="H22" i="76"/>
  <c r="D22" i="76"/>
  <c r="B22" i="76"/>
  <c r="Z21" i="76"/>
  <c r="T21" i="76"/>
  <c r="P21" i="76"/>
  <c r="X21" i="76" s="1"/>
  <c r="H21" i="76"/>
  <c r="D21" i="76"/>
  <c r="B21" i="76"/>
  <c r="T20" i="76"/>
  <c r="P20" i="76"/>
  <c r="L20" i="76"/>
  <c r="H20" i="76"/>
  <c r="N20" i="76" s="1"/>
  <c r="D20" i="76"/>
  <c r="B20" i="76"/>
  <c r="T19" i="76"/>
  <c r="P19" i="76"/>
  <c r="X19" i="76" s="1"/>
  <c r="Z19" i="76" s="1"/>
  <c r="H19" i="76"/>
  <c r="D19" i="76"/>
  <c r="B19" i="76"/>
  <c r="T18" i="76"/>
  <c r="P18" i="76"/>
  <c r="X18" i="76" s="1"/>
  <c r="H18" i="76"/>
  <c r="D18" i="76"/>
  <c r="L18" i="76" s="1"/>
  <c r="B18" i="76"/>
  <c r="T17" i="76"/>
  <c r="P17" i="76"/>
  <c r="H17" i="76"/>
  <c r="N17" i="76" s="1"/>
  <c r="D17" i="76"/>
  <c r="B17" i="76"/>
  <c r="Z16" i="76"/>
  <c r="T16" i="76"/>
  <c r="P16" i="76"/>
  <c r="X16" i="76" s="1"/>
  <c r="H16" i="76"/>
  <c r="N16" i="76" s="1"/>
  <c r="D16" i="76"/>
  <c r="B16" i="76"/>
  <c r="T15" i="76"/>
  <c r="P15" i="76"/>
  <c r="X15" i="76" s="1"/>
  <c r="Z15" i="76" s="1"/>
  <c r="H15" i="76"/>
  <c r="D15" i="76"/>
  <c r="B15" i="76"/>
  <c r="T14" i="76"/>
  <c r="P14" i="76"/>
  <c r="X14" i="76" s="1"/>
  <c r="H14" i="76"/>
  <c r="D14" i="76"/>
  <c r="L14" i="76" s="1"/>
  <c r="B14" i="76"/>
  <c r="Z13" i="76"/>
  <c r="T13" i="76"/>
  <c r="T12" i="76" s="1"/>
  <c r="P13" i="76"/>
  <c r="X13" i="76" s="1"/>
  <c r="H13" i="76"/>
  <c r="L13" i="76" s="1"/>
  <c r="N13" i="76" s="1"/>
  <c r="D13" i="76"/>
  <c r="B13" i="76"/>
  <c r="D6" i="76"/>
  <c r="D4" i="76"/>
  <c r="Z82" i="75"/>
  <c r="X82" i="75"/>
  <c r="L82" i="75"/>
  <c r="N82" i="75" s="1"/>
  <c r="X78" i="75"/>
  <c r="Z78" i="75" s="1"/>
  <c r="T78" i="75"/>
  <c r="T77" i="75" s="1"/>
  <c r="P78" i="75"/>
  <c r="N78" i="75"/>
  <c r="H78" i="75"/>
  <c r="H77" i="75" s="1"/>
  <c r="D78" i="75"/>
  <c r="L78" i="75" s="1"/>
  <c r="B78" i="75"/>
  <c r="P77" i="75"/>
  <c r="X77" i="75" s="1"/>
  <c r="Z77" i="75" s="1"/>
  <c r="L77" i="75"/>
  <c r="D77" i="75"/>
  <c r="Z75" i="75"/>
  <c r="X75" i="75"/>
  <c r="N75" i="75"/>
  <c r="L75" i="75"/>
  <c r="B75" i="75"/>
  <c r="T74" i="75"/>
  <c r="Z74" i="75" s="1"/>
  <c r="P74" i="75"/>
  <c r="X74" i="75" s="1"/>
  <c r="N74" i="75"/>
  <c r="H74" i="75"/>
  <c r="D74" i="75"/>
  <c r="L74" i="75" s="1"/>
  <c r="B74" i="75"/>
  <c r="X73" i="75"/>
  <c r="Z73" i="75" s="1"/>
  <c r="L73" i="75"/>
  <c r="N73" i="75" s="1"/>
  <c r="B73" i="75"/>
  <c r="X72" i="75"/>
  <c r="Z72" i="75" s="1"/>
  <c r="V72" i="75"/>
  <c r="T72" i="75"/>
  <c r="P72" i="75"/>
  <c r="N72" i="75"/>
  <c r="L72" i="75"/>
  <c r="H72" i="75"/>
  <c r="D72" i="75"/>
  <c r="B72" i="75"/>
  <c r="X71" i="75"/>
  <c r="Z71" i="75" s="1"/>
  <c r="L71" i="75"/>
  <c r="N71" i="75" s="1"/>
  <c r="B71" i="75"/>
  <c r="Z70" i="75"/>
  <c r="X70" i="75"/>
  <c r="N70" i="75"/>
  <c r="L70" i="75"/>
  <c r="B70" i="75"/>
  <c r="X69" i="75"/>
  <c r="Z69" i="75" s="1"/>
  <c r="L69" i="75"/>
  <c r="N69" i="75" s="1"/>
  <c r="B69" i="75"/>
  <c r="Z68" i="75"/>
  <c r="X68" i="75"/>
  <c r="N68" i="75"/>
  <c r="L68" i="75"/>
  <c r="B68" i="75"/>
  <c r="X67" i="75"/>
  <c r="Z67" i="75" s="1"/>
  <c r="N67" i="75"/>
  <c r="L67" i="75"/>
  <c r="B67" i="75"/>
  <c r="T66" i="75"/>
  <c r="P66" i="75"/>
  <c r="L66" i="75"/>
  <c r="N66" i="75" s="1"/>
  <c r="H66" i="75"/>
  <c r="D66" i="75"/>
  <c r="B66" i="75"/>
  <c r="X65" i="75"/>
  <c r="Z65" i="75" s="1"/>
  <c r="L65" i="75"/>
  <c r="N65" i="75" s="1"/>
  <c r="B65" i="75"/>
  <c r="T64" i="75"/>
  <c r="P64" i="75"/>
  <c r="X64" i="75" s="1"/>
  <c r="Z64" i="75" s="1"/>
  <c r="H64" i="75"/>
  <c r="D64" i="75"/>
  <c r="L64" i="75" s="1"/>
  <c r="N64" i="75" s="1"/>
  <c r="B64" i="75"/>
  <c r="X63" i="75"/>
  <c r="Z63" i="75" s="1"/>
  <c r="L63" i="75"/>
  <c r="N63" i="75" s="1"/>
  <c r="B63" i="75"/>
  <c r="X62" i="75"/>
  <c r="Z62" i="75" s="1"/>
  <c r="N62" i="75"/>
  <c r="L62" i="75"/>
  <c r="B62" i="75"/>
  <c r="T61" i="75"/>
  <c r="X61" i="75" s="1"/>
  <c r="Z61" i="75" s="1"/>
  <c r="P61" i="75"/>
  <c r="H61" i="75"/>
  <c r="D61" i="75"/>
  <c r="B61" i="75"/>
  <c r="X60" i="75"/>
  <c r="Z60" i="75" s="1"/>
  <c r="N60" i="75"/>
  <c r="L60" i="75"/>
  <c r="B60" i="75"/>
  <c r="Z59" i="75"/>
  <c r="T59" i="75"/>
  <c r="P59" i="75"/>
  <c r="X59" i="75" s="1"/>
  <c r="N59" i="75"/>
  <c r="H59" i="75"/>
  <c r="D59" i="75"/>
  <c r="L59" i="75" s="1"/>
  <c r="B59" i="75"/>
  <c r="X58" i="75"/>
  <c r="Z58" i="75" s="1"/>
  <c r="L58" i="75"/>
  <c r="N58" i="75" s="1"/>
  <c r="B58" i="75"/>
  <c r="Z57" i="75"/>
  <c r="X57" i="75"/>
  <c r="V57" i="75"/>
  <c r="N57" i="75"/>
  <c r="L57" i="75"/>
  <c r="B57" i="75"/>
  <c r="T56" i="75"/>
  <c r="P56" i="75"/>
  <c r="X56" i="75" s="1"/>
  <c r="Z56" i="75" s="1"/>
  <c r="H56" i="75"/>
  <c r="D56" i="75"/>
  <c r="L56" i="75" s="1"/>
  <c r="B56" i="75"/>
  <c r="X55" i="75"/>
  <c r="Z55" i="75" s="1"/>
  <c r="N55" i="75"/>
  <c r="L55" i="75"/>
  <c r="B55" i="75"/>
  <c r="X54" i="75"/>
  <c r="Z54" i="75" s="1"/>
  <c r="T54" i="75"/>
  <c r="P54" i="75"/>
  <c r="L54" i="75"/>
  <c r="N54" i="75" s="1"/>
  <c r="H54" i="75"/>
  <c r="D54" i="75"/>
  <c r="B54" i="75"/>
  <c r="X53" i="75"/>
  <c r="Z53" i="75" s="1"/>
  <c r="L53" i="75"/>
  <c r="N53" i="75" s="1"/>
  <c r="J53" i="75"/>
  <c r="B53" i="75"/>
  <c r="X52" i="75"/>
  <c r="Z52" i="75" s="1"/>
  <c r="T52" i="75"/>
  <c r="P52" i="75"/>
  <c r="H52" i="75"/>
  <c r="D52" i="75"/>
  <c r="L52" i="75" s="1"/>
  <c r="B52" i="75"/>
  <c r="Z51" i="75"/>
  <c r="X51" i="75"/>
  <c r="N51" i="75"/>
  <c r="L51" i="75"/>
  <c r="B51" i="75"/>
  <c r="T50" i="75"/>
  <c r="Z50" i="75" s="1"/>
  <c r="P50" i="75"/>
  <c r="X50" i="75" s="1"/>
  <c r="N50" i="75"/>
  <c r="H50" i="75"/>
  <c r="D50" i="75"/>
  <c r="L50" i="75" s="1"/>
  <c r="B50" i="75"/>
  <c r="X49" i="75"/>
  <c r="Z49" i="75" s="1"/>
  <c r="N49" i="75"/>
  <c r="L49" i="75"/>
  <c r="B49" i="75"/>
  <c r="Z48" i="75"/>
  <c r="X48" i="75"/>
  <c r="T48" i="75"/>
  <c r="P48" i="75"/>
  <c r="N48" i="75"/>
  <c r="L48" i="75"/>
  <c r="H48" i="75"/>
  <c r="D48" i="75"/>
  <c r="B48" i="75"/>
  <c r="Z47" i="75"/>
  <c r="X47" i="75"/>
  <c r="N47" i="75"/>
  <c r="L47" i="75"/>
  <c r="B47" i="75"/>
  <c r="X46" i="75"/>
  <c r="Z46" i="75" s="1"/>
  <c r="V46" i="75"/>
  <c r="L46" i="75"/>
  <c r="N46" i="75" s="1"/>
  <c r="B46" i="75"/>
  <c r="X45" i="75"/>
  <c r="Z45" i="75" s="1"/>
  <c r="L45" i="75"/>
  <c r="N45" i="75" s="1"/>
  <c r="B45" i="75"/>
  <c r="X44" i="75"/>
  <c r="Z44" i="75" s="1"/>
  <c r="N44" i="75"/>
  <c r="L44" i="75"/>
  <c r="B44" i="75"/>
  <c r="T43" i="75"/>
  <c r="P43" i="75"/>
  <c r="X43" i="75" s="1"/>
  <c r="Z43" i="75" s="1"/>
  <c r="H43" i="75"/>
  <c r="D43" i="75"/>
  <c r="L43" i="75" s="1"/>
  <c r="N43" i="75" s="1"/>
  <c r="B43" i="75"/>
  <c r="X42" i="75"/>
  <c r="Z42" i="75" s="1"/>
  <c r="L42" i="75"/>
  <c r="N42" i="75" s="1"/>
  <c r="B42" i="75"/>
  <c r="X41" i="75"/>
  <c r="Z41" i="75" s="1"/>
  <c r="V41" i="75"/>
  <c r="L41" i="75"/>
  <c r="N41" i="75" s="1"/>
  <c r="B41" i="75"/>
  <c r="Z40" i="75"/>
  <c r="X40" i="75"/>
  <c r="L40" i="75"/>
  <c r="N40" i="75" s="1"/>
  <c r="B40" i="75"/>
  <c r="Z39" i="75"/>
  <c r="X39" i="75"/>
  <c r="L39" i="75"/>
  <c r="N39" i="75" s="1"/>
  <c r="B39" i="75"/>
  <c r="X38" i="75"/>
  <c r="Z38" i="75" s="1"/>
  <c r="L38" i="75"/>
  <c r="N38" i="75" s="1"/>
  <c r="B38" i="75"/>
  <c r="X37" i="75"/>
  <c r="Z37" i="75" s="1"/>
  <c r="V37" i="75"/>
  <c r="N37" i="75"/>
  <c r="L37" i="75"/>
  <c r="B37" i="75"/>
  <c r="Z36" i="75"/>
  <c r="X36" i="75"/>
  <c r="N36" i="75"/>
  <c r="L36" i="75"/>
  <c r="B36" i="75"/>
  <c r="Z35" i="75"/>
  <c r="X35" i="75"/>
  <c r="L35" i="75"/>
  <c r="N35" i="75" s="1"/>
  <c r="B35" i="75"/>
  <c r="T34" i="75"/>
  <c r="P34" i="75"/>
  <c r="H34" i="75"/>
  <c r="D34" i="75"/>
  <c r="L34" i="75" s="1"/>
  <c r="N34" i="75" s="1"/>
  <c r="B34" i="75"/>
  <c r="T33" i="75"/>
  <c r="P33" i="75"/>
  <c r="X33" i="75" s="1"/>
  <c r="Z33" i="75" s="1"/>
  <c r="H33" i="75"/>
  <c r="D33" i="75"/>
  <c r="Z29" i="75"/>
  <c r="T29" i="75"/>
  <c r="P29" i="75"/>
  <c r="X29" i="75" s="1"/>
  <c r="H29" i="75"/>
  <c r="D29" i="75"/>
  <c r="T27" i="75"/>
  <c r="Z27" i="75" s="1"/>
  <c r="P27" i="75"/>
  <c r="X27" i="75" s="1"/>
  <c r="N27" i="75"/>
  <c r="L27" i="75"/>
  <c r="H27" i="75"/>
  <c r="D27" i="75"/>
  <c r="B27" i="75"/>
  <c r="Z26" i="75"/>
  <c r="X26" i="75"/>
  <c r="T26" i="75"/>
  <c r="P26" i="75"/>
  <c r="L26" i="75"/>
  <c r="H26" i="75"/>
  <c r="N26" i="75" s="1"/>
  <c r="D26" i="75"/>
  <c r="B26" i="75"/>
  <c r="T25" i="75"/>
  <c r="Z25" i="75" s="1"/>
  <c r="P25" i="75"/>
  <c r="X25" i="75" s="1"/>
  <c r="N25" i="75"/>
  <c r="H25" i="75"/>
  <c r="D25" i="75"/>
  <c r="L25" i="75" s="1"/>
  <c r="B25" i="75"/>
  <c r="T24" i="75"/>
  <c r="P24" i="75"/>
  <c r="H24" i="75"/>
  <c r="D24" i="75"/>
  <c r="L24" i="75" s="1"/>
  <c r="B24" i="75"/>
  <c r="T23" i="75"/>
  <c r="Z23" i="75" s="1"/>
  <c r="P23" i="75"/>
  <c r="X23" i="75" s="1"/>
  <c r="N23" i="75"/>
  <c r="L23" i="75"/>
  <c r="H23" i="75"/>
  <c r="D23" i="75"/>
  <c r="B23" i="75"/>
  <c r="Z22" i="75"/>
  <c r="X22" i="75"/>
  <c r="T22" i="75"/>
  <c r="P22" i="75"/>
  <c r="L22" i="75"/>
  <c r="H22" i="75"/>
  <c r="N22" i="75" s="1"/>
  <c r="D22" i="75"/>
  <c r="B22" i="75"/>
  <c r="T21" i="75"/>
  <c r="Z21" i="75" s="1"/>
  <c r="P21" i="75"/>
  <c r="X21" i="75" s="1"/>
  <c r="N21" i="75"/>
  <c r="H21" i="75"/>
  <c r="D21" i="75"/>
  <c r="L21" i="75" s="1"/>
  <c r="B21" i="75"/>
  <c r="T20" i="75"/>
  <c r="P20" i="75"/>
  <c r="H20" i="75"/>
  <c r="D20" i="75"/>
  <c r="L20" i="75" s="1"/>
  <c r="B20" i="75"/>
  <c r="T19" i="75"/>
  <c r="P19" i="75"/>
  <c r="X19" i="75" s="1"/>
  <c r="L19" i="75"/>
  <c r="N19" i="75" s="1"/>
  <c r="H19" i="75"/>
  <c r="D19" i="75"/>
  <c r="B19" i="75"/>
  <c r="X18" i="75"/>
  <c r="Z18" i="75" s="1"/>
  <c r="T18" i="75"/>
  <c r="P18" i="75"/>
  <c r="L18" i="75"/>
  <c r="H18" i="75"/>
  <c r="N18" i="75" s="1"/>
  <c r="D18" i="75"/>
  <c r="B18" i="75"/>
  <c r="T17" i="75"/>
  <c r="P17" i="75"/>
  <c r="X17" i="75" s="1"/>
  <c r="H17" i="75"/>
  <c r="D17" i="75"/>
  <c r="L17" i="75" s="1"/>
  <c r="N17" i="75" s="1"/>
  <c r="B17" i="75"/>
  <c r="T16" i="75"/>
  <c r="Z16" i="75" s="1"/>
  <c r="P16" i="75"/>
  <c r="H16" i="75"/>
  <c r="N16" i="75" s="1"/>
  <c r="D16" i="75"/>
  <c r="B16" i="75"/>
  <c r="T15" i="75"/>
  <c r="Z15" i="75" s="1"/>
  <c r="P15" i="75"/>
  <c r="X15" i="75" s="1"/>
  <c r="L15" i="75"/>
  <c r="N15" i="75" s="1"/>
  <c r="H15" i="75"/>
  <c r="D15" i="75"/>
  <c r="B15" i="75"/>
  <c r="X14" i="75"/>
  <c r="Z14" i="75" s="1"/>
  <c r="T14" i="75"/>
  <c r="P14" i="75"/>
  <c r="L14" i="75"/>
  <c r="H14" i="75"/>
  <c r="N14" i="75" s="1"/>
  <c r="D14" i="75"/>
  <c r="B14" i="75"/>
  <c r="T13" i="75"/>
  <c r="P13" i="75"/>
  <c r="H13" i="75"/>
  <c r="D13" i="75"/>
  <c r="L13" i="75" s="1"/>
  <c r="N13" i="75" s="1"/>
  <c r="B13" i="75"/>
  <c r="T12" i="75"/>
  <c r="H12" i="75"/>
  <c r="D6" i="75"/>
  <c r="D4" i="75"/>
  <c r="X117" i="74"/>
  <c r="Z117" i="74" s="1"/>
  <c r="N117" i="74"/>
  <c r="L117" i="74"/>
  <c r="X113" i="74"/>
  <c r="Z113" i="74" s="1"/>
  <c r="T113" i="74"/>
  <c r="T112" i="74" s="1"/>
  <c r="P113" i="74"/>
  <c r="P112" i="74" s="1"/>
  <c r="N113" i="74"/>
  <c r="L113" i="74"/>
  <c r="H113" i="74"/>
  <c r="D113" i="74"/>
  <c r="B113" i="74"/>
  <c r="N112" i="74"/>
  <c r="H112" i="74"/>
  <c r="D112" i="74"/>
  <c r="L112" i="74" s="1"/>
  <c r="Z110" i="74"/>
  <c r="X110" i="74"/>
  <c r="N110" i="74"/>
  <c r="L110" i="74"/>
  <c r="B110" i="74"/>
  <c r="Z109" i="74"/>
  <c r="X109" i="74"/>
  <c r="N109" i="74"/>
  <c r="L109" i="74"/>
  <c r="B109" i="74"/>
  <c r="T108" i="74"/>
  <c r="P108" i="74"/>
  <c r="X108" i="74" s="1"/>
  <c r="Z108" i="74" s="1"/>
  <c r="N108" i="74"/>
  <c r="H108" i="74"/>
  <c r="D108" i="74"/>
  <c r="L108" i="74" s="1"/>
  <c r="B108" i="74"/>
  <c r="Z107" i="74"/>
  <c r="X107" i="74"/>
  <c r="N107" i="74"/>
  <c r="L107" i="74"/>
  <c r="B107" i="74"/>
  <c r="T106" i="74"/>
  <c r="P106" i="74"/>
  <c r="N106" i="74"/>
  <c r="L106" i="74"/>
  <c r="H106" i="74"/>
  <c r="D106" i="74"/>
  <c r="B106" i="74"/>
  <c r="Z105" i="74"/>
  <c r="X105" i="74"/>
  <c r="L105" i="74"/>
  <c r="N105" i="74" s="1"/>
  <c r="B105" i="74"/>
  <c r="T104" i="74"/>
  <c r="P104" i="74"/>
  <c r="X104" i="74" s="1"/>
  <c r="Z104" i="74" s="1"/>
  <c r="H104" i="74"/>
  <c r="D104" i="74"/>
  <c r="B104" i="74"/>
  <c r="X103" i="74"/>
  <c r="Z103" i="74" s="1"/>
  <c r="N103" i="74"/>
  <c r="L103" i="74"/>
  <c r="B103" i="74"/>
  <c r="Z102" i="74"/>
  <c r="X102" i="74"/>
  <c r="N102" i="74"/>
  <c r="L102" i="74"/>
  <c r="B102" i="74"/>
  <c r="X101" i="74"/>
  <c r="Z101" i="74" s="1"/>
  <c r="N101" i="74"/>
  <c r="L101" i="74"/>
  <c r="B101" i="74"/>
  <c r="X100" i="74"/>
  <c r="Z100" i="74" s="1"/>
  <c r="L100" i="74"/>
  <c r="N100" i="74" s="1"/>
  <c r="B100" i="74"/>
  <c r="X99" i="74"/>
  <c r="Z99" i="74" s="1"/>
  <c r="N99" i="74"/>
  <c r="L99" i="74"/>
  <c r="B99" i="74"/>
  <c r="T98" i="74"/>
  <c r="P98" i="74"/>
  <c r="X98" i="74" s="1"/>
  <c r="Z98" i="74" s="1"/>
  <c r="H98" i="74"/>
  <c r="D98" i="74"/>
  <c r="L98" i="74" s="1"/>
  <c r="N98" i="74" s="1"/>
  <c r="B98" i="74"/>
  <c r="X97" i="74"/>
  <c r="Z97" i="74" s="1"/>
  <c r="N97" i="74"/>
  <c r="L97" i="74"/>
  <c r="B97" i="74"/>
  <c r="X96" i="74"/>
  <c r="Z96" i="74" s="1"/>
  <c r="N96" i="74"/>
  <c r="L96" i="74"/>
  <c r="B96" i="74"/>
  <c r="T95" i="74"/>
  <c r="P95" i="74"/>
  <c r="X95" i="74" s="1"/>
  <c r="Z95" i="74" s="1"/>
  <c r="H95" i="74"/>
  <c r="N95" i="74" s="1"/>
  <c r="D95" i="74"/>
  <c r="B95" i="74"/>
  <c r="X94" i="74"/>
  <c r="Z94" i="74" s="1"/>
  <c r="N94" i="74"/>
  <c r="L94" i="74"/>
  <c r="B94" i="74"/>
  <c r="Z93" i="74"/>
  <c r="X93" i="74"/>
  <c r="N93" i="74"/>
  <c r="L93" i="74"/>
  <c r="B93" i="74"/>
  <c r="T92" i="74"/>
  <c r="P92" i="74"/>
  <c r="X92" i="74" s="1"/>
  <c r="Z92" i="74" s="1"/>
  <c r="H92" i="74"/>
  <c r="D92" i="74"/>
  <c r="B92" i="74"/>
  <c r="X91" i="74"/>
  <c r="Z91" i="74" s="1"/>
  <c r="N91" i="74"/>
  <c r="L91" i="74"/>
  <c r="B91" i="74"/>
  <c r="Z90" i="74"/>
  <c r="X90" i="74"/>
  <c r="N90" i="74"/>
  <c r="L90" i="74"/>
  <c r="B90" i="74"/>
  <c r="Z89" i="74"/>
  <c r="X89" i="74"/>
  <c r="N89" i="74"/>
  <c r="L89" i="74"/>
  <c r="B89" i="74"/>
  <c r="T88" i="74"/>
  <c r="P88" i="74"/>
  <c r="X88" i="74" s="1"/>
  <c r="Z88" i="74" s="1"/>
  <c r="N88" i="74"/>
  <c r="H88" i="74"/>
  <c r="D88" i="74"/>
  <c r="L88" i="74" s="1"/>
  <c r="B88" i="74"/>
  <c r="Z87" i="74"/>
  <c r="X87" i="74"/>
  <c r="N87" i="74"/>
  <c r="L87" i="74"/>
  <c r="B87" i="74"/>
  <c r="T86" i="74"/>
  <c r="Z86" i="74" s="1"/>
  <c r="P86" i="74"/>
  <c r="N86" i="74"/>
  <c r="L86" i="74"/>
  <c r="H86" i="74"/>
  <c r="D86" i="74"/>
  <c r="B86" i="74"/>
  <c r="Z85" i="74"/>
  <c r="X85" i="74"/>
  <c r="N85" i="74"/>
  <c r="L85" i="74"/>
  <c r="B85" i="74"/>
  <c r="T84" i="74"/>
  <c r="P84" i="74"/>
  <c r="X84" i="74" s="1"/>
  <c r="Z84" i="74" s="1"/>
  <c r="H84" i="74"/>
  <c r="D84" i="74"/>
  <c r="B84" i="74"/>
  <c r="X83" i="74"/>
  <c r="Z83" i="74" s="1"/>
  <c r="N83" i="74"/>
  <c r="L83" i="74"/>
  <c r="B83" i="74"/>
  <c r="Z82" i="74"/>
  <c r="T82" i="74"/>
  <c r="P82" i="74"/>
  <c r="X82" i="74" s="1"/>
  <c r="N82" i="74"/>
  <c r="H82" i="74"/>
  <c r="D82" i="74"/>
  <c r="L82" i="74" s="1"/>
  <c r="B82" i="74"/>
  <c r="Z81" i="74"/>
  <c r="X81" i="74"/>
  <c r="N81" i="74"/>
  <c r="L81" i="74"/>
  <c r="B81" i="74"/>
  <c r="X80" i="74"/>
  <c r="Z80" i="74" s="1"/>
  <c r="N80" i="74"/>
  <c r="L80" i="74"/>
  <c r="B80" i="74"/>
  <c r="T79" i="74"/>
  <c r="P79" i="74"/>
  <c r="X79" i="74" s="1"/>
  <c r="Z79" i="74" s="1"/>
  <c r="H79" i="74"/>
  <c r="N79" i="74" s="1"/>
  <c r="D79" i="74"/>
  <c r="B79" i="74"/>
  <c r="X78" i="74"/>
  <c r="Z78" i="74" s="1"/>
  <c r="N78" i="74"/>
  <c r="L78" i="74"/>
  <c r="B78" i="74"/>
  <c r="Z77" i="74"/>
  <c r="X77" i="74"/>
  <c r="T77" i="74"/>
  <c r="P77" i="74"/>
  <c r="L77" i="74"/>
  <c r="N77" i="74" s="1"/>
  <c r="H77" i="74"/>
  <c r="D77" i="74"/>
  <c r="B77" i="74"/>
  <c r="X76" i="74"/>
  <c r="Z76" i="74" s="1"/>
  <c r="N76" i="74"/>
  <c r="L76" i="74"/>
  <c r="B76" i="74"/>
  <c r="X75" i="74"/>
  <c r="Z75" i="74" s="1"/>
  <c r="N75" i="74"/>
  <c r="L75" i="74"/>
  <c r="B75" i="74"/>
  <c r="T74" i="74"/>
  <c r="P74" i="74"/>
  <c r="X74" i="74" s="1"/>
  <c r="Z74" i="74" s="1"/>
  <c r="H74" i="74"/>
  <c r="D74" i="74"/>
  <c r="L74" i="74" s="1"/>
  <c r="N74" i="74" s="1"/>
  <c r="B74" i="74"/>
  <c r="X73" i="74"/>
  <c r="Z73" i="74" s="1"/>
  <c r="N73" i="74"/>
  <c r="L73" i="74"/>
  <c r="B73" i="74"/>
  <c r="X72" i="74"/>
  <c r="Z72" i="74" s="1"/>
  <c r="T72" i="74"/>
  <c r="P72" i="74"/>
  <c r="H72" i="74"/>
  <c r="D72" i="74"/>
  <c r="B72" i="74"/>
  <c r="X71" i="74"/>
  <c r="Z71" i="74" s="1"/>
  <c r="N71" i="74"/>
  <c r="L71" i="74"/>
  <c r="B71" i="74"/>
  <c r="X70" i="74"/>
  <c r="Z70" i="74" s="1"/>
  <c r="N70" i="74"/>
  <c r="L70" i="74"/>
  <c r="B70" i="74"/>
  <c r="Z69" i="74"/>
  <c r="X69" i="74"/>
  <c r="N69" i="74"/>
  <c r="L69" i="74"/>
  <c r="B69" i="74"/>
  <c r="Z68" i="74"/>
  <c r="X68" i="74"/>
  <c r="L68" i="74"/>
  <c r="N68" i="74" s="1"/>
  <c r="B68" i="74"/>
  <c r="Z67" i="74"/>
  <c r="X67" i="74"/>
  <c r="N67" i="74"/>
  <c r="L67" i="74"/>
  <c r="B67" i="74"/>
  <c r="X66" i="74"/>
  <c r="Z66" i="74" s="1"/>
  <c r="N66" i="74"/>
  <c r="L66" i="74"/>
  <c r="B66" i="74"/>
  <c r="Z65" i="74"/>
  <c r="X65" i="74"/>
  <c r="T65" i="74"/>
  <c r="P65" i="74"/>
  <c r="N65" i="74"/>
  <c r="L65" i="74"/>
  <c r="H65" i="74"/>
  <c r="D65" i="74"/>
  <c r="B65" i="74"/>
  <c r="X64" i="74"/>
  <c r="Z64" i="74" s="1"/>
  <c r="L64" i="74"/>
  <c r="N64" i="74" s="1"/>
  <c r="B64" i="74"/>
  <c r="X63" i="74"/>
  <c r="Z63" i="74" s="1"/>
  <c r="N63" i="74"/>
  <c r="L63" i="74"/>
  <c r="B63" i="74"/>
  <c r="Z62" i="74"/>
  <c r="X62" i="74"/>
  <c r="N62" i="74"/>
  <c r="L62" i="74"/>
  <c r="B62" i="74"/>
  <c r="X61" i="74"/>
  <c r="Z61" i="74" s="1"/>
  <c r="L61" i="74"/>
  <c r="N61" i="74" s="1"/>
  <c r="B61" i="74"/>
  <c r="X60" i="74"/>
  <c r="Z60" i="74" s="1"/>
  <c r="L60" i="74"/>
  <c r="N60" i="74" s="1"/>
  <c r="B60" i="74"/>
  <c r="X59" i="74"/>
  <c r="Z59" i="74" s="1"/>
  <c r="N59" i="74"/>
  <c r="L59" i="74"/>
  <c r="B59" i="74"/>
  <c r="Z58" i="74"/>
  <c r="X58" i="74"/>
  <c r="N58" i="74"/>
  <c r="L58" i="74"/>
  <c r="B58" i="74"/>
  <c r="X57" i="74"/>
  <c r="Z57" i="74" s="1"/>
  <c r="L57" i="74"/>
  <c r="N57" i="74" s="1"/>
  <c r="B57" i="74"/>
  <c r="T56" i="74"/>
  <c r="P56" i="74"/>
  <c r="X56" i="74" s="1"/>
  <c r="Z56" i="74" s="1"/>
  <c r="N56" i="74"/>
  <c r="H56" i="74"/>
  <c r="D56" i="74"/>
  <c r="L56" i="74" s="1"/>
  <c r="B56" i="74"/>
  <c r="T55" i="74"/>
  <c r="P55" i="74"/>
  <c r="X55" i="74" s="1"/>
  <c r="Z55" i="74" s="1"/>
  <c r="H55" i="74"/>
  <c r="D55" i="74"/>
  <c r="Z51" i="74"/>
  <c r="X51" i="74"/>
  <c r="L51" i="74"/>
  <c r="N51" i="74" s="1"/>
  <c r="B51" i="74"/>
  <c r="Z50" i="74"/>
  <c r="X50" i="74"/>
  <c r="L50" i="74"/>
  <c r="N50" i="74" s="1"/>
  <c r="B50" i="74"/>
  <c r="X49" i="74"/>
  <c r="Z49" i="74" s="1"/>
  <c r="N49" i="74"/>
  <c r="L49" i="74"/>
  <c r="B49" i="74"/>
  <c r="X48" i="74"/>
  <c r="Z48" i="74" s="1"/>
  <c r="N48" i="74"/>
  <c r="L48" i="74"/>
  <c r="B48" i="74"/>
  <c r="Z47" i="74"/>
  <c r="X47" i="74"/>
  <c r="L47" i="74"/>
  <c r="N47" i="74" s="1"/>
  <c r="B47" i="74"/>
  <c r="Z46" i="74"/>
  <c r="X46" i="74"/>
  <c r="L46" i="74"/>
  <c r="N46" i="74" s="1"/>
  <c r="B46" i="74"/>
  <c r="X45" i="74"/>
  <c r="Z45" i="74" s="1"/>
  <c r="N45" i="74"/>
  <c r="L45" i="74"/>
  <c r="B45" i="74"/>
  <c r="X44" i="74"/>
  <c r="Z44" i="74" s="1"/>
  <c r="N44" i="74"/>
  <c r="L44" i="74"/>
  <c r="B44" i="74"/>
  <c r="Z43" i="74"/>
  <c r="X43" i="74"/>
  <c r="L43" i="74"/>
  <c r="N43" i="74" s="1"/>
  <c r="B43" i="74"/>
  <c r="Z42" i="74"/>
  <c r="X42" i="74"/>
  <c r="L42" i="74"/>
  <c r="N42" i="74" s="1"/>
  <c r="B42" i="74"/>
  <c r="X41" i="74"/>
  <c r="Z41" i="74" s="1"/>
  <c r="N41" i="74"/>
  <c r="L41" i="74"/>
  <c r="B41" i="74"/>
  <c r="X40" i="74"/>
  <c r="Z40" i="74" s="1"/>
  <c r="N40" i="74"/>
  <c r="L40" i="74"/>
  <c r="B40" i="74"/>
  <c r="Z39" i="74"/>
  <c r="X39" i="74"/>
  <c r="L39" i="74"/>
  <c r="N39" i="74" s="1"/>
  <c r="B39" i="74"/>
  <c r="Z38" i="74"/>
  <c r="X38" i="74"/>
  <c r="L38" i="74"/>
  <c r="N38" i="74" s="1"/>
  <c r="B38" i="74"/>
  <c r="X37" i="74"/>
  <c r="Z37" i="74" s="1"/>
  <c r="N37" i="74"/>
  <c r="L37" i="74"/>
  <c r="B37" i="74"/>
  <c r="X36" i="74"/>
  <c r="Z36" i="74" s="1"/>
  <c r="N36" i="74"/>
  <c r="L36" i="74"/>
  <c r="B36" i="74"/>
  <c r="Z35" i="74"/>
  <c r="T35" i="74"/>
  <c r="P35" i="74"/>
  <c r="X35" i="74" s="1"/>
  <c r="H35" i="74"/>
  <c r="D35" i="74"/>
  <c r="Z33" i="74"/>
  <c r="T33" i="74"/>
  <c r="P33" i="74"/>
  <c r="X33" i="74" s="1"/>
  <c r="N33" i="74"/>
  <c r="L33" i="74"/>
  <c r="H33" i="74"/>
  <c r="D33" i="74"/>
  <c r="B33" i="74"/>
  <c r="T32" i="74"/>
  <c r="P32" i="74"/>
  <c r="X32" i="74" s="1"/>
  <c r="Z32" i="74" s="1"/>
  <c r="H32" i="74"/>
  <c r="D32" i="74"/>
  <c r="L32" i="74" s="1"/>
  <c r="B32" i="74"/>
  <c r="T31" i="74"/>
  <c r="Z31" i="74" s="1"/>
  <c r="P31" i="74"/>
  <c r="X31" i="74" s="1"/>
  <c r="H31" i="74"/>
  <c r="D31" i="74"/>
  <c r="B31" i="74"/>
  <c r="X30" i="74"/>
  <c r="T30" i="74"/>
  <c r="P30" i="74"/>
  <c r="H30" i="74"/>
  <c r="D30" i="74"/>
  <c r="B30" i="74"/>
  <c r="Z29" i="74"/>
  <c r="T29" i="74"/>
  <c r="P29" i="74"/>
  <c r="X29" i="74" s="1"/>
  <c r="N29" i="74"/>
  <c r="L29" i="74"/>
  <c r="H29" i="74"/>
  <c r="D29" i="74"/>
  <c r="B29" i="74"/>
  <c r="Z28" i="74"/>
  <c r="T28" i="74"/>
  <c r="P28" i="74"/>
  <c r="X28" i="74" s="1"/>
  <c r="H28" i="74"/>
  <c r="N28" i="74" s="1"/>
  <c r="D28" i="74"/>
  <c r="L28" i="74" s="1"/>
  <c r="B28" i="74"/>
  <c r="T27" i="74"/>
  <c r="P27" i="74"/>
  <c r="X27" i="74" s="1"/>
  <c r="H27" i="74"/>
  <c r="D27" i="74"/>
  <c r="B27" i="74"/>
  <c r="T26" i="74"/>
  <c r="P26" i="74"/>
  <c r="H26" i="74"/>
  <c r="D26" i="74"/>
  <c r="L26" i="74" s="1"/>
  <c r="B26" i="74"/>
  <c r="Z25" i="74"/>
  <c r="T25" i="74"/>
  <c r="P25" i="74"/>
  <c r="X25" i="74" s="1"/>
  <c r="L25" i="74"/>
  <c r="N25" i="74" s="1"/>
  <c r="H25" i="74"/>
  <c r="D25" i="74"/>
  <c r="B25" i="74"/>
  <c r="Z24" i="74"/>
  <c r="T24" i="74"/>
  <c r="P24" i="74"/>
  <c r="X24" i="74" s="1"/>
  <c r="H24" i="74"/>
  <c r="N24" i="74" s="1"/>
  <c r="D24" i="74"/>
  <c r="L24" i="74" s="1"/>
  <c r="B24" i="74"/>
  <c r="T23" i="74"/>
  <c r="Z23" i="74" s="1"/>
  <c r="P23" i="74"/>
  <c r="X23" i="74" s="1"/>
  <c r="H23" i="74"/>
  <c r="D23" i="74"/>
  <c r="B23" i="74"/>
  <c r="T22" i="74"/>
  <c r="P22" i="74"/>
  <c r="H22" i="74"/>
  <c r="N22" i="74" s="1"/>
  <c r="D22" i="74"/>
  <c r="B22" i="74"/>
  <c r="T21" i="74"/>
  <c r="P21" i="74"/>
  <c r="X21" i="74" s="1"/>
  <c r="Z21" i="74" s="1"/>
  <c r="L21" i="74"/>
  <c r="N21" i="74" s="1"/>
  <c r="H21" i="74"/>
  <c r="D21" i="74"/>
  <c r="B21" i="74"/>
  <c r="T20" i="74"/>
  <c r="P20" i="74"/>
  <c r="X20" i="74" s="1"/>
  <c r="Z20" i="74" s="1"/>
  <c r="H20" i="74"/>
  <c r="N20" i="74" s="1"/>
  <c r="D20" i="74"/>
  <c r="L20" i="74" s="1"/>
  <c r="B20" i="74"/>
  <c r="T19" i="74"/>
  <c r="P19" i="74"/>
  <c r="X19" i="74" s="1"/>
  <c r="H19" i="74"/>
  <c r="D19" i="74"/>
  <c r="B19" i="74"/>
  <c r="X18" i="74"/>
  <c r="T18" i="74"/>
  <c r="P18" i="74"/>
  <c r="H18" i="74"/>
  <c r="D18" i="74"/>
  <c r="B18" i="74"/>
  <c r="T17" i="74"/>
  <c r="P17" i="74"/>
  <c r="X17" i="74" s="1"/>
  <c r="Z17" i="74" s="1"/>
  <c r="N17" i="74"/>
  <c r="L17" i="74"/>
  <c r="H17" i="74"/>
  <c r="D17" i="74"/>
  <c r="B17" i="74"/>
  <c r="Z16" i="74"/>
  <c r="T16" i="74"/>
  <c r="P16" i="74"/>
  <c r="X16" i="74" s="1"/>
  <c r="H16" i="74"/>
  <c r="D16" i="74"/>
  <c r="L16" i="74" s="1"/>
  <c r="B16" i="74"/>
  <c r="T15" i="74"/>
  <c r="P15" i="74"/>
  <c r="X15" i="74" s="1"/>
  <c r="H15" i="74"/>
  <c r="D15" i="74"/>
  <c r="B15" i="74"/>
  <c r="T14" i="74"/>
  <c r="P14" i="74"/>
  <c r="H14" i="74"/>
  <c r="D14" i="74"/>
  <c r="B14" i="74"/>
  <c r="T13" i="74"/>
  <c r="P13" i="74"/>
  <c r="X13" i="74" s="1"/>
  <c r="Z13" i="74" s="1"/>
  <c r="L13" i="74"/>
  <c r="N13" i="74" s="1"/>
  <c r="H13" i="74"/>
  <c r="D13" i="74"/>
  <c r="B13" i="74"/>
  <c r="D6" i="74"/>
  <c r="D4" i="74"/>
  <c r="Z96" i="73"/>
  <c r="X96" i="73"/>
  <c r="L96" i="73"/>
  <c r="N96" i="73" s="1"/>
  <c r="Z92" i="73"/>
  <c r="X92" i="73"/>
  <c r="T92" i="73"/>
  <c r="P92" i="73"/>
  <c r="H92" i="73"/>
  <c r="L92" i="73" s="1"/>
  <c r="D92" i="73"/>
  <c r="Z90" i="73"/>
  <c r="X90" i="73"/>
  <c r="N90" i="73"/>
  <c r="L90" i="73"/>
  <c r="B90" i="73"/>
  <c r="Z89" i="73"/>
  <c r="T89" i="73"/>
  <c r="P89" i="73"/>
  <c r="X89" i="73" s="1"/>
  <c r="H89" i="73"/>
  <c r="N89" i="73" s="1"/>
  <c r="D89" i="73"/>
  <c r="L89" i="73" s="1"/>
  <c r="B89" i="73"/>
  <c r="Z88" i="73"/>
  <c r="X88" i="73"/>
  <c r="N88" i="73"/>
  <c r="L88" i="73"/>
  <c r="B88" i="73"/>
  <c r="Z87" i="73"/>
  <c r="X87" i="73"/>
  <c r="T87" i="73"/>
  <c r="P87" i="73"/>
  <c r="N87" i="73"/>
  <c r="H87" i="73"/>
  <c r="D87" i="73"/>
  <c r="L87" i="73" s="1"/>
  <c r="B87" i="73"/>
  <c r="X86" i="73"/>
  <c r="Z86" i="73" s="1"/>
  <c r="N86" i="73"/>
  <c r="L86" i="73"/>
  <c r="B86" i="73"/>
  <c r="X85" i="73"/>
  <c r="T85" i="73"/>
  <c r="Z85" i="73" s="1"/>
  <c r="P85" i="73"/>
  <c r="H85" i="73"/>
  <c r="N85" i="73" s="1"/>
  <c r="D85" i="73"/>
  <c r="B85" i="73"/>
  <c r="Z84" i="73"/>
  <c r="X84" i="73"/>
  <c r="L84" i="73"/>
  <c r="N84" i="73" s="1"/>
  <c r="B84" i="73"/>
  <c r="X83" i="73"/>
  <c r="Z83" i="73" s="1"/>
  <c r="N83" i="73"/>
  <c r="L83" i="73"/>
  <c r="B83" i="73"/>
  <c r="X82" i="73"/>
  <c r="Z82" i="73" s="1"/>
  <c r="N82" i="73"/>
  <c r="L82" i="73"/>
  <c r="B82" i="73"/>
  <c r="T81" i="73"/>
  <c r="P81" i="73"/>
  <c r="X81" i="73" s="1"/>
  <c r="Z81" i="73" s="1"/>
  <c r="H81" i="73"/>
  <c r="D81" i="73"/>
  <c r="L81" i="73" s="1"/>
  <c r="B81" i="73"/>
  <c r="X80" i="73"/>
  <c r="Z80" i="73" s="1"/>
  <c r="N80" i="73"/>
  <c r="L80" i="73"/>
  <c r="B80" i="73"/>
  <c r="X79" i="73"/>
  <c r="Z79" i="73" s="1"/>
  <c r="T79" i="73"/>
  <c r="P79" i="73"/>
  <c r="N79" i="73"/>
  <c r="L79" i="73"/>
  <c r="H79" i="73"/>
  <c r="D79" i="73"/>
  <c r="B79" i="73"/>
  <c r="Z78" i="73"/>
  <c r="X78" i="73"/>
  <c r="N78" i="73"/>
  <c r="L78" i="73"/>
  <c r="B78" i="73"/>
  <c r="X77" i="73"/>
  <c r="T77" i="73"/>
  <c r="P77" i="73"/>
  <c r="H77" i="73"/>
  <c r="N77" i="73" s="1"/>
  <c r="D77" i="73"/>
  <c r="L77" i="73" s="1"/>
  <c r="B77" i="73"/>
  <c r="Z76" i="73"/>
  <c r="X76" i="73"/>
  <c r="N76" i="73"/>
  <c r="L76" i="73"/>
  <c r="B76" i="73"/>
  <c r="T75" i="73"/>
  <c r="P75" i="73"/>
  <c r="N75" i="73"/>
  <c r="H75" i="73"/>
  <c r="D75" i="73"/>
  <c r="L75" i="73" s="1"/>
  <c r="B75" i="73"/>
  <c r="Z74" i="73"/>
  <c r="X74" i="73"/>
  <c r="N74" i="73"/>
  <c r="L74" i="73"/>
  <c r="B74" i="73"/>
  <c r="X73" i="73"/>
  <c r="Z73" i="73" s="1"/>
  <c r="L73" i="73"/>
  <c r="N73" i="73" s="1"/>
  <c r="B73" i="73"/>
  <c r="T72" i="73"/>
  <c r="P72" i="73"/>
  <c r="H72" i="73"/>
  <c r="D72" i="73"/>
  <c r="L72" i="73" s="1"/>
  <c r="N72" i="73" s="1"/>
  <c r="B72" i="73"/>
  <c r="X71" i="73"/>
  <c r="Z71" i="73" s="1"/>
  <c r="L71" i="73"/>
  <c r="N71" i="73" s="1"/>
  <c r="B71" i="73"/>
  <c r="Z70" i="73"/>
  <c r="T70" i="73"/>
  <c r="P70" i="73"/>
  <c r="X70" i="73" s="1"/>
  <c r="H70" i="73"/>
  <c r="D70" i="73"/>
  <c r="L70" i="73" s="1"/>
  <c r="N70" i="73" s="1"/>
  <c r="B70" i="73"/>
  <c r="Z69" i="73"/>
  <c r="X69" i="73"/>
  <c r="N69" i="73"/>
  <c r="L69" i="73"/>
  <c r="B69" i="73"/>
  <c r="Z68" i="73"/>
  <c r="X68" i="73"/>
  <c r="N68" i="73"/>
  <c r="L68" i="73"/>
  <c r="B68" i="73"/>
  <c r="Z67" i="73"/>
  <c r="X67" i="73"/>
  <c r="N67" i="73"/>
  <c r="L67" i="73"/>
  <c r="B67" i="73"/>
  <c r="X66" i="73"/>
  <c r="Z66" i="73" s="1"/>
  <c r="N66" i="73"/>
  <c r="L66" i="73"/>
  <c r="B66" i="73"/>
  <c r="Z65" i="73"/>
  <c r="T65" i="73"/>
  <c r="P65" i="73"/>
  <c r="X65" i="73" s="1"/>
  <c r="H65" i="73"/>
  <c r="D65" i="73"/>
  <c r="L65" i="73" s="1"/>
  <c r="B65" i="73"/>
  <c r="Z64" i="73"/>
  <c r="X64" i="73"/>
  <c r="N64" i="73"/>
  <c r="L64" i="73"/>
  <c r="B64" i="73"/>
  <c r="Z63" i="73"/>
  <c r="X63" i="73"/>
  <c r="L63" i="73"/>
  <c r="N63" i="73" s="1"/>
  <c r="B63" i="73"/>
  <c r="Z62" i="73"/>
  <c r="X62" i="73"/>
  <c r="L62" i="73"/>
  <c r="N62" i="73" s="1"/>
  <c r="B62" i="73"/>
  <c r="Z61" i="73"/>
  <c r="X61" i="73"/>
  <c r="N61" i="73"/>
  <c r="L61" i="73"/>
  <c r="B61" i="73"/>
  <c r="X60" i="73"/>
  <c r="Z60" i="73" s="1"/>
  <c r="N60" i="73"/>
  <c r="L60" i="73"/>
  <c r="B60" i="73"/>
  <c r="X59" i="73"/>
  <c r="Z59" i="73" s="1"/>
  <c r="L59" i="73"/>
  <c r="N59" i="73" s="1"/>
  <c r="B59" i="73"/>
  <c r="Z58" i="73"/>
  <c r="X58" i="73"/>
  <c r="N58" i="73"/>
  <c r="L58" i="73"/>
  <c r="B58" i="73"/>
  <c r="Z57" i="73"/>
  <c r="X57" i="73"/>
  <c r="L57" i="73"/>
  <c r="N57" i="73" s="1"/>
  <c r="B57" i="73"/>
  <c r="X56" i="73"/>
  <c r="Z56" i="73" s="1"/>
  <c r="N56" i="73"/>
  <c r="L56" i="73"/>
  <c r="B56" i="73"/>
  <c r="X55" i="73"/>
  <c r="Z55" i="73" s="1"/>
  <c r="T55" i="73"/>
  <c r="P55" i="73"/>
  <c r="H55" i="73"/>
  <c r="D55" i="73"/>
  <c r="L55" i="73" s="1"/>
  <c r="B55" i="73"/>
  <c r="T54" i="73"/>
  <c r="P54" i="73"/>
  <c r="X54" i="73" s="1"/>
  <c r="Z54" i="73" s="1"/>
  <c r="H54" i="73"/>
  <c r="D54" i="73"/>
  <c r="L54" i="73" s="1"/>
  <c r="N54" i="73" s="1"/>
  <c r="Z50" i="73"/>
  <c r="X50" i="73"/>
  <c r="N50" i="73"/>
  <c r="L50" i="73"/>
  <c r="B50" i="73"/>
  <c r="X49" i="73"/>
  <c r="Z49" i="73" s="1"/>
  <c r="N49" i="73"/>
  <c r="L49" i="73"/>
  <c r="B49" i="73"/>
  <c r="Z48" i="73"/>
  <c r="X48" i="73"/>
  <c r="N48" i="73"/>
  <c r="L48" i="73"/>
  <c r="B48" i="73"/>
  <c r="Z47" i="73"/>
  <c r="X47" i="73"/>
  <c r="L47" i="73"/>
  <c r="N47" i="73" s="1"/>
  <c r="B47" i="73"/>
  <c r="Z46" i="73"/>
  <c r="X46" i="73"/>
  <c r="N46" i="73"/>
  <c r="L46" i="73"/>
  <c r="B46" i="73"/>
  <c r="Z45" i="73"/>
  <c r="X45" i="73"/>
  <c r="N45" i="73"/>
  <c r="L45" i="73"/>
  <c r="B45" i="73"/>
  <c r="Z44" i="73"/>
  <c r="X44" i="73"/>
  <c r="L44" i="73"/>
  <c r="N44" i="73" s="1"/>
  <c r="B44" i="73"/>
  <c r="Z43" i="73"/>
  <c r="X43" i="73"/>
  <c r="N43" i="73"/>
  <c r="L43" i="73"/>
  <c r="B43" i="73"/>
  <c r="X42" i="73"/>
  <c r="Z42" i="73" s="1"/>
  <c r="L42" i="73"/>
  <c r="N42" i="73" s="1"/>
  <c r="B42" i="73"/>
  <c r="X41" i="73"/>
  <c r="Z41" i="73" s="1"/>
  <c r="N41" i="73"/>
  <c r="L41" i="73"/>
  <c r="B41" i="73"/>
  <c r="Z40" i="73"/>
  <c r="X40" i="73"/>
  <c r="N40" i="73"/>
  <c r="L40" i="73"/>
  <c r="B40" i="73"/>
  <c r="Z39" i="73"/>
  <c r="X39" i="73"/>
  <c r="L39" i="73"/>
  <c r="N39" i="73" s="1"/>
  <c r="B39" i="73"/>
  <c r="X38" i="73"/>
  <c r="Z38" i="73" s="1"/>
  <c r="L38" i="73"/>
  <c r="N38" i="73" s="1"/>
  <c r="B38" i="73"/>
  <c r="X37" i="73"/>
  <c r="Z37" i="73" s="1"/>
  <c r="N37" i="73"/>
  <c r="L37" i="73"/>
  <c r="B37" i="73"/>
  <c r="Z36" i="73"/>
  <c r="X36" i="73"/>
  <c r="N36" i="73"/>
  <c r="L36" i="73"/>
  <c r="B36" i="73"/>
  <c r="T35" i="73"/>
  <c r="P35" i="73"/>
  <c r="X35" i="73" s="1"/>
  <c r="L35" i="73"/>
  <c r="H35" i="73"/>
  <c r="N35" i="73" s="1"/>
  <c r="D35" i="73"/>
  <c r="T33" i="73"/>
  <c r="P33" i="73"/>
  <c r="H33" i="73"/>
  <c r="N33" i="73" s="1"/>
  <c r="D33" i="73"/>
  <c r="L33" i="73" s="1"/>
  <c r="B33" i="73"/>
  <c r="X32" i="73"/>
  <c r="Z32" i="73" s="1"/>
  <c r="T32" i="73"/>
  <c r="P32" i="73"/>
  <c r="L32" i="73"/>
  <c r="H32" i="73"/>
  <c r="D32" i="73"/>
  <c r="B32" i="73"/>
  <c r="T31" i="73"/>
  <c r="Z31" i="73" s="1"/>
  <c r="P31" i="73"/>
  <c r="X31" i="73" s="1"/>
  <c r="N31" i="73"/>
  <c r="H31" i="73"/>
  <c r="D31" i="73"/>
  <c r="L31" i="73" s="1"/>
  <c r="B31" i="73"/>
  <c r="Z30" i="73"/>
  <c r="T30" i="73"/>
  <c r="P30" i="73"/>
  <c r="X30" i="73" s="1"/>
  <c r="H30" i="73"/>
  <c r="N30" i="73" s="1"/>
  <c r="D30" i="73"/>
  <c r="L30" i="73" s="1"/>
  <c r="B30" i="73"/>
  <c r="T29" i="73"/>
  <c r="P29" i="73"/>
  <c r="X29" i="73" s="1"/>
  <c r="L29" i="73"/>
  <c r="H29" i="73"/>
  <c r="D29" i="73"/>
  <c r="B29" i="73"/>
  <c r="T28" i="73"/>
  <c r="P28" i="73"/>
  <c r="X28" i="73" s="1"/>
  <c r="Z28" i="73" s="1"/>
  <c r="H28" i="73"/>
  <c r="N28" i="73" s="1"/>
  <c r="D28" i="73"/>
  <c r="B28" i="73"/>
  <c r="T27" i="73"/>
  <c r="P27" i="73"/>
  <c r="N27" i="73"/>
  <c r="H27" i="73"/>
  <c r="D27" i="73"/>
  <c r="L27" i="73" s="1"/>
  <c r="B27" i="73"/>
  <c r="T26" i="73"/>
  <c r="P26" i="73"/>
  <c r="H26" i="73"/>
  <c r="D26" i="73"/>
  <c r="L26" i="73" s="1"/>
  <c r="N26" i="73" s="1"/>
  <c r="B26" i="73"/>
  <c r="Z25" i="73"/>
  <c r="T25" i="73"/>
  <c r="P25" i="73"/>
  <c r="X25" i="73" s="1"/>
  <c r="H25" i="73"/>
  <c r="D25" i="73"/>
  <c r="L25" i="73" s="1"/>
  <c r="B25" i="73"/>
  <c r="X24" i="73"/>
  <c r="Z24" i="73" s="1"/>
  <c r="T24" i="73"/>
  <c r="P24" i="73"/>
  <c r="H24" i="73"/>
  <c r="D24" i="73"/>
  <c r="B24" i="73"/>
  <c r="T23" i="73"/>
  <c r="P23" i="73"/>
  <c r="H23" i="73"/>
  <c r="D23" i="73"/>
  <c r="B23" i="73"/>
  <c r="T22" i="73"/>
  <c r="P22" i="73"/>
  <c r="H22" i="73"/>
  <c r="N22" i="73" s="1"/>
  <c r="D22" i="73"/>
  <c r="L22" i="73" s="1"/>
  <c r="B22" i="73"/>
  <c r="T21" i="73"/>
  <c r="P21" i="73"/>
  <c r="X21" i="73" s="1"/>
  <c r="Z21" i="73" s="1"/>
  <c r="H21" i="73"/>
  <c r="D21" i="73"/>
  <c r="B21" i="73"/>
  <c r="X20" i="73"/>
  <c r="Z20" i="73" s="1"/>
  <c r="T20" i="73"/>
  <c r="P20" i="73"/>
  <c r="L20" i="73"/>
  <c r="N20" i="73" s="1"/>
  <c r="H20" i="73"/>
  <c r="D20" i="73"/>
  <c r="B20" i="73"/>
  <c r="T19" i="73"/>
  <c r="P19" i="73"/>
  <c r="X19" i="73" s="1"/>
  <c r="Z19" i="73" s="1"/>
  <c r="H19" i="73"/>
  <c r="D19" i="73"/>
  <c r="B19" i="73"/>
  <c r="T18" i="73"/>
  <c r="P18" i="73"/>
  <c r="X18" i="73" s="1"/>
  <c r="Z18" i="73" s="1"/>
  <c r="L18" i="73"/>
  <c r="N18" i="73" s="1"/>
  <c r="H18" i="73"/>
  <c r="D18" i="73"/>
  <c r="B18" i="73"/>
  <c r="X17" i="73"/>
  <c r="Z17" i="73" s="1"/>
  <c r="T17" i="73"/>
  <c r="P17" i="73"/>
  <c r="L17" i="73"/>
  <c r="H17" i="73"/>
  <c r="D17" i="73"/>
  <c r="B17" i="73"/>
  <c r="T16" i="73"/>
  <c r="P16" i="73"/>
  <c r="X16" i="73" s="1"/>
  <c r="Z16" i="73" s="1"/>
  <c r="L16" i="73"/>
  <c r="N16" i="73" s="1"/>
  <c r="H16" i="73"/>
  <c r="D16" i="73"/>
  <c r="B16" i="73"/>
  <c r="X15" i="73"/>
  <c r="T15" i="73"/>
  <c r="P15" i="73"/>
  <c r="H15" i="73"/>
  <c r="N15" i="73" s="1"/>
  <c r="D15" i="73"/>
  <c r="L15" i="73" s="1"/>
  <c r="B15" i="73"/>
  <c r="Z14" i="73"/>
  <c r="T14" i="73"/>
  <c r="P14" i="73"/>
  <c r="X14" i="73" s="1"/>
  <c r="H14" i="73"/>
  <c r="D14" i="73"/>
  <c r="L14" i="73" s="1"/>
  <c r="N14" i="73" s="1"/>
  <c r="B14" i="73"/>
  <c r="T13" i="73"/>
  <c r="P13" i="73"/>
  <c r="L13" i="73"/>
  <c r="H13" i="73"/>
  <c r="D13" i="73"/>
  <c r="B13" i="73"/>
  <c r="D6" i="73"/>
  <c r="D4" i="73"/>
  <c r="X87" i="72"/>
  <c r="Z87" i="72" s="1"/>
  <c r="L87" i="72"/>
  <c r="N87" i="72" s="1"/>
  <c r="T83" i="72"/>
  <c r="Z83" i="72" s="1"/>
  <c r="P83" i="72"/>
  <c r="X83" i="72" s="1"/>
  <c r="N83" i="72"/>
  <c r="H83" i="72"/>
  <c r="D83" i="72"/>
  <c r="L83" i="72" s="1"/>
  <c r="Z81" i="72"/>
  <c r="X81" i="72"/>
  <c r="N81" i="72"/>
  <c r="L81" i="72"/>
  <c r="B81" i="72"/>
  <c r="T80" i="72"/>
  <c r="P80" i="72"/>
  <c r="X80" i="72" s="1"/>
  <c r="L80" i="72"/>
  <c r="H80" i="72"/>
  <c r="N80" i="72" s="1"/>
  <c r="D80" i="72"/>
  <c r="B80" i="72"/>
  <c r="X79" i="72"/>
  <c r="Z79" i="72" s="1"/>
  <c r="L79" i="72"/>
  <c r="N79" i="72" s="1"/>
  <c r="B79" i="72"/>
  <c r="V78" i="72"/>
  <c r="T78" i="72"/>
  <c r="P78" i="72"/>
  <c r="H78" i="72"/>
  <c r="D78" i="72"/>
  <c r="B78" i="72"/>
  <c r="X77" i="72"/>
  <c r="Z77" i="72" s="1"/>
  <c r="R77" i="72"/>
  <c r="N77" i="72"/>
  <c r="L77" i="72"/>
  <c r="B77" i="72"/>
  <c r="X76" i="72"/>
  <c r="Z76" i="72" s="1"/>
  <c r="L76" i="72"/>
  <c r="N76" i="72" s="1"/>
  <c r="B76" i="72"/>
  <c r="Z75" i="72"/>
  <c r="X75" i="72"/>
  <c r="N75" i="72"/>
  <c r="L75" i="72"/>
  <c r="B75" i="72"/>
  <c r="Z74" i="72"/>
  <c r="X74" i="72"/>
  <c r="N74" i="72"/>
  <c r="L74" i="72"/>
  <c r="B74" i="72"/>
  <c r="X73" i="72"/>
  <c r="Z73" i="72" s="1"/>
  <c r="V73" i="72"/>
  <c r="N73" i="72"/>
  <c r="L73" i="72"/>
  <c r="B73" i="72"/>
  <c r="Z72" i="72"/>
  <c r="X72" i="72"/>
  <c r="N72" i="72"/>
  <c r="L72" i="72"/>
  <c r="B72" i="72"/>
  <c r="V71" i="72"/>
  <c r="T71" i="72"/>
  <c r="X71" i="72" s="1"/>
  <c r="Z71" i="72" s="1"/>
  <c r="P71" i="72"/>
  <c r="H71" i="72"/>
  <c r="D71" i="72"/>
  <c r="B71" i="72"/>
  <c r="Z70" i="72"/>
  <c r="X70" i="72"/>
  <c r="V70" i="72"/>
  <c r="N70" i="72"/>
  <c r="L70" i="72"/>
  <c r="B70" i="72"/>
  <c r="Z69" i="72"/>
  <c r="X69" i="72"/>
  <c r="N69" i="72"/>
  <c r="L69" i="72"/>
  <c r="B69" i="72"/>
  <c r="T68" i="72"/>
  <c r="P68" i="72"/>
  <c r="H68" i="72"/>
  <c r="N68" i="72" s="1"/>
  <c r="D68" i="72"/>
  <c r="B68" i="72"/>
  <c r="X67" i="72"/>
  <c r="Z67" i="72" s="1"/>
  <c r="V67" i="72"/>
  <c r="N67" i="72"/>
  <c r="L67" i="72"/>
  <c r="B67" i="72"/>
  <c r="Z66" i="72"/>
  <c r="X66" i="72"/>
  <c r="N66" i="72"/>
  <c r="L66" i="72"/>
  <c r="B66" i="72"/>
  <c r="V65" i="72"/>
  <c r="T65" i="72"/>
  <c r="P65" i="72"/>
  <c r="X65" i="72" s="1"/>
  <c r="H65" i="72"/>
  <c r="D65" i="72"/>
  <c r="L65" i="72" s="1"/>
  <c r="N65" i="72" s="1"/>
  <c r="B65" i="72"/>
  <c r="X64" i="72"/>
  <c r="Z64" i="72" s="1"/>
  <c r="V64" i="72"/>
  <c r="N64" i="72"/>
  <c r="L64" i="72"/>
  <c r="B64" i="72"/>
  <c r="X63" i="72"/>
  <c r="Z63" i="72" s="1"/>
  <c r="V63" i="72"/>
  <c r="N63" i="72"/>
  <c r="L63" i="72"/>
  <c r="B63" i="72"/>
  <c r="Z62" i="72"/>
  <c r="X62" i="72"/>
  <c r="N62" i="72"/>
  <c r="L62" i="72"/>
  <c r="B62" i="72"/>
  <c r="T61" i="72"/>
  <c r="P61" i="72"/>
  <c r="N61" i="72"/>
  <c r="H61" i="72"/>
  <c r="D61" i="72"/>
  <c r="L61" i="72" s="1"/>
  <c r="B61" i="72"/>
  <c r="X60" i="72"/>
  <c r="Z60" i="72" s="1"/>
  <c r="V60" i="72"/>
  <c r="L60" i="72"/>
  <c r="N60" i="72" s="1"/>
  <c r="B60" i="72"/>
  <c r="T59" i="72"/>
  <c r="P59" i="72"/>
  <c r="H59" i="72"/>
  <c r="D59" i="72"/>
  <c r="L59" i="72" s="1"/>
  <c r="N59" i="72" s="1"/>
  <c r="B59" i="72"/>
  <c r="Z58" i="72"/>
  <c r="X58" i="72"/>
  <c r="N58" i="72"/>
  <c r="L58" i="72"/>
  <c r="B58" i="72"/>
  <c r="X57" i="72"/>
  <c r="Z57" i="72" s="1"/>
  <c r="L57" i="72"/>
  <c r="N57" i="72" s="1"/>
  <c r="B57" i="72"/>
  <c r="X56" i="72"/>
  <c r="T56" i="72"/>
  <c r="R56" i="72"/>
  <c r="P56" i="72"/>
  <c r="H56" i="72"/>
  <c r="D56" i="72"/>
  <c r="B56" i="72"/>
  <c r="X55" i="72"/>
  <c r="Z55" i="72" s="1"/>
  <c r="N55" i="72"/>
  <c r="L55" i="72"/>
  <c r="B55" i="72"/>
  <c r="T54" i="72"/>
  <c r="P54" i="72"/>
  <c r="X54" i="72" s="1"/>
  <c r="Z54" i="72" s="1"/>
  <c r="N54" i="72"/>
  <c r="H54" i="72"/>
  <c r="D54" i="72"/>
  <c r="L54" i="72" s="1"/>
  <c r="B54" i="72"/>
  <c r="Z53" i="72"/>
  <c r="X53" i="72"/>
  <c r="L53" i="72"/>
  <c r="N53" i="72" s="1"/>
  <c r="B53" i="72"/>
  <c r="X52" i="72"/>
  <c r="T52" i="72"/>
  <c r="P52" i="72"/>
  <c r="H52" i="72"/>
  <c r="D52" i="72"/>
  <c r="B52" i="72"/>
  <c r="X51" i="72"/>
  <c r="Z51" i="72" s="1"/>
  <c r="N51" i="72"/>
  <c r="L51" i="72"/>
  <c r="B51" i="72"/>
  <c r="T50" i="72"/>
  <c r="P50" i="72"/>
  <c r="L50" i="72"/>
  <c r="H50" i="72"/>
  <c r="D50" i="72"/>
  <c r="B50" i="72"/>
  <c r="X49" i="72"/>
  <c r="Z49" i="72" s="1"/>
  <c r="V49" i="72"/>
  <c r="N49" i="72"/>
  <c r="L49" i="72"/>
  <c r="B49" i="72"/>
  <c r="T48" i="72"/>
  <c r="P48" i="72"/>
  <c r="X48" i="72" s="1"/>
  <c r="Z48" i="72" s="1"/>
  <c r="H48" i="72"/>
  <c r="D48" i="72"/>
  <c r="L48" i="72" s="1"/>
  <c r="B48" i="72"/>
  <c r="Z47" i="72"/>
  <c r="X47" i="72"/>
  <c r="N47" i="72"/>
  <c r="L47" i="72"/>
  <c r="B47" i="72"/>
  <c r="X46" i="72"/>
  <c r="T46" i="72"/>
  <c r="P46" i="72"/>
  <c r="H46" i="72"/>
  <c r="N46" i="72" s="1"/>
  <c r="D46" i="72"/>
  <c r="L46" i="72" s="1"/>
  <c r="B46" i="72"/>
  <c r="X45" i="72"/>
  <c r="Z45" i="72" s="1"/>
  <c r="R45" i="72"/>
  <c r="L45" i="72"/>
  <c r="N45" i="72" s="1"/>
  <c r="B45" i="72"/>
  <c r="X44" i="72"/>
  <c r="Z44" i="72" s="1"/>
  <c r="V44" i="72"/>
  <c r="L44" i="72"/>
  <c r="N44" i="72" s="1"/>
  <c r="B44" i="72"/>
  <c r="Z43" i="72"/>
  <c r="X43" i="72"/>
  <c r="N43" i="72"/>
  <c r="L43" i="72"/>
  <c r="B43" i="72"/>
  <c r="X42" i="72"/>
  <c r="Z42" i="72" s="1"/>
  <c r="V42" i="72"/>
  <c r="N42" i="72"/>
  <c r="L42" i="72"/>
  <c r="B42" i="72"/>
  <c r="Z41" i="72"/>
  <c r="X41" i="72"/>
  <c r="V41" i="72"/>
  <c r="N41" i="72"/>
  <c r="L41" i="72"/>
  <c r="B41" i="72"/>
  <c r="Z40" i="72"/>
  <c r="X40" i="72"/>
  <c r="L40" i="72"/>
  <c r="N40" i="72" s="1"/>
  <c r="B40" i="72"/>
  <c r="Z39" i="72"/>
  <c r="V39" i="72"/>
  <c r="T39" i="72"/>
  <c r="X39" i="72" s="1"/>
  <c r="P39" i="72"/>
  <c r="H39" i="72"/>
  <c r="D39" i="72"/>
  <c r="B39" i="72"/>
  <c r="X38" i="72"/>
  <c r="Z38" i="72" s="1"/>
  <c r="L38" i="72"/>
  <c r="N38" i="72" s="1"/>
  <c r="B38" i="72"/>
  <c r="X37" i="72"/>
  <c r="Z37" i="72" s="1"/>
  <c r="V37" i="72"/>
  <c r="N37" i="72"/>
  <c r="L37" i="72"/>
  <c r="B37" i="72"/>
  <c r="X36" i="72"/>
  <c r="Z36" i="72" s="1"/>
  <c r="V36" i="72"/>
  <c r="L36" i="72"/>
  <c r="N36" i="72" s="1"/>
  <c r="B36" i="72"/>
  <c r="Z35" i="72"/>
  <c r="X35" i="72"/>
  <c r="L35" i="72"/>
  <c r="N35" i="72" s="1"/>
  <c r="B35" i="72"/>
  <c r="X34" i="72"/>
  <c r="Z34" i="72" s="1"/>
  <c r="L34" i="72"/>
  <c r="N34" i="72" s="1"/>
  <c r="B34" i="72"/>
  <c r="X33" i="72"/>
  <c r="Z33" i="72" s="1"/>
  <c r="V33" i="72"/>
  <c r="N33" i="72"/>
  <c r="L33" i="72"/>
  <c r="B33" i="72"/>
  <c r="X32" i="72"/>
  <c r="Z32" i="72" s="1"/>
  <c r="V32" i="72"/>
  <c r="L32" i="72"/>
  <c r="N32" i="72" s="1"/>
  <c r="B32" i="72"/>
  <c r="Z31" i="72"/>
  <c r="X31" i="72"/>
  <c r="L31" i="72"/>
  <c r="N31" i="72" s="1"/>
  <c r="B31" i="72"/>
  <c r="X30" i="72"/>
  <c r="T30" i="72"/>
  <c r="Z30" i="72" s="1"/>
  <c r="P30" i="72"/>
  <c r="H30" i="72"/>
  <c r="D30" i="72"/>
  <c r="L30" i="72" s="1"/>
  <c r="N30" i="72" s="1"/>
  <c r="B30" i="72"/>
  <c r="Z29" i="72"/>
  <c r="T29" i="72"/>
  <c r="P29" i="72"/>
  <c r="X29" i="72" s="1"/>
  <c r="L29" i="72"/>
  <c r="N29" i="72" s="1"/>
  <c r="H29" i="72"/>
  <c r="D29" i="72"/>
  <c r="Z25" i="72"/>
  <c r="X25" i="72"/>
  <c r="L25" i="72"/>
  <c r="N25" i="72" s="1"/>
  <c r="B25" i="72"/>
  <c r="X24" i="72"/>
  <c r="Z24" i="72" s="1"/>
  <c r="N24" i="72"/>
  <c r="L24" i="72"/>
  <c r="B24" i="72"/>
  <c r="X23" i="72"/>
  <c r="Z23" i="72" s="1"/>
  <c r="T23" i="72"/>
  <c r="R23" i="72"/>
  <c r="P23" i="72"/>
  <c r="H23" i="72"/>
  <c r="D23" i="72"/>
  <c r="L23" i="72" s="1"/>
  <c r="N23" i="72" s="1"/>
  <c r="X21" i="72"/>
  <c r="Z21" i="72" s="1"/>
  <c r="T21" i="72"/>
  <c r="P21" i="72"/>
  <c r="N21" i="72"/>
  <c r="H21" i="72"/>
  <c r="D21" i="72"/>
  <c r="L21" i="72" s="1"/>
  <c r="B21" i="72"/>
  <c r="T20" i="72"/>
  <c r="Z20" i="72" s="1"/>
  <c r="P20" i="72"/>
  <c r="X20" i="72" s="1"/>
  <c r="H20" i="72"/>
  <c r="D20" i="72"/>
  <c r="L20" i="72" s="1"/>
  <c r="N20" i="72" s="1"/>
  <c r="B20" i="72"/>
  <c r="Z19" i="72"/>
  <c r="X19" i="72"/>
  <c r="T19" i="72"/>
  <c r="P19" i="72"/>
  <c r="H19" i="72"/>
  <c r="D19" i="72"/>
  <c r="L19" i="72" s="1"/>
  <c r="B19" i="72"/>
  <c r="Z18" i="72"/>
  <c r="T18" i="72"/>
  <c r="P18" i="72"/>
  <c r="X18" i="72" s="1"/>
  <c r="N18" i="72"/>
  <c r="L18" i="72"/>
  <c r="H18" i="72"/>
  <c r="D18" i="72"/>
  <c r="B18" i="72"/>
  <c r="X17" i="72"/>
  <c r="Z17" i="72" s="1"/>
  <c r="T17" i="72"/>
  <c r="P17" i="72"/>
  <c r="N17" i="72"/>
  <c r="H17" i="72"/>
  <c r="D17" i="72"/>
  <c r="L17" i="72" s="1"/>
  <c r="B17" i="72"/>
  <c r="T16" i="72"/>
  <c r="Z16" i="72" s="1"/>
  <c r="P16" i="72"/>
  <c r="X16" i="72" s="1"/>
  <c r="N16" i="72"/>
  <c r="H16" i="72"/>
  <c r="D16" i="72"/>
  <c r="L16" i="72" s="1"/>
  <c r="B16" i="72"/>
  <c r="Z15" i="72"/>
  <c r="X15" i="72"/>
  <c r="T15" i="72"/>
  <c r="P15" i="72"/>
  <c r="H15" i="72"/>
  <c r="N15" i="72" s="1"/>
  <c r="D15" i="72"/>
  <c r="L15" i="72" s="1"/>
  <c r="B15" i="72"/>
  <c r="X14" i="72"/>
  <c r="Z14" i="72" s="1"/>
  <c r="T14" i="72"/>
  <c r="P14" i="72"/>
  <c r="P12" i="72" s="1"/>
  <c r="R69" i="72" s="1"/>
  <c r="N14" i="72"/>
  <c r="L14" i="72"/>
  <c r="H14" i="72"/>
  <c r="D14" i="72"/>
  <c r="B14" i="72"/>
  <c r="X13" i="72"/>
  <c r="Z13" i="72" s="1"/>
  <c r="T13" i="72"/>
  <c r="P13" i="72"/>
  <c r="H13" i="72"/>
  <c r="H12" i="72" s="1"/>
  <c r="D13" i="72"/>
  <c r="B13" i="72"/>
  <c r="T12" i="72"/>
  <c r="V81" i="72" s="1"/>
  <c r="D6" i="72"/>
  <c r="D4" i="72"/>
  <c r="Z124" i="70"/>
  <c r="X124" i="70"/>
  <c r="L124" i="70"/>
  <c r="N124" i="70" s="1"/>
  <c r="T120" i="70"/>
  <c r="P120" i="70"/>
  <c r="H120" i="70"/>
  <c r="D120" i="70"/>
  <c r="B120" i="70"/>
  <c r="T119" i="70"/>
  <c r="P119" i="70"/>
  <c r="N119" i="70"/>
  <c r="H119" i="70"/>
  <c r="L119" i="70" s="1"/>
  <c r="D119" i="70"/>
  <c r="B119" i="70"/>
  <c r="V118" i="70"/>
  <c r="T118" i="70"/>
  <c r="P118" i="70"/>
  <c r="L118" i="70"/>
  <c r="H118" i="70"/>
  <c r="D118" i="70"/>
  <c r="B118" i="70"/>
  <c r="D117" i="70"/>
  <c r="X115" i="70"/>
  <c r="Z115" i="70" s="1"/>
  <c r="N115" i="70"/>
  <c r="L115" i="70"/>
  <c r="B115" i="70"/>
  <c r="T114" i="70"/>
  <c r="P114" i="70"/>
  <c r="L114" i="70"/>
  <c r="H114" i="70"/>
  <c r="N114" i="70" s="1"/>
  <c r="D114" i="70"/>
  <c r="B114" i="70"/>
  <c r="X113" i="70"/>
  <c r="Z113" i="70" s="1"/>
  <c r="L113" i="70"/>
  <c r="N113" i="70" s="1"/>
  <c r="B113" i="70"/>
  <c r="T112" i="70"/>
  <c r="P112" i="70"/>
  <c r="X112" i="70" s="1"/>
  <c r="Z112" i="70" s="1"/>
  <c r="H112" i="70"/>
  <c r="D112" i="70"/>
  <c r="B112" i="70"/>
  <c r="Z111" i="70"/>
  <c r="X111" i="70"/>
  <c r="L111" i="70"/>
  <c r="N111" i="70" s="1"/>
  <c r="B111" i="70"/>
  <c r="X110" i="70"/>
  <c r="Z110" i="70" s="1"/>
  <c r="L110" i="70"/>
  <c r="N110" i="70" s="1"/>
  <c r="B110" i="70"/>
  <c r="V109" i="70"/>
  <c r="T109" i="70"/>
  <c r="Z109" i="70" s="1"/>
  <c r="P109" i="70"/>
  <c r="X109" i="70" s="1"/>
  <c r="H109" i="70"/>
  <c r="N109" i="70" s="1"/>
  <c r="D109" i="70"/>
  <c r="L109" i="70" s="1"/>
  <c r="B109" i="70"/>
  <c r="X108" i="70"/>
  <c r="Z108" i="70" s="1"/>
  <c r="N108" i="70"/>
  <c r="L108" i="70"/>
  <c r="B108" i="70"/>
  <c r="X107" i="70"/>
  <c r="Z107" i="70" s="1"/>
  <c r="N107" i="70"/>
  <c r="L107" i="70"/>
  <c r="B107" i="70"/>
  <c r="X106" i="70"/>
  <c r="Z106" i="70" s="1"/>
  <c r="N106" i="70"/>
  <c r="L106" i="70"/>
  <c r="B106" i="70"/>
  <c r="Z105" i="70"/>
  <c r="X105" i="70"/>
  <c r="N105" i="70"/>
  <c r="L105" i="70"/>
  <c r="B105" i="70"/>
  <c r="X104" i="70"/>
  <c r="T104" i="70"/>
  <c r="P104" i="70"/>
  <c r="H104" i="70"/>
  <c r="D104" i="70"/>
  <c r="B104" i="70"/>
  <c r="Z103" i="70"/>
  <c r="X103" i="70"/>
  <c r="V103" i="70"/>
  <c r="N103" i="70"/>
  <c r="L103" i="70"/>
  <c r="B103" i="70"/>
  <c r="Z102" i="70"/>
  <c r="X102" i="70"/>
  <c r="L102" i="70"/>
  <c r="N102" i="70" s="1"/>
  <c r="B102" i="70"/>
  <c r="T101" i="70"/>
  <c r="P101" i="70"/>
  <c r="H101" i="70"/>
  <c r="L101" i="70" s="1"/>
  <c r="N101" i="70" s="1"/>
  <c r="D101" i="70"/>
  <c r="B101" i="70"/>
  <c r="X100" i="70"/>
  <c r="Z100" i="70" s="1"/>
  <c r="V100" i="70"/>
  <c r="N100" i="70"/>
  <c r="L100" i="70"/>
  <c r="B100" i="70"/>
  <c r="Z99" i="70"/>
  <c r="X99" i="70"/>
  <c r="L99" i="70"/>
  <c r="N99" i="70" s="1"/>
  <c r="B99" i="70"/>
  <c r="X98" i="70"/>
  <c r="Z98" i="70" s="1"/>
  <c r="L98" i="70"/>
  <c r="N98" i="70" s="1"/>
  <c r="B98" i="70"/>
  <c r="X97" i="70"/>
  <c r="V97" i="70"/>
  <c r="T97" i="70"/>
  <c r="Z97" i="70" s="1"/>
  <c r="P97" i="70"/>
  <c r="H97" i="70"/>
  <c r="N97" i="70" s="1"/>
  <c r="D97" i="70"/>
  <c r="L97" i="70" s="1"/>
  <c r="B97" i="70"/>
  <c r="X96" i="70"/>
  <c r="Z96" i="70" s="1"/>
  <c r="N96" i="70"/>
  <c r="L96" i="70"/>
  <c r="B96" i="70"/>
  <c r="Z95" i="70"/>
  <c r="X95" i="70"/>
  <c r="T95" i="70"/>
  <c r="P95" i="70"/>
  <c r="H95" i="70"/>
  <c r="D95" i="70"/>
  <c r="L95" i="70" s="1"/>
  <c r="N95" i="70" s="1"/>
  <c r="B95" i="70"/>
  <c r="Z94" i="70"/>
  <c r="X94" i="70"/>
  <c r="N94" i="70"/>
  <c r="L94" i="70"/>
  <c r="B94" i="70"/>
  <c r="T93" i="70"/>
  <c r="P93" i="70"/>
  <c r="N93" i="70"/>
  <c r="H93" i="70"/>
  <c r="L93" i="70" s="1"/>
  <c r="D93" i="70"/>
  <c r="B93" i="70"/>
  <c r="X92" i="70"/>
  <c r="Z92" i="70" s="1"/>
  <c r="V92" i="70"/>
  <c r="N92" i="70"/>
  <c r="L92" i="70"/>
  <c r="B92" i="70"/>
  <c r="Z91" i="70"/>
  <c r="X91" i="70"/>
  <c r="L91" i="70"/>
  <c r="N91" i="70" s="1"/>
  <c r="B91" i="70"/>
  <c r="X90" i="70"/>
  <c r="T90" i="70"/>
  <c r="Z90" i="70" s="1"/>
  <c r="P90" i="70"/>
  <c r="H90" i="70"/>
  <c r="D90" i="70"/>
  <c r="L90" i="70" s="1"/>
  <c r="N90" i="70" s="1"/>
  <c r="B90" i="70"/>
  <c r="Z89" i="70"/>
  <c r="X89" i="70"/>
  <c r="L89" i="70"/>
  <c r="N89" i="70" s="1"/>
  <c r="B89" i="70"/>
  <c r="X88" i="70"/>
  <c r="T88" i="70"/>
  <c r="P88" i="70"/>
  <c r="H88" i="70"/>
  <c r="D88" i="70"/>
  <c r="B88" i="70"/>
  <c r="Z87" i="70"/>
  <c r="X87" i="70"/>
  <c r="V87" i="70"/>
  <c r="N87" i="70"/>
  <c r="L87" i="70"/>
  <c r="B87" i="70"/>
  <c r="T86" i="70"/>
  <c r="Z86" i="70" s="1"/>
  <c r="P86" i="70"/>
  <c r="X86" i="70" s="1"/>
  <c r="N86" i="70"/>
  <c r="H86" i="70"/>
  <c r="D86" i="70"/>
  <c r="L86" i="70" s="1"/>
  <c r="B86" i="70"/>
  <c r="X85" i="70"/>
  <c r="Z85" i="70" s="1"/>
  <c r="V85" i="70"/>
  <c r="N85" i="70"/>
  <c r="L85" i="70"/>
  <c r="B85" i="70"/>
  <c r="X84" i="70"/>
  <c r="Z84" i="70" s="1"/>
  <c r="V84" i="70"/>
  <c r="L84" i="70"/>
  <c r="N84" i="70" s="1"/>
  <c r="B84" i="70"/>
  <c r="T83" i="70"/>
  <c r="P83" i="70"/>
  <c r="X83" i="70" s="1"/>
  <c r="H83" i="70"/>
  <c r="D83" i="70"/>
  <c r="L83" i="70" s="1"/>
  <c r="B83" i="70"/>
  <c r="X82" i="70"/>
  <c r="Z82" i="70" s="1"/>
  <c r="N82" i="70"/>
  <c r="L82" i="70"/>
  <c r="B82" i="70"/>
  <c r="Z81" i="70"/>
  <c r="T81" i="70"/>
  <c r="P81" i="70"/>
  <c r="X81" i="70" s="1"/>
  <c r="L81" i="70"/>
  <c r="N81" i="70" s="1"/>
  <c r="H81" i="70"/>
  <c r="D81" i="70"/>
  <c r="B81" i="70"/>
  <c r="Z80" i="70"/>
  <c r="X80" i="70"/>
  <c r="L80" i="70"/>
  <c r="N80" i="70" s="1"/>
  <c r="B80" i="70"/>
  <c r="Z79" i="70"/>
  <c r="X79" i="70"/>
  <c r="V79" i="70"/>
  <c r="N79" i="70"/>
  <c r="L79" i="70"/>
  <c r="B79" i="70"/>
  <c r="Z78" i="70"/>
  <c r="X78" i="70"/>
  <c r="L78" i="70"/>
  <c r="N78" i="70" s="1"/>
  <c r="B78" i="70"/>
  <c r="X77" i="70"/>
  <c r="Z77" i="70" s="1"/>
  <c r="V77" i="70"/>
  <c r="L77" i="70"/>
  <c r="N77" i="70" s="1"/>
  <c r="B77" i="70"/>
  <c r="Z76" i="70"/>
  <c r="X76" i="70"/>
  <c r="L76" i="70"/>
  <c r="N76" i="70" s="1"/>
  <c r="B76" i="70"/>
  <c r="Z75" i="70"/>
  <c r="V75" i="70"/>
  <c r="T75" i="70"/>
  <c r="X75" i="70" s="1"/>
  <c r="P75" i="70"/>
  <c r="H75" i="70"/>
  <c r="D75" i="70"/>
  <c r="B75" i="70"/>
  <c r="X74" i="70"/>
  <c r="Z74" i="70" s="1"/>
  <c r="N74" i="70"/>
  <c r="L74" i="70"/>
  <c r="B74" i="70"/>
  <c r="X73" i="70"/>
  <c r="Z73" i="70" s="1"/>
  <c r="V73" i="70"/>
  <c r="N73" i="70"/>
  <c r="L73" i="70"/>
  <c r="B73" i="70"/>
  <c r="X72" i="70"/>
  <c r="Z72" i="70" s="1"/>
  <c r="V72" i="70"/>
  <c r="L72" i="70"/>
  <c r="N72" i="70" s="1"/>
  <c r="B72" i="70"/>
  <c r="Z71" i="70"/>
  <c r="X71" i="70"/>
  <c r="N71" i="70"/>
  <c r="L71" i="70"/>
  <c r="B71" i="70"/>
  <c r="X70" i="70"/>
  <c r="Z70" i="70" s="1"/>
  <c r="L70" i="70"/>
  <c r="N70" i="70" s="1"/>
  <c r="B70" i="70"/>
  <c r="X69" i="70"/>
  <c r="Z69" i="70" s="1"/>
  <c r="V69" i="70"/>
  <c r="N69" i="70"/>
  <c r="L69" i="70"/>
  <c r="B69" i="70"/>
  <c r="X68" i="70"/>
  <c r="Z68" i="70" s="1"/>
  <c r="V68" i="70"/>
  <c r="L68" i="70"/>
  <c r="N68" i="70" s="1"/>
  <c r="B68" i="70"/>
  <c r="Z67" i="70"/>
  <c r="X67" i="70"/>
  <c r="N67" i="70"/>
  <c r="L67" i="70"/>
  <c r="B67" i="70"/>
  <c r="X66" i="70"/>
  <c r="Z66" i="70" s="1"/>
  <c r="L66" i="70"/>
  <c r="N66" i="70" s="1"/>
  <c r="B66" i="70"/>
  <c r="V65" i="70"/>
  <c r="T65" i="70"/>
  <c r="Z65" i="70" s="1"/>
  <c r="P65" i="70"/>
  <c r="X65" i="70" s="1"/>
  <c r="H65" i="70"/>
  <c r="N65" i="70" s="1"/>
  <c r="D65" i="70"/>
  <c r="L65" i="70" s="1"/>
  <c r="B65" i="70"/>
  <c r="T64" i="70"/>
  <c r="P64" i="70"/>
  <c r="H64" i="70"/>
  <c r="D64" i="70"/>
  <c r="Z60" i="70"/>
  <c r="X60" i="70"/>
  <c r="N60" i="70"/>
  <c r="L60" i="70"/>
  <c r="B60" i="70"/>
  <c r="X59" i="70"/>
  <c r="Z59" i="70" s="1"/>
  <c r="N59" i="70"/>
  <c r="L59" i="70"/>
  <c r="B59" i="70"/>
  <c r="X58" i="70"/>
  <c r="Z58" i="70" s="1"/>
  <c r="N58" i="70"/>
  <c r="L58" i="70"/>
  <c r="B58" i="70"/>
  <c r="Z57" i="70"/>
  <c r="X57" i="70"/>
  <c r="L57" i="70"/>
  <c r="N57" i="70" s="1"/>
  <c r="B57" i="70"/>
  <c r="X56" i="70"/>
  <c r="Z56" i="70" s="1"/>
  <c r="L56" i="70"/>
  <c r="N56" i="70" s="1"/>
  <c r="B56" i="70"/>
  <c r="Z55" i="70"/>
  <c r="X55" i="70"/>
  <c r="N55" i="70"/>
  <c r="L55" i="70"/>
  <c r="B55" i="70"/>
  <c r="X54" i="70"/>
  <c r="Z54" i="70" s="1"/>
  <c r="N54" i="70"/>
  <c r="L54" i="70"/>
  <c r="B54" i="70"/>
  <c r="Z53" i="70"/>
  <c r="X53" i="70"/>
  <c r="L53" i="70"/>
  <c r="N53" i="70" s="1"/>
  <c r="B53" i="70"/>
  <c r="X52" i="70"/>
  <c r="Z52" i="70" s="1"/>
  <c r="L52" i="70"/>
  <c r="N52" i="70" s="1"/>
  <c r="B52" i="70"/>
  <c r="X51" i="70"/>
  <c r="Z51" i="70" s="1"/>
  <c r="N51" i="70"/>
  <c r="L51" i="70"/>
  <c r="B51" i="70"/>
  <c r="X50" i="70"/>
  <c r="Z50" i="70" s="1"/>
  <c r="N50" i="70"/>
  <c r="L50" i="70"/>
  <c r="B50" i="70"/>
  <c r="Z49" i="70"/>
  <c r="X49" i="70"/>
  <c r="L49" i="70"/>
  <c r="N49" i="70" s="1"/>
  <c r="B49" i="70"/>
  <c r="X48" i="70"/>
  <c r="Z48" i="70" s="1"/>
  <c r="L48" i="70"/>
  <c r="N48" i="70" s="1"/>
  <c r="B48" i="70"/>
  <c r="X47" i="70"/>
  <c r="Z47" i="70" s="1"/>
  <c r="N47" i="70"/>
  <c r="L47" i="70"/>
  <c r="B47" i="70"/>
  <c r="X46" i="70"/>
  <c r="Z46" i="70" s="1"/>
  <c r="N46" i="70"/>
  <c r="L46" i="70"/>
  <c r="B46" i="70"/>
  <c r="Z45" i="70"/>
  <c r="X45" i="70"/>
  <c r="L45" i="70"/>
  <c r="N45" i="70" s="1"/>
  <c r="B45" i="70"/>
  <c r="T44" i="70"/>
  <c r="T62" i="70" s="1"/>
  <c r="P44" i="70"/>
  <c r="H44" i="70"/>
  <c r="D44" i="70"/>
  <c r="T42" i="70"/>
  <c r="P42" i="70"/>
  <c r="X42" i="70" s="1"/>
  <c r="Z42" i="70" s="1"/>
  <c r="N42" i="70"/>
  <c r="L42" i="70"/>
  <c r="H42" i="70"/>
  <c r="D42" i="70"/>
  <c r="B42" i="70"/>
  <c r="Z41" i="70"/>
  <c r="X41" i="70"/>
  <c r="T41" i="70"/>
  <c r="P41" i="70"/>
  <c r="H41" i="70"/>
  <c r="N41" i="70" s="1"/>
  <c r="D41" i="70"/>
  <c r="B41" i="70"/>
  <c r="T40" i="70"/>
  <c r="Z40" i="70" s="1"/>
  <c r="P40" i="70"/>
  <c r="X40" i="70" s="1"/>
  <c r="N40" i="70"/>
  <c r="H40" i="70"/>
  <c r="D40" i="70"/>
  <c r="L40" i="70" s="1"/>
  <c r="B40" i="70"/>
  <c r="Z39" i="70"/>
  <c r="T39" i="70"/>
  <c r="X39" i="70" s="1"/>
  <c r="P39" i="70"/>
  <c r="H39" i="70"/>
  <c r="D39" i="70"/>
  <c r="B39" i="70"/>
  <c r="X38" i="70"/>
  <c r="Z38" i="70" s="1"/>
  <c r="T38" i="70"/>
  <c r="P38" i="70"/>
  <c r="N38" i="70"/>
  <c r="L38" i="70"/>
  <c r="H38" i="70"/>
  <c r="D38" i="70"/>
  <c r="B38" i="70"/>
  <c r="X37" i="70"/>
  <c r="Z37" i="70" s="1"/>
  <c r="T37" i="70"/>
  <c r="P37" i="70"/>
  <c r="N37" i="70"/>
  <c r="H37" i="70"/>
  <c r="D37" i="70"/>
  <c r="L37" i="70" s="1"/>
  <c r="B37" i="70"/>
  <c r="T36" i="70"/>
  <c r="P36" i="70"/>
  <c r="X36" i="70" s="1"/>
  <c r="N36" i="70"/>
  <c r="H36" i="70"/>
  <c r="D36" i="70"/>
  <c r="L36" i="70" s="1"/>
  <c r="B36" i="70"/>
  <c r="T35" i="70"/>
  <c r="X35" i="70" s="1"/>
  <c r="Z35" i="70" s="1"/>
  <c r="P35" i="70"/>
  <c r="H35" i="70"/>
  <c r="N35" i="70" s="1"/>
  <c r="D35" i="70"/>
  <c r="L35" i="70" s="1"/>
  <c r="B35" i="70"/>
  <c r="T34" i="70"/>
  <c r="P34" i="70"/>
  <c r="X34" i="70" s="1"/>
  <c r="Z34" i="70" s="1"/>
  <c r="N34" i="70"/>
  <c r="L34" i="70"/>
  <c r="H34" i="70"/>
  <c r="D34" i="70"/>
  <c r="B34" i="70"/>
  <c r="Z33" i="70"/>
  <c r="X33" i="70"/>
  <c r="T33" i="70"/>
  <c r="P33" i="70"/>
  <c r="H33" i="70"/>
  <c r="N33" i="70" s="1"/>
  <c r="D33" i="70"/>
  <c r="L33" i="70" s="1"/>
  <c r="B33" i="70"/>
  <c r="T32" i="70"/>
  <c r="P32" i="70"/>
  <c r="X32" i="70" s="1"/>
  <c r="H32" i="70"/>
  <c r="D32" i="70"/>
  <c r="L32" i="70" s="1"/>
  <c r="N32" i="70" s="1"/>
  <c r="B32" i="70"/>
  <c r="T31" i="70"/>
  <c r="X31" i="70" s="1"/>
  <c r="Z31" i="70" s="1"/>
  <c r="P31" i="70"/>
  <c r="H31" i="70"/>
  <c r="N31" i="70" s="1"/>
  <c r="D31" i="70"/>
  <c r="L31" i="70" s="1"/>
  <c r="B31" i="70"/>
  <c r="T30" i="70"/>
  <c r="P30" i="70"/>
  <c r="X30" i="70" s="1"/>
  <c r="Z30" i="70" s="1"/>
  <c r="L30" i="70"/>
  <c r="N30" i="70" s="1"/>
  <c r="H30" i="70"/>
  <c r="D30" i="70"/>
  <c r="B30" i="70"/>
  <c r="Z29" i="70"/>
  <c r="X29" i="70"/>
  <c r="T29" i="70"/>
  <c r="P29" i="70"/>
  <c r="N29" i="70"/>
  <c r="H29" i="70"/>
  <c r="D29" i="70"/>
  <c r="L29" i="70" s="1"/>
  <c r="B29" i="70"/>
  <c r="T28" i="70"/>
  <c r="Z28" i="70" s="1"/>
  <c r="P28" i="70"/>
  <c r="X28" i="70" s="1"/>
  <c r="N28" i="70"/>
  <c r="H28" i="70"/>
  <c r="D28" i="70"/>
  <c r="L28" i="70" s="1"/>
  <c r="B28" i="70"/>
  <c r="Z27" i="70"/>
  <c r="T27" i="70"/>
  <c r="X27" i="70" s="1"/>
  <c r="P27" i="70"/>
  <c r="H27" i="70"/>
  <c r="N27" i="70" s="1"/>
  <c r="D27" i="70"/>
  <c r="L27" i="70" s="1"/>
  <c r="B27" i="70"/>
  <c r="X26" i="70"/>
  <c r="Z26" i="70" s="1"/>
  <c r="T26" i="70"/>
  <c r="P26" i="70"/>
  <c r="N26" i="70"/>
  <c r="L26" i="70"/>
  <c r="H26" i="70"/>
  <c r="D26" i="70"/>
  <c r="B26" i="70"/>
  <c r="Z25" i="70"/>
  <c r="X25" i="70"/>
  <c r="T25" i="70"/>
  <c r="P25" i="70"/>
  <c r="H25" i="70"/>
  <c r="D25" i="70"/>
  <c r="B25" i="70"/>
  <c r="T24" i="70"/>
  <c r="Z24" i="70" s="1"/>
  <c r="P24" i="70"/>
  <c r="X24" i="70" s="1"/>
  <c r="H24" i="70"/>
  <c r="D24" i="70"/>
  <c r="L24" i="70" s="1"/>
  <c r="N24" i="70" s="1"/>
  <c r="B24" i="70"/>
  <c r="Z23" i="70"/>
  <c r="T23" i="70"/>
  <c r="X23" i="70" s="1"/>
  <c r="P23" i="70"/>
  <c r="H23" i="70"/>
  <c r="D23" i="70"/>
  <c r="B23" i="70"/>
  <c r="X22" i="70"/>
  <c r="Z22" i="70" s="1"/>
  <c r="T22" i="70"/>
  <c r="P22" i="70"/>
  <c r="L22" i="70"/>
  <c r="N22" i="70" s="1"/>
  <c r="H22" i="70"/>
  <c r="D22" i="70"/>
  <c r="B22" i="70"/>
  <c r="X21" i="70"/>
  <c r="Z21" i="70" s="1"/>
  <c r="T21" i="70"/>
  <c r="P21" i="70"/>
  <c r="H21" i="70"/>
  <c r="D21" i="70"/>
  <c r="B21" i="70"/>
  <c r="T20" i="70"/>
  <c r="Z20" i="70" s="1"/>
  <c r="P20" i="70"/>
  <c r="X20" i="70" s="1"/>
  <c r="H20" i="70"/>
  <c r="D20" i="70"/>
  <c r="L20" i="70" s="1"/>
  <c r="N20" i="70" s="1"/>
  <c r="B20" i="70"/>
  <c r="Z19" i="70"/>
  <c r="T19" i="70"/>
  <c r="X19" i="70" s="1"/>
  <c r="P19" i="70"/>
  <c r="H19" i="70"/>
  <c r="D19" i="70"/>
  <c r="B19" i="70"/>
  <c r="X18" i="70"/>
  <c r="Z18" i="70" s="1"/>
  <c r="T18" i="70"/>
  <c r="P18" i="70"/>
  <c r="L18" i="70"/>
  <c r="N18" i="70" s="1"/>
  <c r="H18" i="70"/>
  <c r="D18" i="70"/>
  <c r="B18" i="70"/>
  <c r="X17" i="70"/>
  <c r="Z17" i="70" s="1"/>
  <c r="T17" i="70"/>
  <c r="P17" i="70"/>
  <c r="H17" i="70"/>
  <c r="N17" i="70" s="1"/>
  <c r="D17" i="70"/>
  <c r="B17" i="70"/>
  <c r="T16" i="70"/>
  <c r="Z16" i="70" s="1"/>
  <c r="P16" i="70"/>
  <c r="X16" i="70" s="1"/>
  <c r="N16" i="70"/>
  <c r="H16" i="70"/>
  <c r="D16" i="70"/>
  <c r="L16" i="70" s="1"/>
  <c r="B16" i="70"/>
  <c r="Z15" i="70"/>
  <c r="T15" i="70"/>
  <c r="X15" i="70" s="1"/>
  <c r="P15" i="70"/>
  <c r="H15" i="70"/>
  <c r="D15" i="70"/>
  <c r="B15" i="70"/>
  <c r="T14" i="70"/>
  <c r="P14" i="70"/>
  <c r="L14" i="70"/>
  <c r="N14" i="70" s="1"/>
  <c r="H14" i="70"/>
  <c r="D14" i="70"/>
  <c r="B14" i="70"/>
  <c r="X13" i="70"/>
  <c r="Z13" i="70" s="1"/>
  <c r="T13" i="70"/>
  <c r="P13" i="70"/>
  <c r="H13" i="70"/>
  <c r="D13" i="70"/>
  <c r="B13" i="70"/>
  <c r="T12" i="70"/>
  <c r="V110" i="70" s="1"/>
  <c r="D6" i="70"/>
  <c r="D4" i="70"/>
  <c r="X76" i="69"/>
  <c r="Z76" i="69" s="1"/>
  <c r="L76" i="69"/>
  <c r="N76" i="69" s="1"/>
  <c r="X72" i="69"/>
  <c r="T72" i="69"/>
  <c r="Z72" i="69" s="1"/>
  <c r="P72" i="69"/>
  <c r="H72" i="69"/>
  <c r="N72" i="69" s="1"/>
  <c r="D72" i="69"/>
  <c r="X70" i="69"/>
  <c r="Z70" i="69" s="1"/>
  <c r="N70" i="69"/>
  <c r="L70" i="69"/>
  <c r="B70" i="69"/>
  <c r="X69" i="69"/>
  <c r="Z69" i="69" s="1"/>
  <c r="T69" i="69"/>
  <c r="R69" i="69"/>
  <c r="P69" i="69"/>
  <c r="N69" i="69"/>
  <c r="H69" i="69"/>
  <c r="D69" i="69"/>
  <c r="L69" i="69" s="1"/>
  <c r="B69" i="69"/>
  <c r="Z68" i="69"/>
  <c r="X68" i="69"/>
  <c r="N68" i="69"/>
  <c r="L68" i="69"/>
  <c r="B68" i="69"/>
  <c r="X67" i="69"/>
  <c r="Z67" i="69" s="1"/>
  <c r="V67" i="69"/>
  <c r="N67" i="69"/>
  <c r="L67" i="69"/>
  <c r="B67" i="69"/>
  <c r="X66" i="69"/>
  <c r="Z66" i="69" s="1"/>
  <c r="N66" i="69"/>
  <c r="L66" i="69"/>
  <c r="B66" i="69"/>
  <c r="Z65" i="69"/>
  <c r="X65" i="69"/>
  <c r="N65" i="69"/>
  <c r="L65" i="69"/>
  <c r="B65" i="69"/>
  <c r="Z64" i="69"/>
  <c r="X64" i="69"/>
  <c r="N64" i="69"/>
  <c r="L64" i="69"/>
  <c r="B64" i="69"/>
  <c r="X63" i="69"/>
  <c r="Z63" i="69" s="1"/>
  <c r="V63" i="69"/>
  <c r="N63" i="69"/>
  <c r="L63" i="69"/>
  <c r="B63" i="69"/>
  <c r="X62" i="69"/>
  <c r="Z62" i="69" s="1"/>
  <c r="N62" i="69"/>
  <c r="L62" i="69"/>
  <c r="B62" i="69"/>
  <c r="Z61" i="69"/>
  <c r="T61" i="69"/>
  <c r="X61" i="69" s="1"/>
  <c r="P61" i="69"/>
  <c r="H61" i="69"/>
  <c r="D61" i="69"/>
  <c r="B61" i="69"/>
  <c r="X60" i="69"/>
  <c r="Z60" i="69" s="1"/>
  <c r="N60" i="69"/>
  <c r="L60" i="69"/>
  <c r="B60" i="69"/>
  <c r="T59" i="69"/>
  <c r="Z59" i="69" s="1"/>
  <c r="P59" i="69"/>
  <c r="X59" i="69" s="1"/>
  <c r="H59" i="69"/>
  <c r="N59" i="69" s="1"/>
  <c r="D59" i="69"/>
  <c r="L59" i="69" s="1"/>
  <c r="B59" i="69"/>
  <c r="Z58" i="69"/>
  <c r="X58" i="69"/>
  <c r="R58" i="69"/>
  <c r="N58" i="69"/>
  <c r="L58" i="69"/>
  <c r="B58" i="69"/>
  <c r="Z57" i="69"/>
  <c r="X57" i="69"/>
  <c r="N57" i="69"/>
  <c r="L57" i="69"/>
  <c r="B57" i="69"/>
  <c r="X56" i="69"/>
  <c r="Z56" i="69" s="1"/>
  <c r="N56" i="69"/>
  <c r="L56" i="69"/>
  <c r="B56" i="69"/>
  <c r="T55" i="69"/>
  <c r="P55" i="69"/>
  <c r="X55" i="69" s="1"/>
  <c r="Z55" i="69" s="1"/>
  <c r="N55" i="69"/>
  <c r="L55" i="69"/>
  <c r="H55" i="69"/>
  <c r="D55" i="69"/>
  <c r="B55" i="69"/>
  <c r="X54" i="69"/>
  <c r="Z54" i="69" s="1"/>
  <c r="N54" i="69"/>
  <c r="L54" i="69"/>
  <c r="B54" i="69"/>
  <c r="Z53" i="69"/>
  <c r="X53" i="69"/>
  <c r="N53" i="69"/>
  <c r="L53" i="69"/>
  <c r="B53" i="69"/>
  <c r="T52" i="69"/>
  <c r="P52" i="69"/>
  <c r="N52" i="69"/>
  <c r="L52" i="69"/>
  <c r="H52" i="69"/>
  <c r="D52" i="69"/>
  <c r="B52" i="69"/>
  <c r="X51" i="69"/>
  <c r="Z51" i="69" s="1"/>
  <c r="N51" i="69"/>
  <c r="L51" i="69"/>
  <c r="B51" i="69"/>
  <c r="X50" i="69"/>
  <c r="Z50" i="69" s="1"/>
  <c r="T50" i="69"/>
  <c r="P50" i="69"/>
  <c r="H50" i="69"/>
  <c r="D50" i="69"/>
  <c r="B50" i="69"/>
  <c r="Z49" i="69"/>
  <c r="X49" i="69"/>
  <c r="N49" i="69"/>
  <c r="L49" i="69"/>
  <c r="B49" i="69"/>
  <c r="T48" i="69"/>
  <c r="Z48" i="69" s="1"/>
  <c r="P48" i="69"/>
  <c r="X48" i="69" s="1"/>
  <c r="L48" i="69"/>
  <c r="H48" i="69"/>
  <c r="N48" i="69" s="1"/>
  <c r="D48" i="69"/>
  <c r="B48" i="69"/>
  <c r="Z47" i="69"/>
  <c r="X47" i="69"/>
  <c r="N47" i="69"/>
  <c r="L47" i="69"/>
  <c r="B47" i="69"/>
  <c r="Z46" i="69"/>
  <c r="X46" i="69"/>
  <c r="T46" i="69"/>
  <c r="P46" i="69"/>
  <c r="H46" i="69"/>
  <c r="N46" i="69" s="1"/>
  <c r="D46" i="69"/>
  <c r="L46" i="69" s="1"/>
  <c r="B46" i="69"/>
  <c r="Z45" i="69"/>
  <c r="X45" i="69"/>
  <c r="N45" i="69"/>
  <c r="L45" i="69"/>
  <c r="B45" i="69"/>
  <c r="X44" i="69"/>
  <c r="T44" i="69"/>
  <c r="P44" i="69"/>
  <c r="N44" i="69"/>
  <c r="L44" i="69"/>
  <c r="H44" i="69"/>
  <c r="D44" i="69"/>
  <c r="B44" i="69"/>
  <c r="Z43" i="69"/>
  <c r="X43" i="69"/>
  <c r="N43" i="69"/>
  <c r="L43" i="69"/>
  <c r="B43" i="69"/>
  <c r="T42" i="69"/>
  <c r="P42" i="69"/>
  <c r="X42" i="69" s="1"/>
  <c r="H42" i="69"/>
  <c r="N42" i="69" s="1"/>
  <c r="D42" i="69"/>
  <c r="B42" i="69"/>
  <c r="Z41" i="69"/>
  <c r="X41" i="69"/>
  <c r="N41" i="69"/>
  <c r="L41" i="69"/>
  <c r="B41" i="69"/>
  <c r="T40" i="69"/>
  <c r="P40" i="69"/>
  <c r="N40" i="69"/>
  <c r="H40" i="69"/>
  <c r="D40" i="69"/>
  <c r="L40" i="69" s="1"/>
  <c r="B40" i="69"/>
  <c r="X39" i="69"/>
  <c r="Z39" i="69" s="1"/>
  <c r="N39" i="69"/>
  <c r="L39" i="69"/>
  <c r="B39" i="69"/>
  <c r="T38" i="69"/>
  <c r="P38" i="69"/>
  <c r="X38" i="69" s="1"/>
  <c r="Z38" i="69" s="1"/>
  <c r="L38" i="69"/>
  <c r="H38" i="69"/>
  <c r="N38" i="69" s="1"/>
  <c r="D38" i="69"/>
  <c r="B38" i="69"/>
  <c r="X37" i="69"/>
  <c r="Z37" i="69" s="1"/>
  <c r="N37" i="69"/>
  <c r="L37" i="69"/>
  <c r="B37" i="69"/>
  <c r="X36" i="69"/>
  <c r="Z36" i="69" s="1"/>
  <c r="N36" i="69"/>
  <c r="L36" i="69"/>
  <c r="B36" i="69"/>
  <c r="Z35" i="69"/>
  <c r="X35" i="69"/>
  <c r="N35" i="69"/>
  <c r="L35" i="69"/>
  <c r="B35" i="69"/>
  <c r="Z34" i="69"/>
  <c r="X34" i="69"/>
  <c r="N34" i="69"/>
  <c r="L34" i="69"/>
  <c r="B34" i="69"/>
  <c r="X33" i="69"/>
  <c r="Z33" i="69" s="1"/>
  <c r="N33" i="69"/>
  <c r="L33" i="69"/>
  <c r="B33" i="69"/>
  <c r="T32" i="69"/>
  <c r="P32" i="69"/>
  <c r="X32" i="69" s="1"/>
  <c r="H32" i="69"/>
  <c r="N32" i="69" s="1"/>
  <c r="D32" i="69"/>
  <c r="L32" i="69" s="1"/>
  <c r="B32" i="69"/>
  <c r="X31" i="69"/>
  <c r="Z31" i="69" s="1"/>
  <c r="N31" i="69"/>
  <c r="L31" i="69"/>
  <c r="B31" i="69"/>
  <c r="Z30" i="69"/>
  <c r="X30" i="69"/>
  <c r="N30" i="69"/>
  <c r="L30" i="69"/>
  <c r="B30" i="69"/>
  <c r="X29" i="69"/>
  <c r="Z29" i="69" s="1"/>
  <c r="N29" i="69"/>
  <c r="L29" i="69"/>
  <c r="B29" i="69"/>
  <c r="Z28" i="69"/>
  <c r="X28" i="69"/>
  <c r="V28" i="69"/>
  <c r="N28" i="69"/>
  <c r="L28" i="69"/>
  <c r="B28" i="69"/>
  <c r="X27" i="69"/>
  <c r="Z27" i="69" s="1"/>
  <c r="N27" i="69"/>
  <c r="L27" i="69"/>
  <c r="B27" i="69"/>
  <c r="X26" i="69"/>
  <c r="Z26" i="69" s="1"/>
  <c r="N26" i="69"/>
  <c r="L26" i="69"/>
  <c r="B26" i="69"/>
  <c r="X25" i="69"/>
  <c r="Z25" i="69" s="1"/>
  <c r="N25" i="69"/>
  <c r="L25" i="69"/>
  <c r="B25" i="69"/>
  <c r="Z24" i="69"/>
  <c r="X24" i="69"/>
  <c r="N24" i="69"/>
  <c r="L24" i="69"/>
  <c r="F24" i="69"/>
  <c r="B24" i="69"/>
  <c r="T23" i="69"/>
  <c r="P23" i="69"/>
  <c r="N23" i="69"/>
  <c r="L23" i="69"/>
  <c r="H23" i="69"/>
  <c r="D23" i="69"/>
  <c r="B23" i="69"/>
  <c r="Z22" i="69"/>
  <c r="T22" i="69"/>
  <c r="P22" i="69"/>
  <c r="X22" i="69" s="1"/>
  <c r="N22" i="69"/>
  <c r="L22" i="69"/>
  <c r="H22" i="69"/>
  <c r="D22" i="69"/>
  <c r="X18" i="69"/>
  <c r="Z18" i="69" s="1"/>
  <c r="V18" i="69"/>
  <c r="L18" i="69"/>
  <c r="N18" i="69" s="1"/>
  <c r="B18" i="69"/>
  <c r="Z17" i="69"/>
  <c r="X17" i="69"/>
  <c r="N17" i="69"/>
  <c r="L17" i="69"/>
  <c r="B17" i="69"/>
  <c r="T16" i="69"/>
  <c r="P16" i="69"/>
  <c r="H16" i="69"/>
  <c r="D16" i="69"/>
  <c r="L16" i="69" s="1"/>
  <c r="T14" i="69"/>
  <c r="P14" i="69"/>
  <c r="X14" i="69" s="1"/>
  <c r="Z14" i="69" s="1"/>
  <c r="L14" i="69"/>
  <c r="H14" i="69"/>
  <c r="D14" i="69"/>
  <c r="D12" i="69" s="1"/>
  <c r="B14" i="69"/>
  <c r="Z13" i="69"/>
  <c r="X13" i="69"/>
  <c r="T13" i="69"/>
  <c r="T12" i="69" s="1"/>
  <c r="V31" i="69" s="1"/>
  <c r="P13" i="69"/>
  <c r="H13" i="69"/>
  <c r="H12" i="69" s="1"/>
  <c r="J42" i="69" s="1"/>
  <c r="D13" i="69"/>
  <c r="B13" i="69"/>
  <c r="P12" i="69"/>
  <c r="D6" i="69"/>
  <c r="D4" i="69"/>
  <c r="J62" i="68"/>
  <c r="Z60" i="68"/>
  <c r="X60" i="68"/>
  <c r="R60" i="68"/>
  <c r="N60" i="68"/>
  <c r="L60" i="68"/>
  <c r="F60" i="68"/>
  <c r="J58" i="68"/>
  <c r="Z56" i="68"/>
  <c r="X56" i="68"/>
  <c r="T56" i="68"/>
  <c r="P56" i="68"/>
  <c r="J56" i="68"/>
  <c r="H56" i="68"/>
  <c r="N56" i="68" s="1"/>
  <c r="D56" i="68"/>
  <c r="L56" i="68" s="1"/>
  <c r="X54" i="68"/>
  <c r="Z54" i="68" s="1"/>
  <c r="N54" i="68"/>
  <c r="L54" i="68"/>
  <c r="B54" i="68"/>
  <c r="T53" i="68"/>
  <c r="R53" i="68"/>
  <c r="P53" i="68"/>
  <c r="X53" i="68" s="1"/>
  <c r="Z53" i="68" s="1"/>
  <c r="N53" i="68"/>
  <c r="J53" i="68"/>
  <c r="H53" i="68"/>
  <c r="D53" i="68"/>
  <c r="L53" i="68" s="1"/>
  <c r="B53" i="68"/>
  <c r="X52" i="68"/>
  <c r="Z52" i="68" s="1"/>
  <c r="R52" i="68"/>
  <c r="N52" i="68"/>
  <c r="L52" i="68"/>
  <c r="B52" i="68"/>
  <c r="X51" i="68"/>
  <c r="Z51" i="68" s="1"/>
  <c r="N51" i="68"/>
  <c r="L51" i="68"/>
  <c r="J51" i="68"/>
  <c r="F51" i="68"/>
  <c r="B51" i="68"/>
  <c r="T50" i="68"/>
  <c r="R50" i="68"/>
  <c r="P50" i="68"/>
  <c r="X50" i="68" s="1"/>
  <c r="H50" i="68"/>
  <c r="F50" i="68"/>
  <c r="D50" i="68"/>
  <c r="B50" i="68"/>
  <c r="Z49" i="68"/>
  <c r="X49" i="68"/>
  <c r="R49" i="68"/>
  <c r="N49" i="68"/>
  <c r="L49" i="68"/>
  <c r="J49" i="68"/>
  <c r="B49" i="68"/>
  <c r="Z48" i="68"/>
  <c r="X48" i="68"/>
  <c r="N48" i="68"/>
  <c r="L48" i="68"/>
  <c r="J48" i="68"/>
  <c r="F48" i="68"/>
  <c r="B48" i="68"/>
  <c r="V47" i="68"/>
  <c r="T47" i="68"/>
  <c r="P47" i="68"/>
  <c r="X47" i="68" s="1"/>
  <c r="J47" i="68"/>
  <c r="H47" i="68"/>
  <c r="N47" i="68" s="1"/>
  <c r="F47" i="68"/>
  <c r="D47" i="68"/>
  <c r="B47" i="68"/>
  <c r="X46" i="68"/>
  <c r="Z46" i="68" s="1"/>
  <c r="N46" i="68"/>
  <c r="L46" i="68"/>
  <c r="B46" i="68"/>
  <c r="T45" i="68"/>
  <c r="R45" i="68"/>
  <c r="P45" i="68"/>
  <c r="X45" i="68" s="1"/>
  <c r="Z45" i="68" s="1"/>
  <c r="N45" i="68"/>
  <c r="J45" i="68"/>
  <c r="H45" i="68"/>
  <c r="D45" i="68"/>
  <c r="L45" i="68" s="1"/>
  <c r="B45" i="68"/>
  <c r="X44" i="68"/>
  <c r="Z44" i="68" s="1"/>
  <c r="R44" i="68"/>
  <c r="N44" i="68"/>
  <c r="L44" i="68"/>
  <c r="B44" i="68"/>
  <c r="X43" i="68"/>
  <c r="Z43" i="68" s="1"/>
  <c r="T43" i="68"/>
  <c r="R43" i="68"/>
  <c r="P43" i="68"/>
  <c r="N43" i="68"/>
  <c r="L43" i="68"/>
  <c r="H43" i="68"/>
  <c r="D43" i="68"/>
  <c r="B43" i="68"/>
  <c r="X42" i="68"/>
  <c r="Z42" i="68" s="1"/>
  <c r="R42" i="68"/>
  <c r="N42" i="68"/>
  <c r="L42" i="68"/>
  <c r="J42" i="68"/>
  <c r="B42" i="68"/>
  <c r="T41" i="68"/>
  <c r="R41" i="68"/>
  <c r="P41" i="68"/>
  <c r="J41" i="68"/>
  <c r="H41" i="68"/>
  <c r="N41" i="68" s="1"/>
  <c r="D41" i="68"/>
  <c r="B41" i="68"/>
  <c r="X40" i="68"/>
  <c r="Z40" i="68" s="1"/>
  <c r="R40" i="68"/>
  <c r="N40" i="68"/>
  <c r="L40" i="68"/>
  <c r="F40" i="68"/>
  <c r="B40" i="68"/>
  <c r="T39" i="68"/>
  <c r="P39" i="68"/>
  <c r="X39" i="68" s="1"/>
  <c r="N39" i="68"/>
  <c r="J39" i="68"/>
  <c r="H39" i="68"/>
  <c r="F39" i="68"/>
  <c r="D39" i="68"/>
  <c r="L39" i="68" s="1"/>
  <c r="B39" i="68"/>
  <c r="X38" i="68"/>
  <c r="Z38" i="68" s="1"/>
  <c r="N38" i="68"/>
  <c r="L38" i="68"/>
  <c r="B38" i="68"/>
  <c r="X37" i="68"/>
  <c r="Z37" i="68" s="1"/>
  <c r="T37" i="68"/>
  <c r="R37" i="68"/>
  <c r="P37" i="68"/>
  <c r="N37" i="68"/>
  <c r="L37" i="68"/>
  <c r="J37" i="68"/>
  <c r="H37" i="68"/>
  <c r="D37" i="68"/>
  <c r="B37" i="68"/>
  <c r="Z36" i="68"/>
  <c r="X36" i="68"/>
  <c r="R36" i="68"/>
  <c r="N36" i="68"/>
  <c r="L36" i="68"/>
  <c r="J36" i="68"/>
  <c r="F36" i="68"/>
  <c r="B36" i="68"/>
  <c r="Z35" i="68"/>
  <c r="X35" i="68"/>
  <c r="R35" i="68"/>
  <c r="N35" i="68"/>
  <c r="L35" i="68"/>
  <c r="J35" i="68"/>
  <c r="B35" i="68"/>
  <c r="T34" i="68"/>
  <c r="P34" i="68"/>
  <c r="X34" i="68" s="1"/>
  <c r="Z34" i="68" s="1"/>
  <c r="N34" i="68"/>
  <c r="H34" i="68"/>
  <c r="D34" i="68"/>
  <c r="L34" i="68" s="1"/>
  <c r="B34" i="68"/>
  <c r="Z33" i="68"/>
  <c r="X33" i="68"/>
  <c r="N33" i="68"/>
  <c r="L33" i="68"/>
  <c r="B33" i="68"/>
  <c r="T32" i="68"/>
  <c r="P32" i="68"/>
  <c r="X32" i="68" s="1"/>
  <c r="L32" i="68"/>
  <c r="J32" i="68"/>
  <c r="H32" i="68"/>
  <c r="N32" i="68" s="1"/>
  <c r="D32" i="68"/>
  <c r="B32" i="68"/>
  <c r="X31" i="68"/>
  <c r="Z31" i="68" s="1"/>
  <c r="N31" i="68"/>
  <c r="L31" i="68"/>
  <c r="J31" i="68"/>
  <c r="F31" i="68"/>
  <c r="B31" i="68"/>
  <c r="X30" i="68"/>
  <c r="Z30" i="68" s="1"/>
  <c r="R30" i="68"/>
  <c r="N30" i="68"/>
  <c r="L30" i="68"/>
  <c r="B30" i="68"/>
  <c r="Z29" i="68"/>
  <c r="X29" i="68"/>
  <c r="N29" i="68"/>
  <c r="L29" i="68"/>
  <c r="J29" i="68"/>
  <c r="F29" i="68"/>
  <c r="B29" i="68"/>
  <c r="T28" i="68"/>
  <c r="R28" i="68"/>
  <c r="P28" i="68"/>
  <c r="H28" i="68"/>
  <c r="N28" i="68" s="1"/>
  <c r="F28" i="68"/>
  <c r="D28" i="68"/>
  <c r="L28" i="68" s="1"/>
  <c r="B28" i="68"/>
  <c r="Z27" i="68"/>
  <c r="X27" i="68"/>
  <c r="R27" i="68"/>
  <c r="N27" i="68"/>
  <c r="L27" i="68"/>
  <c r="J27" i="68"/>
  <c r="B27" i="68"/>
  <c r="Z26" i="68"/>
  <c r="X26" i="68"/>
  <c r="R26" i="68"/>
  <c r="N26" i="68"/>
  <c r="L26" i="68"/>
  <c r="J26" i="68"/>
  <c r="B26" i="68"/>
  <c r="Z25" i="68"/>
  <c r="X25" i="68"/>
  <c r="R25" i="68"/>
  <c r="N25" i="68"/>
  <c r="L25" i="68"/>
  <c r="J25" i="68"/>
  <c r="B25" i="68"/>
  <c r="Z24" i="68"/>
  <c r="X24" i="68"/>
  <c r="R24" i="68"/>
  <c r="N24" i="68"/>
  <c r="L24" i="68"/>
  <c r="J24" i="68"/>
  <c r="F24" i="68"/>
  <c r="B24" i="68"/>
  <c r="Z23" i="68"/>
  <c r="X23" i="68"/>
  <c r="V23" i="68"/>
  <c r="R23" i="68"/>
  <c r="N23" i="68"/>
  <c r="L23" i="68"/>
  <c r="J23" i="68"/>
  <c r="B23" i="68"/>
  <c r="Z22" i="68"/>
  <c r="X22" i="68"/>
  <c r="R22" i="68"/>
  <c r="N22" i="68"/>
  <c r="L22" i="68"/>
  <c r="J22" i="68"/>
  <c r="B22" i="68"/>
  <c r="Z21" i="68"/>
  <c r="X21" i="68"/>
  <c r="R21" i="68"/>
  <c r="N21" i="68"/>
  <c r="L21" i="68"/>
  <c r="J21" i="68"/>
  <c r="B21" i="68"/>
  <c r="Z20" i="68"/>
  <c r="X20" i="68"/>
  <c r="R20" i="68"/>
  <c r="N20" i="68"/>
  <c r="L20" i="68"/>
  <c r="J20" i="68"/>
  <c r="F20" i="68"/>
  <c r="B20" i="68"/>
  <c r="V19" i="68"/>
  <c r="T19" i="68"/>
  <c r="P19" i="68"/>
  <c r="J19" i="68"/>
  <c r="H19" i="68"/>
  <c r="N19" i="68" s="1"/>
  <c r="F19" i="68"/>
  <c r="D19" i="68"/>
  <c r="B19" i="68"/>
  <c r="X18" i="68"/>
  <c r="V18" i="68"/>
  <c r="T18" i="68"/>
  <c r="Z18" i="68" s="1"/>
  <c r="P18" i="68"/>
  <c r="J18" i="68"/>
  <c r="H18" i="68"/>
  <c r="N18" i="68" s="1"/>
  <c r="D18" i="68"/>
  <c r="L18" i="68" s="1"/>
  <c r="J16" i="68"/>
  <c r="X14" i="68"/>
  <c r="T14" i="68"/>
  <c r="Z14" i="68" s="1"/>
  <c r="P14" i="68"/>
  <c r="P16" i="68" s="1"/>
  <c r="P58" i="68" s="1"/>
  <c r="J14" i="68"/>
  <c r="H14" i="68"/>
  <c r="N14" i="68" s="1"/>
  <c r="D14" i="68"/>
  <c r="L14" i="68" s="1"/>
  <c r="X12" i="68"/>
  <c r="T12" i="68"/>
  <c r="P12" i="68"/>
  <c r="R29" i="68" s="1"/>
  <c r="N12" i="68"/>
  <c r="L12" i="68"/>
  <c r="H12" i="68"/>
  <c r="J65" i="68" s="1"/>
  <c r="D12" i="68"/>
  <c r="F42" i="68" s="1"/>
  <c r="D6" i="68"/>
  <c r="D4" i="68"/>
  <c r="R26" i="67"/>
  <c r="Z24" i="67"/>
  <c r="X24" i="67"/>
  <c r="R24" i="67"/>
  <c r="N24" i="67"/>
  <c r="L24" i="67"/>
  <c r="J24" i="67"/>
  <c r="J22" i="67"/>
  <c r="T20" i="67"/>
  <c r="Z20" i="67" s="1"/>
  <c r="P20" i="67"/>
  <c r="L20" i="67"/>
  <c r="J20" i="67"/>
  <c r="H20" i="67"/>
  <c r="N20" i="67" s="1"/>
  <c r="D20" i="67"/>
  <c r="T18" i="67"/>
  <c r="Z18" i="67" s="1"/>
  <c r="P18" i="67"/>
  <c r="X18" i="67" s="1"/>
  <c r="L18" i="67"/>
  <c r="J18" i="67"/>
  <c r="H18" i="67"/>
  <c r="N18" i="67" s="1"/>
  <c r="D18" i="67"/>
  <c r="T16" i="67"/>
  <c r="J16" i="67"/>
  <c r="T14" i="67"/>
  <c r="Z14" i="67" s="1"/>
  <c r="P14" i="67"/>
  <c r="X14" i="67" s="1"/>
  <c r="L14" i="67"/>
  <c r="J14" i="67"/>
  <c r="H14" i="67"/>
  <c r="H16" i="67" s="1"/>
  <c r="D14" i="67"/>
  <c r="T12" i="67"/>
  <c r="Z12" i="67" s="1"/>
  <c r="P12" i="67"/>
  <c r="H12" i="67"/>
  <c r="J29" i="67" s="1"/>
  <c r="D12" i="67"/>
  <c r="D6" i="67"/>
  <c r="D4" i="67"/>
  <c r="F111" i="63"/>
  <c r="Z106" i="63"/>
  <c r="X106" i="63"/>
  <c r="N106" i="63"/>
  <c r="L106" i="63"/>
  <c r="J104" i="63"/>
  <c r="T102" i="63"/>
  <c r="P102" i="63"/>
  <c r="L102" i="63"/>
  <c r="J102" i="63"/>
  <c r="H102" i="63"/>
  <c r="N102" i="63" s="1"/>
  <c r="D102" i="63"/>
  <c r="B102" i="63"/>
  <c r="X101" i="63"/>
  <c r="Z101" i="63" s="1"/>
  <c r="V101" i="63"/>
  <c r="T101" i="63"/>
  <c r="P101" i="63"/>
  <c r="L101" i="63"/>
  <c r="N101" i="63" s="1"/>
  <c r="H101" i="63"/>
  <c r="D101" i="63"/>
  <c r="B101" i="63"/>
  <c r="X100" i="63"/>
  <c r="Z100" i="63" s="1"/>
  <c r="T100" i="63"/>
  <c r="T99" i="63" s="1"/>
  <c r="P100" i="63"/>
  <c r="N100" i="63"/>
  <c r="H100" i="63"/>
  <c r="H99" i="63" s="1"/>
  <c r="D100" i="63"/>
  <c r="L100" i="63" s="1"/>
  <c r="B100" i="63"/>
  <c r="P99" i="63"/>
  <c r="D99" i="63"/>
  <c r="L99" i="63" s="1"/>
  <c r="Z97" i="63"/>
  <c r="X97" i="63"/>
  <c r="N97" i="63"/>
  <c r="L97" i="63"/>
  <c r="B97" i="63"/>
  <c r="T96" i="63"/>
  <c r="P96" i="63"/>
  <c r="L96" i="63"/>
  <c r="J96" i="63"/>
  <c r="H96" i="63"/>
  <c r="N96" i="63" s="1"/>
  <c r="D96" i="63"/>
  <c r="B96" i="63"/>
  <c r="X95" i="63"/>
  <c r="Z95" i="63" s="1"/>
  <c r="V95" i="63"/>
  <c r="N95" i="63"/>
  <c r="L95" i="63"/>
  <c r="J95" i="63"/>
  <c r="B95" i="63"/>
  <c r="Z94" i="63"/>
  <c r="X94" i="63"/>
  <c r="N94" i="63"/>
  <c r="L94" i="63"/>
  <c r="B94" i="63"/>
  <c r="X93" i="63"/>
  <c r="Z93" i="63" s="1"/>
  <c r="N93" i="63"/>
  <c r="L93" i="63"/>
  <c r="B93" i="63"/>
  <c r="T92" i="63"/>
  <c r="P92" i="63"/>
  <c r="H92" i="63"/>
  <c r="N92" i="63" s="1"/>
  <c r="D92" i="63"/>
  <c r="L92" i="63" s="1"/>
  <c r="B92" i="63"/>
  <c r="Z91" i="63"/>
  <c r="X91" i="63"/>
  <c r="V91" i="63"/>
  <c r="N91" i="63"/>
  <c r="L91" i="63"/>
  <c r="B91" i="63"/>
  <c r="X90" i="63"/>
  <c r="Z90" i="63" s="1"/>
  <c r="T90" i="63"/>
  <c r="P90" i="63"/>
  <c r="N90" i="63"/>
  <c r="H90" i="63"/>
  <c r="D90" i="63"/>
  <c r="L90" i="63" s="1"/>
  <c r="B90" i="63"/>
  <c r="Z89" i="63"/>
  <c r="X89" i="63"/>
  <c r="L89" i="63"/>
  <c r="N89" i="63" s="1"/>
  <c r="B89" i="63"/>
  <c r="V88" i="63"/>
  <c r="T88" i="63"/>
  <c r="P88" i="63"/>
  <c r="L88" i="63"/>
  <c r="J88" i="63"/>
  <c r="H88" i="63"/>
  <c r="D88" i="63"/>
  <c r="B88" i="63"/>
  <c r="X87" i="63"/>
  <c r="Z87" i="63" s="1"/>
  <c r="N87" i="63"/>
  <c r="L87" i="63"/>
  <c r="J87" i="63"/>
  <c r="B87" i="63"/>
  <c r="X86" i="63"/>
  <c r="Z86" i="63" s="1"/>
  <c r="N86" i="63"/>
  <c r="L86" i="63"/>
  <c r="B86" i="63"/>
  <c r="X85" i="63"/>
  <c r="Z85" i="63" s="1"/>
  <c r="N85" i="63"/>
  <c r="L85" i="63"/>
  <c r="B85" i="63"/>
  <c r="X84" i="63"/>
  <c r="Z84" i="63" s="1"/>
  <c r="N84" i="63"/>
  <c r="L84" i="63"/>
  <c r="B84" i="63"/>
  <c r="X83" i="63"/>
  <c r="Z83" i="63" s="1"/>
  <c r="N83" i="63"/>
  <c r="L83" i="63"/>
  <c r="J83" i="63"/>
  <c r="B83" i="63"/>
  <c r="Z82" i="63"/>
  <c r="X82" i="63"/>
  <c r="N82" i="63"/>
  <c r="L82" i="63"/>
  <c r="B82" i="63"/>
  <c r="Z81" i="63"/>
  <c r="X81" i="63"/>
  <c r="N81" i="63"/>
  <c r="L81" i="63"/>
  <c r="B81" i="63"/>
  <c r="T80" i="63"/>
  <c r="R80" i="63"/>
  <c r="P80" i="63"/>
  <c r="H80" i="63"/>
  <c r="N80" i="63" s="1"/>
  <c r="F80" i="63"/>
  <c r="D80" i="63"/>
  <c r="L80" i="63" s="1"/>
  <c r="B80" i="63"/>
  <c r="Z79" i="63"/>
  <c r="X79" i="63"/>
  <c r="N79" i="63"/>
  <c r="L79" i="63"/>
  <c r="B79" i="63"/>
  <c r="X78" i="63"/>
  <c r="Z78" i="63" s="1"/>
  <c r="N78" i="63"/>
  <c r="L78" i="63"/>
  <c r="J78" i="63"/>
  <c r="B78" i="63"/>
  <c r="T77" i="63"/>
  <c r="P77" i="63"/>
  <c r="J77" i="63"/>
  <c r="H77" i="63"/>
  <c r="D77" i="63"/>
  <c r="L77" i="63" s="1"/>
  <c r="B77" i="63"/>
  <c r="X76" i="63"/>
  <c r="Z76" i="63" s="1"/>
  <c r="V76" i="63"/>
  <c r="L76" i="63"/>
  <c r="N76" i="63" s="1"/>
  <c r="B76" i="63"/>
  <c r="Z75" i="63"/>
  <c r="X75" i="63"/>
  <c r="L75" i="63"/>
  <c r="N75" i="63" s="1"/>
  <c r="J75" i="63"/>
  <c r="B75" i="63"/>
  <c r="X74" i="63"/>
  <c r="Z74" i="63" s="1"/>
  <c r="L74" i="63"/>
  <c r="N74" i="63" s="1"/>
  <c r="B74" i="63"/>
  <c r="Z73" i="63"/>
  <c r="T73" i="63"/>
  <c r="P73" i="63"/>
  <c r="X73" i="63" s="1"/>
  <c r="H73" i="63"/>
  <c r="D73" i="63"/>
  <c r="L73" i="63" s="1"/>
  <c r="N73" i="63" s="1"/>
  <c r="B73" i="63"/>
  <c r="X72" i="63"/>
  <c r="Z72" i="63" s="1"/>
  <c r="N72" i="63"/>
  <c r="L72" i="63"/>
  <c r="B72" i="63"/>
  <c r="X71" i="63"/>
  <c r="Z71" i="63" s="1"/>
  <c r="T71" i="63"/>
  <c r="P71" i="63"/>
  <c r="N71" i="63"/>
  <c r="L71" i="63"/>
  <c r="H71" i="63"/>
  <c r="D71" i="63"/>
  <c r="B71" i="63"/>
  <c r="X70" i="63"/>
  <c r="Z70" i="63" s="1"/>
  <c r="L70" i="63"/>
  <c r="N70" i="63" s="1"/>
  <c r="J70" i="63"/>
  <c r="B70" i="63"/>
  <c r="Z69" i="63"/>
  <c r="X69" i="63"/>
  <c r="N69" i="63"/>
  <c r="L69" i="63"/>
  <c r="B69" i="63"/>
  <c r="Z68" i="63"/>
  <c r="X68" i="63"/>
  <c r="N68" i="63"/>
  <c r="L68" i="63"/>
  <c r="J68" i="63"/>
  <c r="B68" i="63"/>
  <c r="Z67" i="63"/>
  <c r="X67" i="63"/>
  <c r="R67" i="63"/>
  <c r="N67" i="63"/>
  <c r="L67" i="63"/>
  <c r="B67" i="63"/>
  <c r="Z66" i="63"/>
  <c r="X66" i="63"/>
  <c r="T66" i="63"/>
  <c r="P66" i="63"/>
  <c r="N66" i="63"/>
  <c r="H66" i="63"/>
  <c r="D66" i="63"/>
  <c r="L66" i="63" s="1"/>
  <c r="B66" i="63"/>
  <c r="Z65" i="63"/>
  <c r="X65" i="63"/>
  <c r="L65" i="63"/>
  <c r="N65" i="63" s="1"/>
  <c r="B65" i="63"/>
  <c r="T64" i="63"/>
  <c r="P64" i="63"/>
  <c r="L64" i="63"/>
  <c r="J64" i="63"/>
  <c r="H64" i="63"/>
  <c r="D64" i="63"/>
  <c r="B64" i="63"/>
  <c r="X63" i="63"/>
  <c r="Z63" i="63" s="1"/>
  <c r="N63" i="63"/>
  <c r="L63" i="63"/>
  <c r="J63" i="63"/>
  <c r="F63" i="63"/>
  <c r="B63" i="63"/>
  <c r="T62" i="63"/>
  <c r="Z62" i="63" s="1"/>
  <c r="P62" i="63"/>
  <c r="X62" i="63" s="1"/>
  <c r="H62" i="63"/>
  <c r="D62" i="63"/>
  <c r="B62" i="63"/>
  <c r="Z61" i="63"/>
  <c r="X61" i="63"/>
  <c r="N61" i="63"/>
  <c r="L61" i="63"/>
  <c r="B61" i="63"/>
  <c r="T60" i="63"/>
  <c r="P60" i="63"/>
  <c r="X60" i="63" s="1"/>
  <c r="Z60" i="63" s="1"/>
  <c r="L60" i="63"/>
  <c r="N60" i="63" s="1"/>
  <c r="H60" i="63"/>
  <c r="D60" i="63"/>
  <c r="B60" i="63"/>
  <c r="Z59" i="63"/>
  <c r="X59" i="63"/>
  <c r="L59" i="63"/>
  <c r="N59" i="63" s="1"/>
  <c r="J59" i="63"/>
  <c r="B59" i="63"/>
  <c r="X58" i="63"/>
  <c r="T58" i="63"/>
  <c r="Z58" i="63" s="1"/>
  <c r="P58" i="63"/>
  <c r="J58" i="63"/>
  <c r="H58" i="63"/>
  <c r="D58" i="63"/>
  <c r="L58" i="63" s="1"/>
  <c r="B58" i="63"/>
  <c r="Z57" i="63"/>
  <c r="X57" i="63"/>
  <c r="N57" i="63"/>
  <c r="L57" i="63"/>
  <c r="B57" i="63"/>
  <c r="T56" i="63"/>
  <c r="R56" i="63"/>
  <c r="P56" i="63"/>
  <c r="H56" i="63"/>
  <c r="N56" i="63" s="1"/>
  <c r="F56" i="63"/>
  <c r="D56" i="63"/>
  <c r="L56" i="63" s="1"/>
  <c r="B56" i="63"/>
  <c r="Z55" i="63"/>
  <c r="X55" i="63"/>
  <c r="N55" i="63"/>
  <c r="L55" i="63"/>
  <c r="B55" i="63"/>
  <c r="Z54" i="63"/>
  <c r="X54" i="63"/>
  <c r="T54" i="63"/>
  <c r="P54" i="63"/>
  <c r="N54" i="63"/>
  <c r="H54" i="63"/>
  <c r="D54" i="63"/>
  <c r="L54" i="63" s="1"/>
  <c r="B54" i="63"/>
  <c r="Z53" i="63"/>
  <c r="X53" i="63"/>
  <c r="N53" i="63"/>
  <c r="L53" i="63"/>
  <c r="B53" i="63"/>
  <c r="V52" i="63"/>
  <c r="T52" i="63"/>
  <c r="P52" i="63"/>
  <c r="L52" i="63"/>
  <c r="J52" i="63"/>
  <c r="H52" i="63"/>
  <c r="N52" i="63" s="1"/>
  <c r="D52" i="63"/>
  <c r="B52" i="63"/>
  <c r="X51" i="63"/>
  <c r="Z51" i="63" s="1"/>
  <c r="V51" i="63"/>
  <c r="N51" i="63"/>
  <c r="L51" i="63"/>
  <c r="J51" i="63"/>
  <c r="F51" i="63"/>
  <c r="B51" i="63"/>
  <c r="T50" i="63"/>
  <c r="Z50" i="63" s="1"/>
  <c r="P50" i="63"/>
  <c r="X50" i="63" s="1"/>
  <c r="H50" i="63"/>
  <c r="D50" i="63"/>
  <c r="B50" i="63"/>
  <c r="Z49" i="63"/>
  <c r="X49" i="63"/>
  <c r="N49" i="63"/>
  <c r="L49" i="63"/>
  <c r="B49" i="63"/>
  <c r="Z48" i="63"/>
  <c r="X48" i="63"/>
  <c r="L48" i="63"/>
  <c r="N48" i="63" s="1"/>
  <c r="J48" i="63"/>
  <c r="B48" i="63"/>
  <c r="V47" i="63"/>
  <c r="T47" i="63"/>
  <c r="P47" i="63"/>
  <c r="X47" i="63" s="1"/>
  <c r="J47" i="63"/>
  <c r="H47" i="63"/>
  <c r="F47" i="63"/>
  <c r="D47" i="63"/>
  <c r="B47" i="63"/>
  <c r="X46" i="63"/>
  <c r="Z46" i="63" s="1"/>
  <c r="L46" i="63"/>
  <c r="N46" i="63" s="1"/>
  <c r="B46" i="63"/>
  <c r="Z45" i="63"/>
  <c r="X45" i="63"/>
  <c r="N45" i="63"/>
  <c r="L45" i="63"/>
  <c r="B45" i="63"/>
  <c r="T44" i="63"/>
  <c r="P44" i="63"/>
  <c r="X44" i="63" s="1"/>
  <c r="L44" i="63"/>
  <c r="J44" i="63"/>
  <c r="H44" i="63"/>
  <c r="N44" i="63" s="1"/>
  <c r="D44" i="63"/>
  <c r="B44" i="63"/>
  <c r="Z43" i="63"/>
  <c r="X43" i="63"/>
  <c r="V43" i="63"/>
  <c r="N43" i="63"/>
  <c r="L43" i="63"/>
  <c r="J43" i="63"/>
  <c r="B43" i="63"/>
  <c r="T42" i="63"/>
  <c r="P42" i="63"/>
  <c r="L42" i="63"/>
  <c r="H42" i="63"/>
  <c r="F42" i="63"/>
  <c r="D42" i="63"/>
  <c r="B42" i="63"/>
  <c r="Z41" i="63"/>
  <c r="X41" i="63"/>
  <c r="R41" i="63"/>
  <c r="N41" i="63"/>
  <c r="L41" i="63"/>
  <c r="J41" i="63"/>
  <c r="B41" i="63"/>
  <c r="Z40" i="63"/>
  <c r="X40" i="63"/>
  <c r="L40" i="63"/>
  <c r="N40" i="63" s="1"/>
  <c r="J40" i="63"/>
  <c r="B40" i="63"/>
  <c r="Z39" i="63"/>
  <c r="V39" i="63"/>
  <c r="T39" i="63"/>
  <c r="P39" i="63"/>
  <c r="X39" i="63" s="1"/>
  <c r="J39" i="63"/>
  <c r="H39" i="63"/>
  <c r="L39" i="63" s="1"/>
  <c r="D39" i="63"/>
  <c r="B39" i="63"/>
  <c r="X38" i="63"/>
  <c r="Z38" i="63" s="1"/>
  <c r="L38" i="63"/>
  <c r="N38" i="63" s="1"/>
  <c r="B38" i="63"/>
  <c r="Z37" i="63"/>
  <c r="V37" i="63"/>
  <c r="T37" i="63"/>
  <c r="R37" i="63"/>
  <c r="P37" i="63"/>
  <c r="X37" i="63" s="1"/>
  <c r="J37" i="63"/>
  <c r="H37" i="63"/>
  <c r="D37" i="63"/>
  <c r="L37" i="63" s="1"/>
  <c r="N37" i="63" s="1"/>
  <c r="B37" i="63"/>
  <c r="X36" i="63"/>
  <c r="Z36" i="63" s="1"/>
  <c r="N36" i="63"/>
  <c r="L36" i="63"/>
  <c r="B36" i="63"/>
  <c r="X35" i="63"/>
  <c r="Z35" i="63" s="1"/>
  <c r="N35" i="63"/>
  <c r="L35" i="63"/>
  <c r="J35" i="63"/>
  <c r="B35" i="63"/>
  <c r="X34" i="63"/>
  <c r="Z34" i="63" s="1"/>
  <c r="R34" i="63"/>
  <c r="L34" i="63"/>
  <c r="N34" i="63" s="1"/>
  <c r="B34" i="63"/>
  <c r="X33" i="63"/>
  <c r="Z33" i="63" s="1"/>
  <c r="N33" i="63"/>
  <c r="L33" i="63"/>
  <c r="J33" i="63"/>
  <c r="B33" i="63"/>
  <c r="X32" i="63"/>
  <c r="Z32" i="63" s="1"/>
  <c r="N32" i="63"/>
  <c r="L32" i="63"/>
  <c r="B32" i="63"/>
  <c r="X31" i="63"/>
  <c r="Z31" i="63" s="1"/>
  <c r="V31" i="63"/>
  <c r="N31" i="63"/>
  <c r="L31" i="63"/>
  <c r="J31" i="63"/>
  <c r="F31" i="63"/>
  <c r="B31" i="63"/>
  <c r="X30" i="63"/>
  <c r="Z30" i="63" s="1"/>
  <c r="N30" i="63"/>
  <c r="L30" i="63"/>
  <c r="B30" i="63"/>
  <c r="X29" i="63"/>
  <c r="Z29" i="63" s="1"/>
  <c r="T29" i="63"/>
  <c r="R29" i="63"/>
  <c r="P29" i="63"/>
  <c r="L29" i="63"/>
  <c r="N29" i="63" s="1"/>
  <c r="J29" i="63"/>
  <c r="H29" i="63"/>
  <c r="D29" i="63"/>
  <c r="B29" i="63"/>
  <c r="Z28" i="63"/>
  <c r="X28" i="63"/>
  <c r="L28" i="63"/>
  <c r="N28" i="63" s="1"/>
  <c r="J28" i="63"/>
  <c r="B28" i="63"/>
  <c r="Z27" i="63"/>
  <c r="X27" i="63"/>
  <c r="N27" i="63"/>
  <c r="L27" i="63"/>
  <c r="J27" i="63"/>
  <c r="B27" i="63"/>
  <c r="X26" i="63"/>
  <c r="Z26" i="63" s="1"/>
  <c r="L26" i="63"/>
  <c r="N26" i="63" s="1"/>
  <c r="J26" i="63"/>
  <c r="B26" i="63"/>
  <c r="Z25" i="63"/>
  <c r="X25" i="63"/>
  <c r="V25" i="63"/>
  <c r="R25" i="63"/>
  <c r="N25" i="63"/>
  <c r="L25" i="63"/>
  <c r="J25" i="63"/>
  <c r="B25" i="63"/>
  <c r="Z24" i="63"/>
  <c r="X24" i="63"/>
  <c r="L24" i="63"/>
  <c r="N24" i="63" s="1"/>
  <c r="J24" i="63"/>
  <c r="B24" i="63"/>
  <c r="Z23" i="63"/>
  <c r="X23" i="63"/>
  <c r="V23" i="63"/>
  <c r="R23" i="63"/>
  <c r="N23" i="63"/>
  <c r="L23" i="63"/>
  <c r="J23" i="63"/>
  <c r="B23" i="63"/>
  <c r="X22" i="63"/>
  <c r="Z22" i="63" s="1"/>
  <c r="R22" i="63"/>
  <c r="L22" i="63"/>
  <c r="N22" i="63" s="1"/>
  <c r="J22" i="63"/>
  <c r="B22" i="63"/>
  <c r="Z21" i="63"/>
  <c r="X21" i="63"/>
  <c r="V21" i="63"/>
  <c r="N21" i="63"/>
  <c r="L21" i="63"/>
  <c r="J21" i="63"/>
  <c r="B21" i="63"/>
  <c r="X20" i="63"/>
  <c r="Z20" i="63" s="1"/>
  <c r="T20" i="63"/>
  <c r="P20" i="63"/>
  <c r="H20" i="63"/>
  <c r="L20" i="63" s="1"/>
  <c r="N20" i="63" s="1"/>
  <c r="D20" i="63"/>
  <c r="B20" i="63"/>
  <c r="V19" i="63"/>
  <c r="T19" i="63"/>
  <c r="R19" i="63"/>
  <c r="P19" i="63"/>
  <c r="X19" i="63" s="1"/>
  <c r="Z19" i="63" s="1"/>
  <c r="J19" i="63"/>
  <c r="H19" i="63"/>
  <c r="D19" i="63"/>
  <c r="L19" i="63" s="1"/>
  <c r="N19" i="63" s="1"/>
  <c r="V17" i="63"/>
  <c r="J17" i="63"/>
  <c r="Z15" i="63"/>
  <c r="X15" i="63"/>
  <c r="V15" i="63"/>
  <c r="N15" i="63"/>
  <c r="L15" i="63"/>
  <c r="J15" i="63"/>
  <c r="B15" i="63"/>
  <c r="V14" i="63"/>
  <c r="T14" i="63"/>
  <c r="P14" i="63"/>
  <c r="J14" i="63"/>
  <c r="H14" i="63"/>
  <c r="D14" i="63"/>
  <c r="L14" i="63" s="1"/>
  <c r="X12" i="63"/>
  <c r="T12" i="63"/>
  <c r="V46" i="63" s="1"/>
  <c r="P12" i="63"/>
  <c r="R99" i="63" s="1"/>
  <c r="H12" i="63"/>
  <c r="J101" i="63" s="1"/>
  <c r="D12" i="63"/>
  <c r="F33" i="63" s="1"/>
  <c r="D6" i="63"/>
  <c r="D4" i="63"/>
  <c r="R60" i="61"/>
  <c r="V57" i="61"/>
  <c r="Z55" i="61"/>
  <c r="X55" i="61"/>
  <c r="V55" i="61"/>
  <c r="R55" i="61"/>
  <c r="N55" i="61"/>
  <c r="L55" i="61"/>
  <c r="V53" i="61"/>
  <c r="V51" i="61"/>
  <c r="T51" i="61"/>
  <c r="Z51" i="61" s="1"/>
  <c r="P51" i="61"/>
  <c r="X51" i="61" s="1"/>
  <c r="H51" i="61"/>
  <c r="N51" i="61" s="1"/>
  <c r="D51" i="61"/>
  <c r="L51" i="61" s="1"/>
  <c r="X49" i="61"/>
  <c r="Z49" i="61" s="1"/>
  <c r="L49" i="61"/>
  <c r="N49" i="61" s="1"/>
  <c r="F49" i="61"/>
  <c r="B49" i="61"/>
  <c r="T48" i="61"/>
  <c r="P48" i="61"/>
  <c r="X48" i="61" s="1"/>
  <c r="Z48" i="61" s="1"/>
  <c r="H48" i="61"/>
  <c r="F48" i="61"/>
  <c r="D48" i="61"/>
  <c r="B48" i="61"/>
  <c r="X47" i="61"/>
  <c r="Z47" i="61" s="1"/>
  <c r="V47" i="61"/>
  <c r="L47" i="61"/>
  <c r="N47" i="61" s="1"/>
  <c r="B47" i="61"/>
  <c r="X46" i="61"/>
  <c r="Z46" i="61" s="1"/>
  <c r="V46" i="61"/>
  <c r="T46" i="61"/>
  <c r="R46" i="61"/>
  <c r="P46" i="61"/>
  <c r="H46" i="61"/>
  <c r="D46" i="61"/>
  <c r="L46" i="61" s="1"/>
  <c r="N46" i="61" s="1"/>
  <c r="B46" i="61"/>
  <c r="X45" i="61"/>
  <c r="Z45" i="61" s="1"/>
  <c r="N45" i="61"/>
  <c r="L45" i="61"/>
  <c r="B45" i="61"/>
  <c r="X44" i="61"/>
  <c r="Z44" i="61" s="1"/>
  <c r="V44" i="61"/>
  <c r="N44" i="61"/>
  <c r="L44" i="61"/>
  <c r="F44" i="61"/>
  <c r="B44" i="61"/>
  <c r="T43" i="61"/>
  <c r="P43" i="61"/>
  <c r="X43" i="61" s="1"/>
  <c r="Z43" i="61" s="1"/>
  <c r="H43" i="61"/>
  <c r="F43" i="61"/>
  <c r="D43" i="61"/>
  <c r="L43" i="61" s="1"/>
  <c r="N43" i="61" s="1"/>
  <c r="B43" i="61"/>
  <c r="Z42" i="61"/>
  <c r="X42" i="61"/>
  <c r="N42" i="61"/>
  <c r="L42" i="61"/>
  <c r="J42" i="61"/>
  <c r="B42" i="61"/>
  <c r="T41" i="61"/>
  <c r="P41" i="61"/>
  <c r="H41" i="61"/>
  <c r="N41" i="61" s="1"/>
  <c r="D41" i="61"/>
  <c r="L41" i="61" s="1"/>
  <c r="B41" i="61"/>
  <c r="Z40" i="61"/>
  <c r="X40" i="61"/>
  <c r="V40" i="61"/>
  <c r="N40" i="61"/>
  <c r="L40" i="61"/>
  <c r="B40" i="61"/>
  <c r="V39" i="61"/>
  <c r="T39" i="61"/>
  <c r="Z39" i="61" s="1"/>
  <c r="R39" i="61"/>
  <c r="P39" i="61"/>
  <c r="L39" i="61"/>
  <c r="J39" i="61"/>
  <c r="H39" i="61"/>
  <c r="N39" i="61" s="1"/>
  <c r="F39" i="61"/>
  <c r="D39" i="61"/>
  <c r="B39" i="61"/>
  <c r="X38" i="61"/>
  <c r="Z38" i="61" s="1"/>
  <c r="V38" i="61"/>
  <c r="R38" i="61"/>
  <c r="N38" i="61"/>
  <c r="L38" i="61"/>
  <c r="J38" i="61"/>
  <c r="F38" i="61"/>
  <c r="B38" i="61"/>
  <c r="T37" i="61"/>
  <c r="P37" i="61"/>
  <c r="X37" i="61" s="1"/>
  <c r="Z37" i="61" s="1"/>
  <c r="H37" i="61"/>
  <c r="D37" i="61"/>
  <c r="B37" i="61"/>
  <c r="Z36" i="61"/>
  <c r="X36" i="61"/>
  <c r="L36" i="61"/>
  <c r="N36" i="61" s="1"/>
  <c r="B36" i="61"/>
  <c r="V35" i="61"/>
  <c r="T35" i="61"/>
  <c r="Z35" i="61" s="1"/>
  <c r="P35" i="61"/>
  <c r="X35" i="61" s="1"/>
  <c r="H35" i="61"/>
  <c r="D35" i="61"/>
  <c r="L35" i="61" s="1"/>
  <c r="B35" i="61"/>
  <c r="Z34" i="61"/>
  <c r="X34" i="61"/>
  <c r="V34" i="61"/>
  <c r="N34" i="61"/>
  <c r="L34" i="61"/>
  <c r="B34" i="61"/>
  <c r="X33" i="61"/>
  <c r="Z33" i="61" s="1"/>
  <c r="V33" i="61"/>
  <c r="R33" i="61"/>
  <c r="L33" i="61"/>
  <c r="N33" i="61" s="1"/>
  <c r="F33" i="61"/>
  <c r="B33" i="61"/>
  <c r="Z32" i="61"/>
  <c r="X32" i="61"/>
  <c r="V32" i="61"/>
  <c r="L32" i="61"/>
  <c r="N32" i="61" s="1"/>
  <c r="J32" i="61"/>
  <c r="F32" i="61"/>
  <c r="B32" i="61"/>
  <c r="X31" i="61"/>
  <c r="Z31" i="61" s="1"/>
  <c r="V31" i="61"/>
  <c r="N31" i="61"/>
  <c r="L31" i="61"/>
  <c r="B31" i="61"/>
  <c r="X30" i="61"/>
  <c r="Z30" i="61" s="1"/>
  <c r="V30" i="61"/>
  <c r="N30" i="61"/>
  <c r="L30" i="61"/>
  <c r="J30" i="61"/>
  <c r="B30" i="61"/>
  <c r="X29" i="61"/>
  <c r="Z29" i="61" s="1"/>
  <c r="V29" i="61"/>
  <c r="N29" i="61"/>
  <c r="L29" i="61"/>
  <c r="F29" i="61"/>
  <c r="B29" i="61"/>
  <c r="X28" i="61"/>
  <c r="V28" i="61"/>
  <c r="T28" i="61"/>
  <c r="P28" i="61"/>
  <c r="H28" i="61"/>
  <c r="F28" i="61"/>
  <c r="D28" i="61"/>
  <c r="B28" i="61"/>
  <c r="Z27" i="61"/>
  <c r="X27" i="61"/>
  <c r="V27" i="61"/>
  <c r="N27" i="61"/>
  <c r="L27" i="61"/>
  <c r="B27" i="61"/>
  <c r="Z26" i="61"/>
  <c r="X26" i="61"/>
  <c r="V26" i="61"/>
  <c r="R26" i="61"/>
  <c r="L26" i="61"/>
  <c r="N26" i="61" s="1"/>
  <c r="B26" i="61"/>
  <c r="X25" i="61"/>
  <c r="Z25" i="61" s="1"/>
  <c r="V25" i="61"/>
  <c r="R25" i="61"/>
  <c r="L25" i="61"/>
  <c r="N25" i="61" s="1"/>
  <c r="J25" i="61"/>
  <c r="B25" i="61"/>
  <c r="X24" i="61"/>
  <c r="Z24" i="61" s="1"/>
  <c r="V24" i="61"/>
  <c r="N24" i="61"/>
  <c r="L24" i="61"/>
  <c r="J24" i="61"/>
  <c r="B24" i="61"/>
  <c r="Z23" i="61"/>
  <c r="X23" i="61"/>
  <c r="V23" i="61"/>
  <c r="N23" i="61"/>
  <c r="L23" i="61"/>
  <c r="B23" i="61"/>
  <c r="Z22" i="61"/>
  <c r="X22" i="61"/>
  <c r="V22" i="61"/>
  <c r="R22" i="61"/>
  <c r="L22" i="61"/>
  <c r="N22" i="61" s="1"/>
  <c r="B22" i="61"/>
  <c r="X21" i="61"/>
  <c r="Z21" i="61" s="1"/>
  <c r="V21" i="61"/>
  <c r="R21" i="61"/>
  <c r="L21" i="61"/>
  <c r="N21" i="61" s="1"/>
  <c r="J21" i="61"/>
  <c r="B21" i="61"/>
  <c r="X20" i="61"/>
  <c r="Z20" i="61" s="1"/>
  <c r="V20" i="61"/>
  <c r="L20" i="61"/>
  <c r="N20" i="61" s="1"/>
  <c r="J20" i="61"/>
  <c r="B20" i="61"/>
  <c r="Z19" i="61"/>
  <c r="X19" i="61"/>
  <c r="V19" i="61"/>
  <c r="T19" i="61"/>
  <c r="P19" i="61"/>
  <c r="J19" i="61"/>
  <c r="H19" i="61"/>
  <c r="N19" i="61" s="1"/>
  <c r="D19" i="61"/>
  <c r="L19" i="61" s="1"/>
  <c r="B19" i="61"/>
  <c r="X18" i="61"/>
  <c r="T18" i="61"/>
  <c r="Z18" i="61" s="1"/>
  <c r="P18" i="61"/>
  <c r="J18" i="61"/>
  <c r="H18" i="61"/>
  <c r="D18" i="61"/>
  <c r="L18" i="61" s="1"/>
  <c r="N18" i="61" s="1"/>
  <c r="J16" i="61"/>
  <c r="D16" i="61"/>
  <c r="X14" i="61"/>
  <c r="T14" i="61"/>
  <c r="T16" i="61" s="1"/>
  <c r="P14" i="61"/>
  <c r="N14" i="61"/>
  <c r="J14" i="61"/>
  <c r="H14" i="61"/>
  <c r="D14" i="61"/>
  <c r="L14" i="61" s="1"/>
  <c r="Z12" i="61"/>
  <c r="X12" i="61"/>
  <c r="T12" i="61"/>
  <c r="V48" i="61" s="1"/>
  <c r="P12" i="61"/>
  <c r="R47" i="61" s="1"/>
  <c r="H12" i="61"/>
  <c r="J48" i="61" s="1"/>
  <c r="D12" i="61"/>
  <c r="F37" i="61" s="1"/>
  <c r="D6" i="61"/>
  <c r="D4" i="61"/>
  <c r="Z52" i="60"/>
  <c r="X52" i="60"/>
  <c r="R52" i="60"/>
  <c r="N52" i="60"/>
  <c r="L52" i="60"/>
  <c r="R50" i="60"/>
  <c r="Z48" i="60"/>
  <c r="T48" i="60"/>
  <c r="R48" i="60"/>
  <c r="P48" i="60"/>
  <c r="X48" i="60" s="1"/>
  <c r="L48" i="60"/>
  <c r="H48" i="60"/>
  <c r="N48" i="60" s="1"/>
  <c r="D48" i="60"/>
  <c r="X46" i="60"/>
  <c r="Z46" i="60" s="1"/>
  <c r="N46" i="60"/>
  <c r="L46" i="60"/>
  <c r="B46" i="60"/>
  <c r="T45" i="60"/>
  <c r="R45" i="60"/>
  <c r="P45" i="60"/>
  <c r="X45" i="60" s="1"/>
  <c r="Z45" i="60" s="1"/>
  <c r="L45" i="60"/>
  <c r="J45" i="60"/>
  <c r="H45" i="60"/>
  <c r="N45" i="60" s="1"/>
  <c r="D45" i="60"/>
  <c r="B45" i="60"/>
  <c r="X44" i="60"/>
  <c r="Z44" i="60" s="1"/>
  <c r="R44" i="60"/>
  <c r="N44" i="60"/>
  <c r="L44" i="60"/>
  <c r="J44" i="60"/>
  <c r="B44" i="60"/>
  <c r="T43" i="60"/>
  <c r="P43" i="60"/>
  <c r="X43" i="60" s="1"/>
  <c r="Z43" i="60" s="1"/>
  <c r="L43" i="60"/>
  <c r="N43" i="60" s="1"/>
  <c r="H43" i="60"/>
  <c r="D43" i="60"/>
  <c r="B43" i="60"/>
  <c r="X42" i="60"/>
  <c r="Z42" i="60" s="1"/>
  <c r="N42" i="60"/>
  <c r="L42" i="60"/>
  <c r="J42" i="60"/>
  <c r="B42" i="60"/>
  <c r="Z41" i="60"/>
  <c r="X41" i="60"/>
  <c r="N41" i="60"/>
  <c r="L41" i="60"/>
  <c r="B41" i="60"/>
  <c r="T40" i="60"/>
  <c r="P40" i="60"/>
  <c r="H40" i="60"/>
  <c r="N40" i="60" s="1"/>
  <c r="D40" i="60"/>
  <c r="L40" i="60" s="1"/>
  <c r="B40" i="60"/>
  <c r="X39" i="60"/>
  <c r="Z39" i="60" s="1"/>
  <c r="N39" i="60"/>
  <c r="L39" i="60"/>
  <c r="B39" i="60"/>
  <c r="T38" i="60"/>
  <c r="R38" i="60"/>
  <c r="P38" i="60"/>
  <c r="X38" i="60" s="1"/>
  <c r="Z38" i="60" s="1"/>
  <c r="L38" i="60"/>
  <c r="H38" i="60"/>
  <c r="N38" i="60" s="1"/>
  <c r="D38" i="60"/>
  <c r="B38" i="60"/>
  <c r="X37" i="60"/>
  <c r="Z37" i="60" s="1"/>
  <c r="R37" i="60"/>
  <c r="N37" i="60"/>
  <c r="L37" i="60"/>
  <c r="J37" i="60"/>
  <c r="B37" i="60"/>
  <c r="X36" i="60"/>
  <c r="Z36" i="60" s="1"/>
  <c r="R36" i="60"/>
  <c r="N36" i="60"/>
  <c r="L36" i="60"/>
  <c r="J36" i="60"/>
  <c r="B36" i="60"/>
  <c r="Z35" i="60"/>
  <c r="X35" i="60"/>
  <c r="N35" i="60"/>
  <c r="L35" i="60"/>
  <c r="J35" i="60"/>
  <c r="B35" i="60"/>
  <c r="X34" i="60"/>
  <c r="T34" i="60"/>
  <c r="P34" i="60"/>
  <c r="H34" i="60"/>
  <c r="D34" i="60"/>
  <c r="B34" i="60"/>
  <c r="Z33" i="60"/>
  <c r="X33" i="60"/>
  <c r="N33" i="60"/>
  <c r="L33" i="60"/>
  <c r="B33" i="60"/>
  <c r="T32" i="60"/>
  <c r="P32" i="60"/>
  <c r="H32" i="60"/>
  <c r="N32" i="60" s="1"/>
  <c r="D32" i="60"/>
  <c r="L32" i="60" s="1"/>
  <c r="B32" i="60"/>
  <c r="X31" i="60"/>
  <c r="Z31" i="60" s="1"/>
  <c r="N31" i="60"/>
  <c r="L31" i="60"/>
  <c r="J31" i="60"/>
  <c r="B31" i="60"/>
  <c r="T30" i="60"/>
  <c r="R30" i="60"/>
  <c r="P30" i="60"/>
  <c r="X30" i="60" s="1"/>
  <c r="Z30" i="60" s="1"/>
  <c r="L30" i="60"/>
  <c r="H30" i="60"/>
  <c r="N30" i="60" s="1"/>
  <c r="D30" i="60"/>
  <c r="B30" i="60"/>
  <c r="X29" i="60"/>
  <c r="Z29" i="60" s="1"/>
  <c r="R29" i="60"/>
  <c r="N29" i="60"/>
  <c r="L29" i="60"/>
  <c r="J29" i="60"/>
  <c r="B29" i="60"/>
  <c r="T28" i="60"/>
  <c r="R28" i="60"/>
  <c r="P28" i="60"/>
  <c r="L28" i="60"/>
  <c r="H28" i="60"/>
  <c r="D28" i="60"/>
  <c r="B28" i="60"/>
  <c r="Z27" i="60"/>
  <c r="X27" i="60"/>
  <c r="R27" i="60"/>
  <c r="L27" i="60"/>
  <c r="N27" i="60" s="1"/>
  <c r="J27" i="60"/>
  <c r="B27" i="60"/>
  <c r="X26" i="60"/>
  <c r="Z26" i="60" s="1"/>
  <c r="R26" i="60"/>
  <c r="L26" i="60"/>
  <c r="N26" i="60" s="1"/>
  <c r="J26" i="60"/>
  <c r="B26" i="60"/>
  <c r="Z25" i="60"/>
  <c r="X25" i="60"/>
  <c r="N25" i="60"/>
  <c r="L25" i="60"/>
  <c r="J25" i="60"/>
  <c r="B25" i="60"/>
  <c r="Z24" i="60"/>
  <c r="X24" i="60"/>
  <c r="R24" i="60"/>
  <c r="L24" i="60"/>
  <c r="N24" i="60" s="1"/>
  <c r="B24" i="60"/>
  <c r="Z23" i="60"/>
  <c r="X23" i="60"/>
  <c r="R23" i="60"/>
  <c r="L23" i="60"/>
  <c r="N23" i="60" s="1"/>
  <c r="J23" i="60"/>
  <c r="B23" i="60"/>
  <c r="X22" i="60"/>
  <c r="Z22" i="60" s="1"/>
  <c r="R22" i="60"/>
  <c r="L22" i="60"/>
  <c r="N22" i="60" s="1"/>
  <c r="J22" i="60"/>
  <c r="B22" i="60"/>
  <c r="Z21" i="60"/>
  <c r="X21" i="60"/>
  <c r="N21" i="60"/>
  <c r="L21" i="60"/>
  <c r="J21" i="60"/>
  <c r="B21" i="60"/>
  <c r="Z20" i="60"/>
  <c r="X20" i="60"/>
  <c r="R20" i="60"/>
  <c r="L20" i="60"/>
  <c r="N20" i="60" s="1"/>
  <c r="B20" i="60"/>
  <c r="T19" i="60"/>
  <c r="P19" i="60"/>
  <c r="X19" i="60" s="1"/>
  <c r="N19" i="60"/>
  <c r="L19" i="60"/>
  <c r="J19" i="60"/>
  <c r="H19" i="60"/>
  <c r="D19" i="60"/>
  <c r="B19" i="60"/>
  <c r="V18" i="60"/>
  <c r="T18" i="60"/>
  <c r="R18" i="60"/>
  <c r="P18" i="60"/>
  <c r="X18" i="60" s="1"/>
  <c r="Z18" i="60" s="1"/>
  <c r="L18" i="60"/>
  <c r="H18" i="60"/>
  <c r="N18" i="60" s="1"/>
  <c r="D18" i="60"/>
  <c r="R16" i="60"/>
  <c r="P16" i="60"/>
  <c r="P50" i="60" s="1"/>
  <c r="Z14" i="60"/>
  <c r="V14" i="60"/>
  <c r="T14" i="60"/>
  <c r="R14" i="60"/>
  <c r="P14" i="60"/>
  <c r="X14" i="60" s="1"/>
  <c r="L14" i="60"/>
  <c r="H14" i="60"/>
  <c r="H16" i="60" s="1"/>
  <c r="D14" i="60"/>
  <c r="T12" i="60"/>
  <c r="P12" i="60"/>
  <c r="R57" i="60" s="1"/>
  <c r="N12" i="60"/>
  <c r="H12" i="60"/>
  <c r="J50" i="60" s="1"/>
  <c r="D12" i="60"/>
  <c r="D6" i="60"/>
  <c r="D4" i="60"/>
  <c r="R72" i="59"/>
  <c r="R69" i="59"/>
  <c r="Z67" i="59"/>
  <c r="X67" i="59"/>
  <c r="R67" i="59"/>
  <c r="N67" i="59"/>
  <c r="L67" i="59"/>
  <c r="F67" i="59"/>
  <c r="J65" i="59"/>
  <c r="X63" i="59"/>
  <c r="T63" i="59"/>
  <c r="Z63" i="59" s="1"/>
  <c r="P63" i="59"/>
  <c r="N63" i="59"/>
  <c r="J63" i="59"/>
  <c r="H63" i="59"/>
  <c r="D63" i="59"/>
  <c r="L63" i="59" s="1"/>
  <c r="Z61" i="59"/>
  <c r="X61" i="59"/>
  <c r="N61" i="59"/>
  <c r="L61" i="59"/>
  <c r="F61" i="59"/>
  <c r="B61" i="59"/>
  <c r="X60" i="59"/>
  <c r="Z60" i="59" s="1"/>
  <c r="V60" i="59"/>
  <c r="N60" i="59"/>
  <c r="L60" i="59"/>
  <c r="B60" i="59"/>
  <c r="V59" i="59"/>
  <c r="T59" i="59"/>
  <c r="P59" i="59"/>
  <c r="X59" i="59" s="1"/>
  <c r="Z59" i="59" s="1"/>
  <c r="L59" i="59"/>
  <c r="H59" i="59"/>
  <c r="N59" i="59" s="1"/>
  <c r="D59" i="59"/>
  <c r="B59" i="59"/>
  <c r="X58" i="59"/>
  <c r="Z58" i="59" s="1"/>
  <c r="N58" i="59"/>
  <c r="L58" i="59"/>
  <c r="J58" i="59"/>
  <c r="B58" i="59"/>
  <c r="T57" i="59"/>
  <c r="R57" i="59"/>
  <c r="P57" i="59"/>
  <c r="L57" i="59"/>
  <c r="H57" i="59"/>
  <c r="D57" i="59"/>
  <c r="B57" i="59"/>
  <c r="Z56" i="59"/>
  <c r="X56" i="59"/>
  <c r="R56" i="59"/>
  <c r="L56" i="59"/>
  <c r="N56" i="59" s="1"/>
  <c r="J56" i="59"/>
  <c r="B56" i="59"/>
  <c r="X55" i="59"/>
  <c r="Z55" i="59" s="1"/>
  <c r="R55" i="59"/>
  <c r="L55" i="59"/>
  <c r="N55" i="59" s="1"/>
  <c r="J55" i="59"/>
  <c r="B55" i="59"/>
  <c r="Z54" i="59"/>
  <c r="X54" i="59"/>
  <c r="V54" i="59"/>
  <c r="T54" i="59"/>
  <c r="P54" i="59"/>
  <c r="J54" i="59"/>
  <c r="H54" i="59"/>
  <c r="D54" i="59"/>
  <c r="L54" i="59" s="1"/>
  <c r="B54" i="59"/>
  <c r="X53" i="59"/>
  <c r="Z53" i="59" s="1"/>
  <c r="L53" i="59"/>
  <c r="N53" i="59" s="1"/>
  <c r="F53" i="59"/>
  <c r="B53" i="59"/>
  <c r="X52" i="59"/>
  <c r="Z52" i="59" s="1"/>
  <c r="V52" i="59"/>
  <c r="N52" i="59"/>
  <c r="L52" i="59"/>
  <c r="B52" i="59"/>
  <c r="V51" i="59"/>
  <c r="T51" i="59"/>
  <c r="P51" i="59"/>
  <c r="X51" i="59" s="1"/>
  <c r="Z51" i="59" s="1"/>
  <c r="L51" i="59"/>
  <c r="H51" i="59"/>
  <c r="D51" i="59"/>
  <c r="B51" i="59"/>
  <c r="X50" i="59"/>
  <c r="Z50" i="59" s="1"/>
  <c r="N50" i="59"/>
  <c r="L50" i="59"/>
  <c r="J50" i="59"/>
  <c r="B50" i="59"/>
  <c r="X49" i="59"/>
  <c r="Z49" i="59" s="1"/>
  <c r="R49" i="59"/>
  <c r="N49" i="59"/>
  <c r="L49" i="59"/>
  <c r="F49" i="59"/>
  <c r="B49" i="59"/>
  <c r="Z48" i="59"/>
  <c r="X48" i="59"/>
  <c r="N48" i="59"/>
  <c r="L48" i="59"/>
  <c r="J48" i="59"/>
  <c r="F48" i="59"/>
  <c r="B48" i="59"/>
  <c r="X47" i="59"/>
  <c r="Z47" i="59" s="1"/>
  <c r="R47" i="59"/>
  <c r="L47" i="59"/>
  <c r="N47" i="59" s="1"/>
  <c r="F47" i="59"/>
  <c r="B47" i="59"/>
  <c r="X46" i="59"/>
  <c r="Z46" i="59" s="1"/>
  <c r="T46" i="59"/>
  <c r="R46" i="59"/>
  <c r="P46" i="59"/>
  <c r="H46" i="59"/>
  <c r="F46" i="59"/>
  <c r="D46" i="59"/>
  <c r="L46" i="59" s="1"/>
  <c r="N46" i="59" s="1"/>
  <c r="B46" i="59"/>
  <c r="Z45" i="59"/>
  <c r="X45" i="59"/>
  <c r="R45" i="59"/>
  <c r="L45" i="59"/>
  <c r="N45" i="59" s="1"/>
  <c r="F45" i="59"/>
  <c r="B45" i="59"/>
  <c r="T44" i="59"/>
  <c r="P44" i="59"/>
  <c r="N44" i="59"/>
  <c r="L44" i="59"/>
  <c r="J44" i="59"/>
  <c r="H44" i="59"/>
  <c r="F44" i="59"/>
  <c r="D44" i="59"/>
  <c r="B44" i="59"/>
  <c r="X43" i="59"/>
  <c r="Z43" i="59" s="1"/>
  <c r="V43" i="59"/>
  <c r="N43" i="59"/>
  <c r="L43" i="59"/>
  <c r="F43" i="59"/>
  <c r="B43" i="59"/>
  <c r="T42" i="59"/>
  <c r="R42" i="59"/>
  <c r="P42" i="59"/>
  <c r="X42" i="59" s="1"/>
  <c r="Z42" i="59" s="1"/>
  <c r="L42" i="59"/>
  <c r="J42" i="59"/>
  <c r="H42" i="59"/>
  <c r="N42" i="59" s="1"/>
  <c r="F42" i="59"/>
  <c r="D42" i="59"/>
  <c r="B42" i="59"/>
  <c r="X41" i="59"/>
  <c r="Z41" i="59" s="1"/>
  <c r="R41" i="59"/>
  <c r="N41" i="59"/>
  <c r="L41" i="59"/>
  <c r="F41" i="59"/>
  <c r="B41" i="59"/>
  <c r="Z40" i="59"/>
  <c r="X40" i="59"/>
  <c r="N40" i="59"/>
  <c r="L40" i="59"/>
  <c r="J40" i="59"/>
  <c r="F40" i="59"/>
  <c r="B40" i="59"/>
  <c r="T39" i="59"/>
  <c r="P39" i="59"/>
  <c r="H39" i="59"/>
  <c r="F39" i="59"/>
  <c r="D39" i="59"/>
  <c r="B39" i="59"/>
  <c r="Z38" i="59"/>
  <c r="X38" i="59"/>
  <c r="V38" i="59"/>
  <c r="N38" i="59"/>
  <c r="L38" i="59"/>
  <c r="B38" i="59"/>
  <c r="Z37" i="59"/>
  <c r="T37" i="59"/>
  <c r="P37" i="59"/>
  <c r="X37" i="59" s="1"/>
  <c r="H37" i="59"/>
  <c r="N37" i="59" s="1"/>
  <c r="D37" i="59"/>
  <c r="L37" i="59" s="1"/>
  <c r="B37" i="59"/>
  <c r="Z36" i="59"/>
  <c r="X36" i="59"/>
  <c r="V36" i="59"/>
  <c r="N36" i="59"/>
  <c r="L36" i="59"/>
  <c r="B36" i="59"/>
  <c r="X35" i="59"/>
  <c r="Z35" i="59" s="1"/>
  <c r="V35" i="59"/>
  <c r="L35" i="59"/>
  <c r="N35" i="59" s="1"/>
  <c r="F35" i="59"/>
  <c r="B35" i="59"/>
  <c r="Z34" i="59"/>
  <c r="X34" i="59"/>
  <c r="L34" i="59"/>
  <c r="N34" i="59" s="1"/>
  <c r="F34" i="59"/>
  <c r="B34" i="59"/>
  <c r="X33" i="59"/>
  <c r="Z33" i="59" s="1"/>
  <c r="R33" i="59"/>
  <c r="L33" i="59"/>
  <c r="N33" i="59" s="1"/>
  <c r="F33" i="59"/>
  <c r="B33" i="59"/>
  <c r="X32" i="59"/>
  <c r="Z32" i="59" s="1"/>
  <c r="N32" i="59"/>
  <c r="L32" i="59"/>
  <c r="B32" i="59"/>
  <c r="X31" i="59"/>
  <c r="Z31" i="59" s="1"/>
  <c r="L31" i="59"/>
  <c r="N31" i="59" s="1"/>
  <c r="F31" i="59"/>
  <c r="B31" i="59"/>
  <c r="T30" i="59"/>
  <c r="R30" i="59"/>
  <c r="P30" i="59"/>
  <c r="X30" i="59" s="1"/>
  <c r="Z30" i="59" s="1"/>
  <c r="L30" i="59"/>
  <c r="J30" i="59"/>
  <c r="H30" i="59"/>
  <c r="N30" i="59" s="1"/>
  <c r="F30" i="59"/>
  <c r="D30" i="59"/>
  <c r="B30" i="59"/>
  <c r="X29" i="59"/>
  <c r="Z29" i="59" s="1"/>
  <c r="R29" i="59"/>
  <c r="N29" i="59"/>
  <c r="L29" i="59"/>
  <c r="F29" i="59"/>
  <c r="B29" i="59"/>
  <c r="Z28" i="59"/>
  <c r="X28" i="59"/>
  <c r="N28" i="59"/>
  <c r="L28" i="59"/>
  <c r="J28" i="59"/>
  <c r="F28" i="59"/>
  <c r="B28" i="59"/>
  <c r="X27" i="59"/>
  <c r="Z27" i="59" s="1"/>
  <c r="R27" i="59"/>
  <c r="L27" i="59"/>
  <c r="N27" i="59" s="1"/>
  <c r="F27" i="59"/>
  <c r="B27" i="59"/>
  <c r="X26" i="59"/>
  <c r="Z26" i="59" s="1"/>
  <c r="R26" i="59"/>
  <c r="N26" i="59"/>
  <c r="L26" i="59"/>
  <c r="J26" i="59"/>
  <c r="B26" i="59"/>
  <c r="Z25" i="59"/>
  <c r="X25" i="59"/>
  <c r="R25" i="59"/>
  <c r="N25" i="59"/>
  <c r="L25" i="59"/>
  <c r="F25" i="59"/>
  <c r="B25" i="59"/>
  <c r="Z24" i="59"/>
  <c r="X24" i="59"/>
  <c r="N24" i="59"/>
  <c r="L24" i="59"/>
  <c r="J24" i="59"/>
  <c r="F24" i="59"/>
  <c r="B24" i="59"/>
  <c r="X23" i="59"/>
  <c r="Z23" i="59" s="1"/>
  <c r="R23" i="59"/>
  <c r="L23" i="59"/>
  <c r="N23" i="59" s="1"/>
  <c r="F23" i="59"/>
  <c r="B23" i="59"/>
  <c r="X22" i="59"/>
  <c r="Z22" i="59" s="1"/>
  <c r="R22" i="59"/>
  <c r="N22" i="59"/>
  <c r="L22" i="59"/>
  <c r="J22" i="59"/>
  <c r="B22" i="59"/>
  <c r="X21" i="59"/>
  <c r="Z21" i="59" s="1"/>
  <c r="R21" i="59"/>
  <c r="N21" i="59"/>
  <c r="L21" i="59"/>
  <c r="F21" i="59"/>
  <c r="B21" i="59"/>
  <c r="Z20" i="59"/>
  <c r="X20" i="59"/>
  <c r="N20" i="59"/>
  <c r="L20" i="59"/>
  <c r="J20" i="59"/>
  <c r="F20" i="59"/>
  <c r="B20" i="59"/>
  <c r="X19" i="59"/>
  <c r="T19" i="59"/>
  <c r="P19" i="59"/>
  <c r="H19" i="59"/>
  <c r="F19" i="59"/>
  <c r="D19" i="59"/>
  <c r="B19" i="59"/>
  <c r="Z18" i="59"/>
  <c r="X18" i="59"/>
  <c r="V18" i="59"/>
  <c r="T18" i="59"/>
  <c r="R18" i="59"/>
  <c r="P18" i="59"/>
  <c r="J18" i="59"/>
  <c r="H18" i="59"/>
  <c r="D18" i="59"/>
  <c r="L18" i="59" s="1"/>
  <c r="V16" i="59"/>
  <c r="R16" i="59"/>
  <c r="J16" i="59"/>
  <c r="Z14" i="59"/>
  <c r="X14" i="59"/>
  <c r="V14" i="59"/>
  <c r="T14" i="59"/>
  <c r="R14" i="59"/>
  <c r="P14" i="59"/>
  <c r="J14" i="59"/>
  <c r="H14" i="59"/>
  <c r="N14" i="59" s="1"/>
  <c r="D14" i="59"/>
  <c r="L14" i="59" s="1"/>
  <c r="Z12" i="59"/>
  <c r="T12" i="59"/>
  <c r="P12" i="59"/>
  <c r="R39" i="59" s="1"/>
  <c r="H12" i="59"/>
  <c r="J59" i="59" s="1"/>
  <c r="D12" i="59"/>
  <c r="F72" i="59" s="1"/>
  <c r="D6" i="59"/>
  <c r="D4" i="59"/>
  <c r="V80" i="58"/>
  <c r="R80" i="58"/>
  <c r="J80" i="58"/>
  <c r="V77" i="58"/>
  <c r="R77" i="58"/>
  <c r="J77" i="58"/>
  <c r="F77" i="58"/>
  <c r="D77" i="58"/>
  <c r="Z75" i="58"/>
  <c r="X75" i="58"/>
  <c r="V75" i="58"/>
  <c r="N75" i="58"/>
  <c r="L75" i="58"/>
  <c r="V73" i="58"/>
  <c r="J73" i="58"/>
  <c r="V71" i="58"/>
  <c r="T71" i="58"/>
  <c r="P71" i="58"/>
  <c r="N71" i="58"/>
  <c r="L71" i="58"/>
  <c r="J71" i="58"/>
  <c r="H71" i="58"/>
  <c r="D71" i="58"/>
  <c r="Z69" i="58"/>
  <c r="X69" i="58"/>
  <c r="V69" i="58"/>
  <c r="R69" i="58"/>
  <c r="N69" i="58"/>
  <c r="L69" i="58"/>
  <c r="J69" i="58"/>
  <c r="B69" i="58"/>
  <c r="T68" i="58"/>
  <c r="Z68" i="58" s="1"/>
  <c r="P68" i="58"/>
  <c r="X68" i="58" s="1"/>
  <c r="H68" i="58"/>
  <c r="N68" i="58" s="1"/>
  <c r="D68" i="58"/>
  <c r="B68" i="58"/>
  <c r="Z67" i="58"/>
  <c r="X67" i="58"/>
  <c r="V67" i="58"/>
  <c r="N67" i="58"/>
  <c r="L67" i="58"/>
  <c r="B67" i="58"/>
  <c r="X66" i="58"/>
  <c r="T66" i="58"/>
  <c r="P66" i="58"/>
  <c r="N66" i="58"/>
  <c r="J66" i="58"/>
  <c r="H66" i="58"/>
  <c r="D66" i="58"/>
  <c r="L66" i="58" s="1"/>
  <c r="B66" i="58"/>
  <c r="Z65" i="58"/>
  <c r="X65" i="58"/>
  <c r="N65" i="58"/>
  <c r="L65" i="58"/>
  <c r="J65" i="58"/>
  <c r="B65" i="58"/>
  <c r="T64" i="58"/>
  <c r="P64" i="58"/>
  <c r="H64" i="58"/>
  <c r="D64" i="58"/>
  <c r="B64" i="58"/>
  <c r="Z63" i="58"/>
  <c r="X63" i="58"/>
  <c r="V63" i="58"/>
  <c r="N63" i="58"/>
  <c r="L63" i="58"/>
  <c r="J63" i="58"/>
  <c r="B63" i="58"/>
  <c r="Z62" i="58"/>
  <c r="X62" i="58"/>
  <c r="V62" i="58"/>
  <c r="R62" i="58"/>
  <c r="L62" i="58"/>
  <c r="N62" i="58" s="1"/>
  <c r="B62" i="58"/>
  <c r="Z61" i="58"/>
  <c r="X61" i="58"/>
  <c r="V61" i="58"/>
  <c r="R61" i="58"/>
  <c r="L61" i="58"/>
  <c r="N61" i="58" s="1"/>
  <c r="J61" i="58"/>
  <c r="B61" i="58"/>
  <c r="T60" i="58"/>
  <c r="Z60" i="58" s="1"/>
  <c r="P60" i="58"/>
  <c r="X60" i="58" s="1"/>
  <c r="J60" i="58"/>
  <c r="H60" i="58"/>
  <c r="D60" i="58"/>
  <c r="B60" i="58"/>
  <c r="Z59" i="58"/>
  <c r="X59" i="58"/>
  <c r="V59" i="58"/>
  <c r="N59" i="58"/>
  <c r="L59" i="58"/>
  <c r="B59" i="58"/>
  <c r="X58" i="58"/>
  <c r="Z58" i="58" s="1"/>
  <c r="N58" i="58"/>
  <c r="L58" i="58"/>
  <c r="F58" i="58"/>
  <c r="B58" i="58"/>
  <c r="X57" i="58"/>
  <c r="V57" i="58"/>
  <c r="T57" i="58"/>
  <c r="Z57" i="58" s="1"/>
  <c r="R57" i="58"/>
  <c r="P57" i="58"/>
  <c r="N57" i="58"/>
  <c r="J57" i="58"/>
  <c r="H57" i="58"/>
  <c r="F57" i="58"/>
  <c r="D57" i="58"/>
  <c r="L57" i="58" s="1"/>
  <c r="B57" i="58"/>
  <c r="X56" i="58"/>
  <c r="Z56" i="58" s="1"/>
  <c r="R56" i="58"/>
  <c r="L56" i="58"/>
  <c r="N56" i="58" s="1"/>
  <c r="B56" i="58"/>
  <c r="X55" i="58"/>
  <c r="Z55" i="58" s="1"/>
  <c r="N55" i="58"/>
  <c r="L55" i="58"/>
  <c r="J55" i="58"/>
  <c r="B55" i="58"/>
  <c r="T54" i="58"/>
  <c r="R54" i="58"/>
  <c r="P54" i="58"/>
  <c r="L54" i="58"/>
  <c r="H54" i="58"/>
  <c r="D54" i="58"/>
  <c r="B54" i="58"/>
  <c r="Z53" i="58"/>
  <c r="X53" i="58"/>
  <c r="V53" i="58"/>
  <c r="R53" i="58"/>
  <c r="N53" i="58"/>
  <c r="L53" i="58"/>
  <c r="J53" i="58"/>
  <c r="B53" i="58"/>
  <c r="X52" i="58"/>
  <c r="Z52" i="58" s="1"/>
  <c r="N52" i="58"/>
  <c r="L52" i="58"/>
  <c r="J52" i="58"/>
  <c r="B52" i="58"/>
  <c r="Z51" i="58"/>
  <c r="X51" i="58"/>
  <c r="V51" i="58"/>
  <c r="N51" i="58"/>
  <c r="L51" i="58"/>
  <c r="J51" i="58"/>
  <c r="B51" i="58"/>
  <c r="V50" i="58"/>
  <c r="T50" i="58"/>
  <c r="P50" i="58"/>
  <c r="H50" i="58"/>
  <c r="N50" i="58" s="1"/>
  <c r="D50" i="58"/>
  <c r="L50" i="58" s="1"/>
  <c r="B50" i="58"/>
  <c r="X49" i="58"/>
  <c r="Z49" i="58" s="1"/>
  <c r="V49" i="58"/>
  <c r="N49" i="58"/>
  <c r="L49" i="58"/>
  <c r="J49" i="58"/>
  <c r="B49" i="58"/>
  <c r="V48" i="58"/>
  <c r="T48" i="58"/>
  <c r="P48" i="58"/>
  <c r="X48" i="58" s="1"/>
  <c r="Z48" i="58" s="1"/>
  <c r="L48" i="58"/>
  <c r="H48" i="58"/>
  <c r="D48" i="58"/>
  <c r="B48" i="58"/>
  <c r="X47" i="58"/>
  <c r="Z47" i="58" s="1"/>
  <c r="N47" i="58"/>
  <c r="L47" i="58"/>
  <c r="J47" i="58"/>
  <c r="B47" i="58"/>
  <c r="T46" i="58"/>
  <c r="R46" i="58"/>
  <c r="P46" i="58"/>
  <c r="L46" i="58"/>
  <c r="H46" i="58"/>
  <c r="N46" i="58" s="1"/>
  <c r="D46" i="58"/>
  <c r="B46" i="58"/>
  <c r="Z45" i="58"/>
  <c r="X45" i="58"/>
  <c r="V45" i="58"/>
  <c r="R45" i="58"/>
  <c r="L45" i="58"/>
  <c r="N45" i="58" s="1"/>
  <c r="J45" i="58"/>
  <c r="B45" i="58"/>
  <c r="T44" i="58"/>
  <c r="Z44" i="58" s="1"/>
  <c r="P44" i="58"/>
  <c r="X44" i="58" s="1"/>
  <c r="J44" i="58"/>
  <c r="H44" i="58"/>
  <c r="N44" i="58" s="1"/>
  <c r="D44" i="58"/>
  <c r="L44" i="58" s="1"/>
  <c r="B44" i="58"/>
  <c r="Z43" i="58"/>
  <c r="X43" i="58"/>
  <c r="V43" i="58"/>
  <c r="L43" i="58"/>
  <c r="N43" i="58" s="1"/>
  <c r="B43" i="58"/>
  <c r="X42" i="58"/>
  <c r="T42" i="58"/>
  <c r="P42" i="58"/>
  <c r="L42" i="58"/>
  <c r="N42" i="58" s="1"/>
  <c r="J42" i="58"/>
  <c r="H42" i="58"/>
  <c r="D42" i="58"/>
  <c r="B42" i="58"/>
  <c r="Z41" i="58"/>
  <c r="X41" i="58"/>
  <c r="V41" i="58"/>
  <c r="N41" i="58"/>
  <c r="L41" i="58"/>
  <c r="J41" i="58"/>
  <c r="F41" i="58"/>
  <c r="B41" i="58"/>
  <c r="X40" i="58"/>
  <c r="T40" i="58"/>
  <c r="P40" i="58"/>
  <c r="H40" i="58"/>
  <c r="D40" i="58"/>
  <c r="B40" i="58"/>
  <c r="Z39" i="58"/>
  <c r="X39" i="58"/>
  <c r="V39" i="58"/>
  <c r="N39" i="58"/>
  <c r="L39" i="58"/>
  <c r="J39" i="58"/>
  <c r="B39" i="58"/>
  <c r="V38" i="58"/>
  <c r="T38" i="58"/>
  <c r="P38" i="58"/>
  <c r="H38" i="58"/>
  <c r="D38" i="58"/>
  <c r="L38" i="58" s="1"/>
  <c r="B38" i="58"/>
  <c r="X37" i="58"/>
  <c r="Z37" i="58" s="1"/>
  <c r="V37" i="58"/>
  <c r="N37" i="58"/>
  <c r="L37" i="58"/>
  <c r="J37" i="58"/>
  <c r="B37" i="58"/>
  <c r="V36" i="58"/>
  <c r="T36" i="58"/>
  <c r="P36" i="58"/>
  <c r="X36" i="58" s="1"/>
  <c r="Z36" i="58" s="1"/>
  <c r="L36" i="58"/>
  <c r="H36" i="58"/>
  <c r="D36" i="58"/>
  <c r="B36" i="58"/>
  <c r="X35" i="58"/>
  <c r="Z35" i="58" s="1"/>
  <c r="N35" i="58"/>
  <c r="L35" i="58"/>
  <c r="J35" i="58"/>
  <c r="B35" i="58"/>
  <c r="X34" i="58"/>
  <c r="Z34" i="58" s="1"/>
  <c r="R34" i="58"/>
  <c r="N34" i="58"/>
  <c r="L34" i="58"/>
  <c r="J34" i="58"/>
  <c r="F34" i="58"/>
  <c r="B34" i="58"/>
  <c r="Z33" i="58"/>
  <c r="X33" i="58"/>
  <c r="V33" i="58"/>
  <c r="N33" i="58"/>
  <c r="L33" i="58"/>
  <c r="J33" i="58"/>
  <c r="F33" i="58"/>
  <c r="B33" i="58"/>
  <c r="Z32" i="58"/>
  <c r="X32" i="58"/>
  <c r="R32" i="58"/>
  <c r="N32" i="58"/>
  <c r="L32" i="58"/>
  <c r="B32" i="58"/>
  <c r="Z31" i="58"/>
  <c r="X31" i="58"/>
  <c r="N31" i="58"/>
  <c r="L31" i="58"/>
  <c r="J31" i="58"/>
  <c r="B31" i="58"/>
  <c r="T30" i="58"/>
  <c r="R30" i="58"/>
  <c r="P30" i="58"/>
  <c r="H30" i="58"/>
  <c r="D30" i="58"/>
  <c r="B30" i="58"/>
  <c r="Z29" i="58"/>
  <c r="X29" i="58"/>
  <c r="V29" i="58"/>
  <c r="R29" i="58"/>
  <c r="L29" i="58"/>
  <c r="N29" i="58" s="1"/>
  <c r="J29" i="58"/>
  <c r="B29" i="58"/>
  <c r="X28" i="58"/>
  <c r="Z28" i="58" s="1"/>
  <c r="R28" i="58"/>
  <c r="L28" i="58"/>
  <c r="N28" i="58" s="1"/>
  <c r="J28" i="58"/>
  <c r="B28" i="58"/>
  <c r="Z27" i="58"/>
  <c r="X27" i="58"/>
  <c r="V27" i="58"/>
  <c r="N27" i="58"/>
  <c r="L27" i="58"/>
  <c r="J27" i="58"/>
  <c r="B27" i="58"/>
  <c r="Z26" i="58"/>
  <c r="X26" i="58"/>
  <c r="V26" i="58"/>
  <c r="R26" i="58"/>
  <c r="L26" i="58"/>
  <c r="N26" i="58" s="1"/>
  <c r="B26" i="58"/>
  <c r="Z25" i="58"/>
  <c r="X25" i="58"/>
  <c r="V25" i="58"/>
  <c r="R25" i="58"/>
  <c r="N25" i="58"/>
  <c r="L25" i="58"/>
  <c r="J25" i="58"/>
  <c r="B25" i="58"/>
  <c r="X24" i="58"/>
  <c r="Z24" i="58" s="1"/>
  <c r="R24" i="58"/>
  <c r="L24" i="58"/>
  <c r="N24" i="58" s="1"/>
  <c r="J24" i="58"/>
  <c r="B24" i="58"/>
  <c r="Z23" i="58"/>
  <c r="X23" i="58"/>
  <c r="V23" i="58"/>
  <c r="N23" i="58"/>
  <c r="L23" i="58"/>
  <c r="J23" i="58"/>
  <c r="B23" i="58"/>
  <c r="Z22" i="58"/>
  <c r="X22" i="58"/>
  <c r="V22" i="58"/>
  <c r="R22" i="58"/>
  <c r="L22" i="58"/>
  <c r="N22" i="58" s="1"/>
  <c r="B22" i="58"/>
  <c r="Z21" i="58"/>
  <c r="X21" i="58"/>
  <c r="V21" i="58"/>
  <c r="R21" i="58"/>
  <c r="L21" i="58"/>
  <c r="N21" i="58" s="1"/>
  <c r="J21" i="58"/>
  <c r="B21" i="58"/>
  <c r="X20" i="58"/>
  <c r="Z20" i="58" s="1"/>
  <c r="R20" i="58"/>
  <c r="L20" i="58"/>
  <c r="N20" i="58" s="1"/>
  <c r="J20" i="58"/>
  <c r="B20" i="58"/>
  <c r="Z19" i="58"/>
  <c r="V19" i="58"/>
  <c r="T19" i="58"/>
  <c r="P19" i="58"/>
  <c r="X19" i="58" s="1"/>
  <c r="J19" i="58"/>
  <c r="H19" i="58"/>
  <c r="D19" i="58"/>
  <c r="L19" i="58" s="1"/>
  <c r="B19" i="58"/>
  <c r="X18" i="58"/>
  <c r="T18" i="58"/>
  <c r="P18" i="58"/>
  <c r="J18" i="58"/>
  <c r="H18" i="58"/>
  <c r="D18" i="58"/>
  <c r="L18" i="58" s="1"/>
  <c r="P16" i="58"/>
  <c r="J16" i="58"/>
  <c r="D16" i="58"/>
  <c r="D73" i="58" s="1"/>
  <c r="T14" i="58"/>
  <c r="T16" i="58" s="1"/>
  <c r="Z16" i="58" s="1"/>
  <c r="P14" i="58"/>
  <c r="X14" i="58" s="1"/>
  <c r="J14" i="58"/>
  <c r="H14" i="58"/>
  <c r="N14" i="58" s="1"/>
  <c r="D14" i="58"/>
  <c r="L14" i="58" s="1"/>
  <c r="Z12" i="58"/>
  <c r="X12" i="58"/>
  <c r="T12" i="58"/>
  <c r="V66" i="58" s="1"/>
  <c r="P12" i="58"/>
  <c r="R64" i="58" s="1"/>
  <c r="N12" i="58"/>
  <c r="H12" i="58"/>
  <c r="J62" i="58" s="1"/>
  <c r="D12" i="58"/>
  <c r="F80" i="58" s="1"/>
  <c r="D6" i="58"/>
  <c r="D4" i="58"/>
  <c r="Z74" i="57"/>
  <c r="X74" i="57"/>
  <c r="R74" i="57"/>
  <c r="N74" i="57"/>
  <c r="L74" i="57"/>
  <c r="V72" i="57"/>
  <c r="T70" i="57"/>
  <c r="Z70" i="57" s="1"/>
  <c r="P70" i="57"/>
  <c r="X70" i="57" s="1"/>
  <c r="H70" i="57"/>
  <c r="N70" i="57" s="1"/>
  <c r="D70" i="57"/>
  <c r="L70" i="57" s="1"/>
  <c r="X68" i="57"/>
  <c r="Z68" i="57" s="1"/>
  <c r="V68" i="57"/>
  <c r="N68" i="57"/>
  <c r="L68" i="57"/>
  <c r="B68" i="57"/>
  <c r="T67" i="57"/>
  <c r="R67" i="57"/>
  <c r="P67" i="57"/>
  <c r="X67" i="57" s="1"/>
  <c r="Z67" i="57" s="1"/>
  <c r="N67" i="57"/>
  <c r="L67" i="57"/>
  <c r="H67" i="57"/>
  <c r="D67" i="57"/>
  <c r="B67" i="57"/>
  <c r="X66" i="57"/>
  <c r="Z66" i="57" s="1"/>
  <c r="N66" i="57"/>
  <c r="L66" i="57"/>
  <c r="B66" i="57"/>
  <c r="Z65" i="57"/>
  <c r="X65" i="57"/>
  <c r="T65" i="57"/>
  <c r="P65" i="57"/>
  <c r="N65" i="57"/>
  <c r="L65" i="57"/>
  <c r="H65" i="57"/>
  <c r="D65" i="57"/>
  <c r="B65" i="57"/>
  <c r="X64" i="57"/>
  <c r="Z64" i="57" s="1"/>
  <c r="R64" i="57"/>
  <c r="L64" i="57"/>
  <c r="N64" i="57" s="1"/>
  <c r="J64" i="57"/>
  <c r="B64" i="57"/>
  <c r="T63" i="57"/>
  <c r="X63" i="57" s="1"/>
  <c r="Z63" i="57" s="1"/>
  <c r="P63" i="57"/>
  <c r="H63" i="57"/>
  <c r="D63" i="57"/>
  <c r="B63" i="57"/>
  <c r="X62" i="57"/>
  <c r="Z62" i="57" s="1"/>
  <c r="N62" i="57"/>
  <c r="L62" i="57"/>
  <c r="B62" i="57"/>
  <c r="X61" i="57"/>
  <c r="Z61" i="57" s="1"/>
  <c r="N61" i="57"/>
  <c r="L61" i="57"/>
  <c r="B61" i="57"/>
  <c r="X60" i="57"/>
  <c r="Z60" i="57" s="1"/>
  <c r="V60" i="57"/>
  <c r="N60" i="57"/>
  <c r="L60" i="57"/>
  <c r="B60" i="57"/>
  <c r="T59" i="57"/>
  <c r="P59" i="57"/>
  <c r="X59" i="57" s="1"/>
  <c r="Z59" i="57" s="1"/>
  <c r="H59" i="57"/>
  <c r="D59" i="57"/>
  <c r="L59" i="57" s="1"/>
  <c r="N59" i="57" s="1"/>
  <c r="B59" i="57"/>
  <c r="Z58" i="57"/>
  <c r="X58" i="57"/>
  <c r="N58" i="57"/>
  <c r="L58" i="57"/>
  <c r="B58" i="57"/>
  <c r="Z57" i="57"/>
  <c r="X57" i="57"/>
  <c r="T57" i="57"/>
  <c r="R57" i="57"/>
  <c r="P57" i="57"/>
  <c r="N57" i="57"/>
  <c r="L57" i="57"/>
  <c r="H57" i="57"/>
  <c r="D57" i="57"/>
  <c r="B57" i="57"/>
  <c r="Z56" i="57"/>
  <c r="X56" i="57"/>
  <c r="R56" i="57"/>
  <c r="L56" i="57"/>
  <c r="N56" i="57" s="1"/>
  <c r="J56" i="57"/>
  <c r="B56" i="57"/>
  <c r="Z55" i="57"/>
  <c r="T55" i="57"/>
  <c r="X55" i="57" s="1"/>
  <c r="P55" i="57"/>
  <c r="H55" i="57"/>
  <c r="N55" i="57" s="1"/>
  <c r="D55" i="57"/>
  <c r="L55" i="57" s="1"/>
  <c r="B55" i="57"/>
  <c r="Z54" i="57"/>
  <c r="X54" i="57"/>
  <c r="N54" i="57"/>
  <c r="L54" i="57"/>
  <c r="B54" i="57"/>
  <c r="X53" i="57"/>
  <c r="Z53" i="57" s="1"/>
  <c r="N53" i="57"/>
  <c r="L53" i="57"/>
  <c r="B53" i="57"/>
  <c r="X52" i="57"/>
  <c r="Z52" i="57" s="1"/>
  <c r="N52" i="57"/>
  <c r="L52" i="57"/>
  <c r="B52" i="57"/>
  <c r="T51" i="57"/>
  <c r="P51" i="57"/>
  <c r="X51" i="57" s="1"/>
  <c r="Z51" i="57" s="1"/>
  <c r="H51" i="57"/>
  <c r="N51" i="57" s="1"/>
  <c r="D51" i="57"/>
  <c r="L51" i="57" s="1"/>
  <c r="B51" i="57"/>
  <c r="X50" i="57"/>
  <c r="Z50" i="57" s="1"/>
  <c r="R50" i="57"/>
  <c r="N50" i="57"/>
  <c r="L50" i="57"/>
  <c r="B50" i="57"/>
  <c r="X49" i="57"/>
  <c r="Z49" i="57" s="1"/>
  <c r="V49" i="57"/>
  <c r="T49" i="57"/>
  <c r="P49" i="57"/>
  <c r="N49" i="57"/>
  <c r="L49" i="57"/>
  <c r="H49" i="57"/>
  <c r="D49" i="57"/>
  <c r="B49" i="57"/>
  <c r="X48" i="57"/>
  <c r="Z48" i="57" s="1"/>
  <c r="R48" i="57"/>
  <c r="L48" i="57"/>
  <c r="N48" i="57" s="1"/>
  <c r="B48" i="57"/>
  <c r="Z47" i="57"/>
  <c r="V47" i="57"/>
  <c r="T47" i="57"/>
  <c r="X47" i="57" s="1"/>
  <c r="P47" i="57"/>
  <c r="H47" i="57"/>
  <c r="N47" i="57" s="1"/>
  <c r="D47" i="57"/>
  <c r="L47" i="57" s="1"/>
  <c r="B47" i="57"/>
  <c r="X46" i="57"/>
  <c r="Z46" i="57" s="1"/>
  <c r="V46" i="57"/>
  <c r="R46" i="57"/>
  <c r="N46" i="57"/>
  <c r="L46" i="57"/>
  <c r="B46" i="57"/>
  <c r="T45" i="57"/>
  <c r="R45" i="57"/>
  <c r="P45" i="57"/>
  <c r="X45" i="57" s="1"/>
  <c r="N45" i="57"/>
  <c r="H45" i="57"/>
  <c r="D45" i="57"/>
  <c r="L45" i="57" s="1"/>
  <c r="B45" i="57"/>
  <c r="X44" i="57"/>
  <c r="Z44" i="57" s="1"/>
  <c r="N44" i="57"/>
  <c r="L44" i="57"/>
  <c r="B44" i="57"/>
  <c r="Z43" i="57"/>
  <c r="X43" i="57"/>
  <c r="T43" i="57"/>
  <c r="R43" i="57"/>
  <c r="P43" i="57"/>
  <c r="N43" i="57"/>
  <c r="L43" i="57"/>
  <c r="H43" i="57"/>
  <c r="D43" i="57"/>
  <c r="B43" i="57"/>
  <c r="Z42" i="57"/>
  <c r="X42" i="57"/>
  <c r="R42" i="57"/>
  <c r="L42" i="57"/>
  <c r="N42" i="57" s="1"/>
  <c r="J42" i="57"/>
  <c r="B42" i="57"/>
  <c r="T41" i="57"/>
  <c r="Z41" i="57" s="1"/>
  <c r="P41" i="57"/>
  <c r="X41" i="57" s="1"/>
  <c r="N41" i="57"/>
  <c r="H41" i="57"/>
  <c r="L41" i="57" s="1"/>
  <c r="D41" i="57"/>
  <c r="B41" i="57"/>
  <c r="X40" i="57"/>
  <c r="Z40" i="57" s="1"/>
  <c r="N40" i="57"/>
  <c r="L40" i="57"/>
  <c r="B40" i="57"/>
  <c r="T39" i="57"/>
  <c r="R39" i="57"/>
  <c r="P39" i="57"/>
  <c r="X39" i="57" s="1"/>
  <c r="Z39" i="57" s="1"/>
  <c r="L39" i="57"/>
  <c r="H39" i="57"/>
  <c r="N39" i="57" s="1"/>
  <c r="D39" i="57"/>
  <c r="B39" i="57"/>
  <c r="X38" i="57"/>
  <c r="Z38" i="57" s="1"/>
  <c r="R38" i="57"/>
  <c r="N38" i="57"/>
  <c r="L38" i="57"/>
  <c r="J38" i="57"/>
  <c r="B38" i="57"/>
  <c r="Z37" i="57"/>
  <c r="X37" i="57"/>
  <c r="T37" i="57"/>
  <c r="P37" i="57"/>
  <c r="N37" i="57"/>
  <c r="L37" i="57"/>
  <c r="H37" i="57"/>
  <c r="D37" i="57"/>
  <c r="B37" i="57"/>
  <c r="Z36" i="57"/>
  <c r="X36" i="57"/>
  <c r="N36" i="57"/>
  <c r="L36" i="57"/>
  <c r="B36" i="57"/>
  <c r="T35" i="57"/>
  <c r="R35" i="57"/>
  <c r="P35" i="57"/>
  <c r="N35" i="57"/>
  <c r="H35" i="57"/>
  <c r="D35" i="57"/>
  <c r="L35" i="57" s="1"/>
  <c r="B35" i="57"/>
  <c r="X34" i="57"/>
  <c r="Z34" i="57" s="1"/>
  <c r="V34" i="57"/>
  <c r="R34" i="57"/>
  <c r="L34" i="57"/>
  <c r="N34" i="57" s="1"/>
  <c r="B34" i="57"/>
  <c r="X33" i="57"/>
  <c r="Z33" i="57" s="1"/>
  <c r="N33" i="57"/>
  <c r="L33" i="57"/>
  <c r="B33" i="57"/>
  <c r="X32" i="57"/>
  <c r="Z32" i="57" s="1"/>
  <c r="V32" i="57"/>
  <c r="N32" i="57"/>
  <c r="L32" i="57"/>
  <c r="B32" i="57"/>
  <c r="Z31" i="57"/>
  <c r="X31" i="57"/>
  <c r="L31" i="57"/>
  <c r="N31" i="57" s="1"/>
  <c r="B31" i="57"/>
  <c r="Z30" i="57"/>
  <c r="X30" i="57"/>
  <c r="R30" i="57"/>
  <c r="N30" i="57"/>
  <c r="L30" i="57"/>
  <c r="B30" i="57"/>
  <c r="X29" i="57"/>
  <c r="Z29" i="57" s="1"/>
  <c r="L29" i="57"/>
  <c r="N29" i="57" s="1"/>
  <c r="B29" i="57"/>
  <c r="V28" i="57"/>
  <c r="T28" i="57"/>
  <c r="R28" i="57"/>
  <c r="P28" i="57"/>
  <c r="X28" i="57" s="1"/>
  <c r="L28" i="57"/>
  <c r="H28" i="57"/>
  <c r="D28" i="57"/>
  <c r="B28" i="57"/>
  <c r="Z27" i="57"/>
  <c r="X27" i="57"/>
  <c r="N27" i="57"/>
  <c r="L27" i="57"/>
  <c r="J27" i="57"/>
  <c r="B27" i="57"/>
  <c r="X26" i="57"/>
  <c r="Z26" i="57" s="1"/>
  <c r="R26" i="57"/>
  <c r="N26" i="57"/>
  <c r="L26" i="57"/>
  <c r="B26" i="57"/>
  <c r="Z25" i="57"/>
  <c r="X25" i="57"/>
  <c r="V25" i="57"/>
  <c r="N25" i="57"/>
  <c r="L25" i="57"/>
  <c r="B25" i="57"/>
  <c r="X24" i="57"/>
  <c r="Z24" i="57" s="1"/>
  <c r="R24" i="57"/>
  <c r="L24" i="57"/>
  <c r="N24" i="57" s="1"/>
  <c r="B24" i="57"/>
  <c r="X23" i="57"/>
  <c r="Z23" i="57" s="1"/>
  <c r="N23" i="57"/>
  <c r="L23" i="57"/>
  <c r="B23" i="57"/>
  <c r="X22" i="57"/>
  <c r="Z22" i="57" s="1"/>
  <c r="R22" i="57"/>
  <c r="N22" i="57"/>
  <c r="L22" i="57"/>
  <c r="B22" i="57"/>
  <c r="Z21" i="57"/>
  <c r="X21" i="57"/>
  <c r="V21" i="57"/>
  <c r="N21" i="57"/>
  <c r="L21" i="57"/>
  <c r="F21" i="57"/>
  <c r="B21" i="57"/>
  <c r="Z20" i="57"/>
  <c r="X20" i="57"/>
  <c r="R20" i="57"/>
  <c r="L20" i="57"/>
  <c r="N20" i="57" s="1"/>
  <c r="B20" i="57"/>
  <c r="Z19" i="57"/>
  <c r="X19" i="57"/>
  <c r="T19" i="57"/>
  <c r="R19" i="57"/>
  <c r="P19" i="57"/>
  <c r="N19" i="57"/>
  <c r="L19" i="57"/>
  <c r="H19" i="57"/>
  <c r="D19" i="57"/>
  <c r="B19" i="57"/>
  <c r="T18" i="57"/>
  <c r="P18" i="57"/>
  <c r="X18" i="57" s="1"/>
  <c r="Z18" i="57" s="1"/>
  <c r="L18" i="57"/>
  <c r="N18" i="57" s="1"/>
  <c r="H18" i="57"/>
  <c r="D18" i="57"/>
  <c r="P16" i="57"/>
  <c r="Z14" i="57"/>
  <c r="V14" i="57"/>
  <c r="T14" i="57"/>
  <c r="P14" i="57"/>
  <c r="X14" i="57" s="1"/>
  <c r="H14" i="57"/>
  <c r="N14" i="57" s="1"/>
  <c r="D14" i="57"/>
  <c r="L14" i="57" s="1"/>
  <c r="Z12" i="57"/>
  <c r="T12" i="57"/>
  <c r="V52" i="57" s="1"/>
  <c r="P12" i="57"/>
  <c r="H12" i="57"/>
  <c r="D12" i="57"/>
  <c r="F32" i="57" s="1"/>
  <c r="D6" i="57"/>
  <c r="D4" i="57"/>
  <c r="V78" i="56"/>
  <c r="Z76" i="56"/>
  <c r="X76" i="56"/>
  <c r="N76" i="56"/>
  <c r="L76" i="56"/>
  <c r="J76" i="56"/>
  <c r="J74" i="56"/>
  <c r="Z72" i="56"/>
  <c r="X72" i="56"/>
  <c r="T72" i="56"/>
  <c r="P72" i="56"/>
  <c r="H72" i="56"/>
  <c r="N72" i="56" s="1"/>
  <c r="D72" i="56"/>
  <c r="L72" i="56" s="1"/>
  <c r="Z70" i="56"/>
  <c r="X70" i="56"/>
  <c r="N70" i="56"/>
  <c r="L70" i="56"/>
  <c r="B70" i="56"/>
  <c r="X69" i="56"/>
  <c r="Z69" i="56" s="1"/>
  <c r="N69" i="56"/>
  <c r="L69" i="56"/>
  <c r="B69" i="56"/>
  <c r="V68" i="56"/>
  <c r="T68" i="56"/>
  <c r="P68" i="56"/>
  <c r="H68" i="56"/>
  <c r="N68" i="56" s="1"/>
  <c r="D68" i="56"/>
  <c r="L68" i="56" s="1"/>
  <c r="B68" i="56"/>
  <c r="X67" i="56"/>
  <c r="Z67" i="56" s="1"/>
  <c r="V67" i="56"/>
  <c r="R67" i="56"/>
  <c r="N67" i="56"/>
  <c r="L67" i="56"/>
  <c r="B67" i="56"/>
  <c r="V66" i="56"/>
  <c r="T66" i="56"/>
  <c r="P66" i="56"/>
  <c r="X66" i="56" s="1"/>
  <c r="N66" i="56"/>
  <c r="L66" i="56"/>
  <c r="H66" i="56"/>
  <c r="D66" i="56"/>
  <c r="B66" i="56"/>
  <c r="X65" i="56"/>
  <c r="Z65" i="56" s="1"/>
  <c r="V65" i="56"/>
  <c r="L65" i="56"/>
  <c r="N65" i="56" s="1"/>
  <c r="J65" i="56"/>
  <c r="F65" i="56"/>
  <c r="B65" i="56"/>
  <c r="T64" i="56"/>
  <c r="P64" i="56"/>
  <c r="X64" i="56" s="1"/>
  <c r="H64" i="56"/>
  <c r="F64" i="56"/>
  <c r="D64" i="56"/>
  <c r="L64" i="56" s="1"/>
  <c r="B64" i="56"/>
  <c r="Z63" i="56"/>
  <c r="X63" i="56"/>
  <c r="L63" i="56"/>
  <c r="N63" i="56" s="1"/>
  <c r="B63" i="56"/>
  <c r="X62" i="56"/>
  <c r="Z62" i="56" s="1"/>
  <c r="V62" i="56"/>
  <c r="L62" i="56"/>
  <c r="N62" i="56" s="1"/>
  <c r="B62" i="56"/>
  <c r="Z61" i="56"/>
  <c r="X61" i="56"/>
  <c r="V61" i="56"/>
  <c r="N61" i="56"/>
  <c r="L61" i="56"/>
  <c r="B61" i="56"/>
  <c r="X60" i="56"/>
  <c r="Z60" i="56" s="1"/>
  <c r="V60" i="56"/>
  <c r="N60" i="56"/>
  <c r="L60" i="56"/>
  <c r="J60" i="56"/>
  <c r="F60" i="56"/>
  <c r="B60" i="56"/>
  <c r="T59" i="56"/>
  <c r="P59" i="56"/>
  <c r="X59" i="56" s="1"/>
  <c r="Z59" i="56" s="1"/>
  <c r="J59" i="56"/>
  <c r="H59" i="56"/>
  <c r="N59" i="56" s="1"/>
  <c r="F59" i="56"/>
  <c r="D59" i="56"/>
  <c r="L59" i="56" s="1"/>
  <c r="B59" i="56"/>
  <c r="X58" i="56"/>
  <c r="Z58" i="56" s="1"/>
  <c r="N58" i="56"/>
  <c r="L58" i="56"/>
  <c r="F58" i="56"/>
  <c r="B58" i="56"/>
  <c r="Z57" i="56"/>
  <c r="X57" i="56"/>
  <c r="V57" i="56"/>
  <c r="T57" i="56"/>
  <c r="P57" i="56"/>
  <c r="N57" i="56"/>
  <c r="H57" i="56"/>
  <c r="F57" i="56"/>
  <c r="D57" i="56"/>
  <c r="L57" i="56" s="1"/>
  <c r="B57" i="56"/>
  <c r="X56" i="56"/>
  <c r="Z56" i="56" s="1"/>
  <c r="N56" i="56"/>
  <c r="L56" i="56"/>
  <c r="J56" i="56"/>
  <c r="B56" i="56"/>
  <c r="Z55" i="56"/>
  <c r="X55" i="56"/>
  <c r="V55" i="56"/>
  <c r="N55" i="56"/>
  <c r="L55" i="56"/>
  <c r="B55" i="56"/>
  <c r="Z54" i="56"/>
  <c r="X54" i="56"/>
  <c r="N54" i="56"/>
  <c r="L54" i="56"/>
  <c r="B54" i="56"/>
  <c r="V53" i="56"/>
  <c r="T53" i="56"/>
  <c r="P53" i="56"/>
  <c r="N53" i="56"/>
  <c r="L53" i="56"/>
  <c r="J53" i="56"/>
  <c r="H53" i="56"/>
  <c r="D53" i="56"/>
  <c r="B53" i="56"/>
  <c r="X52" i="56"/>
  <c r="Z52" i="56" s="1"/>
  <c r="V52" i="56"/>
  <c r="N52" i="56"/>
  <c r="L52" i="56"/>
  <c r="J52" i="56"/>
  <c r="F52" i="56"/>
  <c r="B52" i="56"/>
  <c r="Z51" i="56"/>
  <c r="X51" i="56"/>
  <c r="V51" i="56"/>
  <c r="N51" i="56"/>
  <c r="L51" i="56"/>
  <c r="B51" i="56"/>
  <c r="X50" i="56"/>
  <c r="Z50" i="56" s="1"/>
  <c r="V50" i="56"/>
  <c r="N50" i="56"/>
  <c r="L50" i="56"/>
  <c r="B50" i="56"/>
  <c r="V49" i="56"/>
  <c r="T49" i="56"/>
  <c r="P49" i="56"/>
  <c r="X49" i="56" s="1"/>
  <c r="N49" i="56"/>
  <c r="H49" i="56"/>
  <c r="D49" i="56"/>
  <c r="L49" i="56" s="1"/>
  <c r="B49" i="56"/>
  <c r="X48" i="56"/>
  <c r="Z48" i="56" s="1"/>
  <c r="V48" i="56"/>
  <c r="R48" i="56"/>
  <c r="L48" i="56"/>
  <c r="N48" i="56" s="1"/>
  <c r="B48" i="56"/>
  <c r="X47" i="56"/>
  <c r="Z47" i="56" s="1"/>
  <c r="V47" i="56"/>
  <c r="T47" i="56"/>
  <c r="P47" i="56"/>
  <c r="N47" i="56"/>
  <c r="L47" i="56"/>
  <c r="H47" i="56"/>
  <c r="D47" i="56"/>
  <c r="B47" i="56"/>
  <c r="Z46" i="56"/>
  <c r="X46" i="56"/>
  <c r="R46" i="56"/>
  <c r="L46" i="56"/>
  <c r="N46" i="56" s="1"/>
  <c r="B46" i="56"/>
  <c r="V45" i="56"/>
  <c r="T45" i="56"/>
  <c r="P45" i="56"/>
  <c r="N45" i="56"/>
  <c r="L45" i="56"/>
  <c r="J45" i="56"/>
  <c r="H45" i="56"/>
  <c r="D45" i="56"/>
  <c r="B45" i="56"/>
  <c r="X44" i="56"/>
  <c r="Z44" i="56" s="1"/>
  <c r="V44" i="56"/>
  <c r="L44" i="56"/>
  <c r="N44" i="56" s="1"/>
  <c r="J44" i="56"/>
  <c r="F44" i="56"/>
  <c r="B44" i="56"/>
  <c r="V43" i="56"/>
  <c r="T43" i="56"/>
  <c r="P43" i="56"/>
  <c r="X43" i="56" s="1"/>
  <c r="Z43" i="56" s="1"/>
  <c r="J43" i="56"/>
  <c r="H43" i="56"/>
  <c r="F43" i="56"/>
  <c r="D43" i="56"/>
  <c r="L43" i="56" s="1"/>
  <c r="B43" i="56"/>
  <c r="X42" i="56"/>
  <c r="Z42" i="56" s="1"/>
  <c r="N42" i="56"/>
  <c r="L42" i="56"/>
  <c r="F42" i="56"/>
  <c r="B42" i="56"/>
  <c r="Z41" i="56"/>
  <c r="X41" i="56"/>
  <c r="V41" i="56"/>
  <c r="T41" i="56"/>
  <c r="P41" i="56"/>
  <c r="L41" i="56"/>
  <c r="N41" i="56" s="1"/>
  <c r="H41" i="56"/>
  <c r="F41" i="56"/>
  <c r="D41" i="56"/>
  <c r="B41" i="56"/>
  <c r="X40" i="56"/>
  <c r="Z40" i="56" s="1"/>
  <c r="N40" i="56"/>
  <c r="L40" i="56"/>
  <c r="J40" i="56"/>
  <c r="B40" i="56"/>
  <c r="Z39" i="56"/>
  <c r="X39" i="56"/>
  <c r="V39" i="56"/>
  <c r="T39" i="56"/>
  <c r="P39" i="56"/>
  <c r="J39" i="56"/>
  <c r="H39" i="56"/>
  <c r="N39" i="56" s="1"/>
  <c r="D39" i="56"/>
  <c r="B39" i="56"/>
  <c r="X38" i="56"/>
  <c r="Z38" i="56" s="1"/>
  <c r="V38" i="56"/>
  <c r="L38" i="56"/>
  <c r="N38" i="56" s="1"/>
  <c r="B38" i="56"/>
  <c r="V37" i="56"/>
  <c r="T37" i="56"/>
  <c r="P37" i="56"/>
  <c r="X37" i="56" s="1"/>
  <c r="H37" i="56"/>
  <c r="D37" i="56"/>
  <c r="L37" i="56" s="1"/>
  <c r="N37" i="56" s="1"/>
  <c r="B37" i="56"/>
  <c r="X36" i="56"/>
  <c r="Z36" i="56" s="1"/>
  <c r="V36" i="56"/>
  <c r="R36" i="56"/>
  <c r="L36" i="56"/>
  <c r="N36" i="56" s="1"/>
  <c r="B36" i="56"/>
  <c r="X35" i="56"/>
  <c r="Z35" i="56" s="1"/>
  <c r="V35" i="56"/>
  <c r="T35" i="56"/>
  <c r="R35" i="56"/>
  <c r="P35" i="56"/>
  <c r="N35" i="56"/>
  <c r="L35" i="56"/>
  <c r="H35" i="56"/>
  <c r="D35" i="56"/>
  <c r="B35" i="56"/>
  <c r="Z34" i="56"/>
  <c r="X34" i="56"/>
  <c r="L34" i="56"/>
  <c r="N34" i="56" s="1"/>
  <c r="B34" i="56"/>
  <c r="V33" i="56"/>
  <c r="T33" i="56"/>
  <c r="P33" i="56"/>
  <c r="N33" i="56"/>
  <c r="L33" i="56"/>
  <c r="J33" i="56"/>
  <c r="H33" i="56"/>
  <c r="D33" i="56"/>
  <c r="B33" i="56"/>
  <c r="X32" i="56"/>
  <c r="Z32" i="56" s="1"/>
  <c r="V32" i="56"/>
  <c r="N32" i="56"/>
  <c r="L32" i="56"/>
  <c r="J32" i="56"/>
  <c r="F32" i="56"/>
  <c r="B32" i="56"/>
  <c r="Z31" i="56"/>
  <c r="X31" i="56"/>
  <c r="V31" i="56"/>
  <c r="L31" i="56"/>
  <c r="N31" i="56" s="1"/>
  <c r="B31" i="56"/>
  <c r="X30" i="56"/>
  <c r="Z30" i="56" s="1"/>
  <c r="V30" i="56"/>
  <c r="L30" i="56"/>
  <c r="N30" i="56" s="1"/>
  <c r="F30" i="56"/>
  <c r="B30" i="56"/>
  <c r="V29" i="56"/>
  <c r="T29" i="56"/>
  <c r="P29" i="56"/>
  <c r="X29" i="56" s="1"/>
  <c r="H29" i="56"/>
  <c r="F29" i="56"/>
  <c r="D29" i="56"/>
  <c r="L29" i="56" s="1"/>
  <c r="N29" i="56" s="1"/>
  <c r="B29" i="56"/>
  <c r="X28" i="56"/>
  <c r="Z28" i="56" s="1"/>
  <c r="V28" i="56"/>
  <c r="R28" i="56"/>
  <c r="L28" i="56"/>
  <c r="N28" i="56" s="1"/>
  <c r="B28" i="56"/>
  <c r="X27" i="56"/>
  <c r="Z27" i="56" s="1"/>
  <c r="V27" i="56"/>
  <c r="N27" i="56"/>
  <c r="L27" i="56"/>
  <c r="J27" i="56"/>
  <c r="B27" i="56"/>
  <c r="X26" i="56"/>
  <c r="Z26" i="56" s="1"/>
  <c r="V26" i="56"/>
  <c r="N26" i="56"/>
  <c r="L26" i="56"/>
  <c r="F26" i="56"/>
  <c r="B26" i="56"/>
  <c r="Z25" i="56"/>
  <c r="X25" i="56"/>
  <c r="V25" i="56"/>
  <c r="N25" i="56"/>
  <c r="L25" i="56"/>
  <c r="J25" i="56"/>
  <c r="F25" i="56"/>
  <c r="B25" i="56"/>
  <c r="X24" i="56"/>
  <c r="Z24" i="56" s="1"/>
  <c r="V24" i="56"/>
  <c r="L24" i="56"/>
  <c r="N24" i="56" s="1"/>
  <c r="B24" i="56"/>
  <c r="X23" i="56"/>
  <c r="Z23" i="56" s="1"/>
  <c r="V23" i="56"/>
  <c r="N23" i="56"/>
  <c r="L23" i="56"/>
  <c r="J23" i="56"/>
  <c r="B23" i="56"/>
  <c r="X22" i="56"/>
  <c r="Z22" i="56" s="1"/>
  <c r="V22" i="56"/>
  <c r="N22" i="56"/>
  <c r="L22" i="56"/>
  <c r="F22" i="56"/>
  <c r="B22" i="56"/>
  <c r="Z21" i="56"/>
  <c r="X21" i="56"/>
  <c r="V21" i="56"/>
  <c r="N21" i="56"/>
  <c r="L21" i="56"/>
  <c r="J21" i="56"/>
  <c r="F21" i="56"/>
  <c r="B21" i="56"/>
  <c r="X20" i="56"/>
  <c r="Z20" i="56" s="1"/>
  <c r="V20" i="56"/>
  <c r="L20" i="56"/>
  <c r="N20" i="56" s="1"/>
  <c r="B20" i="56"/>
  <c r="X19" i="56"/>
  <c r="Z19" i="56" s="1"/>
  <c r="V19" i="56"/>
  <c r="T19" i="56"/>
  <c r="P19" i="56"/>
  <c r="N19" i="56"/>
  <c r="L19" i="56"/>
  <c r="J19" i="56"/>
  <c r="H19" i="56"/>
  <c r="D19" i="56"/>
  <c r="B19" i="56"/>
  <c r="T18" i="56"/>
  <c r="P18" i="56"/>
  <c r="X18" i="56" s="1"/>
  <c r="H18" i="56"/>
  <c r="D18" i="56"/>
  <c r="L18" i="56" s="1"/>
  <c r="T14" i="56"/>
  <c r="P14" i="56"/>
  <c r="H14" i="56"/>
  <c r="N14" i="56" s="1"/>
  <c r="D14" i="56"/>
  <c r="L14" i="56" s="1"/>
  <c r="Z12" i="56"/>
  <c r="T12" i="56"/>
  <c r="P12" i="56"/>
  <c r="R19" i="56" s="1"/>
  <c r="N12" i="56"/>
  <c r="L12" i="56"/>
  <c r="H12" i="56"/>
  <c r="J68" i="56" s="1"/>
  <c r="D12" i="56"/>
  <c r="F61" i="56" s="1"/>
  <c r="D6" i="56"/>
  <c r="D4" i="56"/>
  <c r="V40" i="55"/>
  <c r="V37" i="55"/>
  <c r="Z35" i="55"/>
  <c r="X35" i="55"/>
  <c r="V35" i="55"/>
  <c r="R35" i="55"/>
  <c r="N35" i="55"/>
  <c r="L35" i="55"/>
  <c r="R33" i="55"/>
  <c r="T31" i="55"/>
  <c r="Z31" i="55" s="1"/>
  <c r="R31" i="55"/>
  <c r="P31" i="55"/>
  <c r="X31" i="55" s="1"/>
  <c r="H31" i="55"/>
  <c r="N31" i="55" s="1"/>
  <c r="D31" i="55"/>
  <c r="L31" i="55" s="1"/>
  <c r="X29" i="55"/>
  <c r="Z29" i="55" s="1"/>
  <c r="R29" i="55"/>
  <c r="L29" i="55"/>
  <c r="N29" i="55" s="1"/>
  <c r="B29" i="55"/>
  <c r="Z28" i="55"/>
  <c r="X28" i="55"/>
  <c r="V28" i="55"/>
  <c r="R28" i="55"/>
  <c r="N28" i="55"/>
  <c r="L28" i="55"/>
  <c r="B28" i="55"/>
  <c r="T27" i="55"/>
  <c r="R27" i="55"/>
  <c r="P27" i="55"/>
  <c r="H27" i="55"/>
  <c r="N27" i="55" s="1"/>
  <c r="D27" i="55"/>
  <c r="L27" i="55" s="1"/>
  <c r="B27" i="55"/>
  <c r="Z26" i="55"/>
  <c r="X26" i="55"/>
  <c r="V26" i="55"/>
  <c r="R26" i="55"/>
  <c r="N26" i="55"/>
  <c r="L26" i="55"/>
  <c r="B26" i="55"/>
  <c r="V25" i="55"/>
  <c r="T25" i="55"/>
  <c r="P25" i="55"/>
  <c r="X25" i="55" s="1"/>
  <c r="N25" i="55"/>
  <c r="L25" i="55"/>
  <c r="H25" i="55"/>
  <c r="D25" i="55"/>
  <c r="B25" i="55"/>
  <c r="X24" i="55"/>
  <c r="Z24" i="55" s="1"/>
  <c r="N24" i="55"/>
  <c r="L24" i="55"/>
  <c r="J24" i="55"/>
  <c r="B24" i="55"/>
  <c r="T23" i="55"/>
  <c r="R23" i="55"/>
  <c r="P23" i="55"/>
  <c r="L23" i="55"/>
  <c r="H23" i="55"/>
  <c r="D23" i="55"/>
  <c r="B23" i="55"/>
  <c r="Z22" i="55"/>
  <c r="X22" i="55"/>
  <c r="V22" i="55"/>
  <c r="R22" i="55"/>
  <c r="N22" i="55"/>
  <c r="L22" i="55"/>
  <c r="J22" i="55"/>
  <c r="B22" i="55"/>
  <c r="T21" i="55"/>
  <c r="Z21" i="55" s="1"/>
  <c r="R21" i="55"/>
  <c r="P21" i="55"/>
  <c r="X21" i="55" s="1"/>
  <c r="H21" i="55"/>
  <c r="N21" i="55" s="1"/>
  <c r="D21" i="55"/>
  <c r="L21" i="55" s="1"/>
  <c r="B21" i="55"/>
  <c r="Z20" i="55"/>
  <c r="X20" i="55"/>
  <c r="V20" i="55"/>
  <c r="R20" i="55"/>
  <c r="L20" i="55"/>
  <c r="N20" i="55" s="1"/>
  <c r="B20" i="55"/>
  <c r="X19" i="55"/>
  <c r="Z19" i="55" s="1"/>
  <c r="T19" i="55"/>
  <c r="P19" i="55"/>
  <c r="J19" i="55"/>
  <c r="H19" i="55"/>
  <c r="N19" i="55" s="1"/>
  <c r="D19" i="55"/>
  <c r="L19" i="55" s="1"/>
  <c r="B19" i="55"/>
  <c r="Z18" i="55"/>
  <c r="X18" i="55"/>
  <c r="T18" i="55"/>
  <c r="R18" i="55"/>
  <c r="P18" i="55"/>
  <c r="L18" i="55"/>
  <c r="N18" i="55" s="1"/>
  <c r="H18" i="55"/>
  <c r="D18" i="55"/>
  <c r="R16" i="55"/>
  <c r="Z14" i="55"/>
  <c r="X14" i="55"/>
  <c r="T14" i="55"/>
  <c r="R14" i="55"/>
  <c r="P14" i="55"/>
  <c r="P16" i="55" s="1"/>
  <c r="N14" i="55"/>
  <c r="L14" i="55"/>
  <c r="H14" i="55"/>
  <c r="D14" i="55"/>
  <c r="Z12" i="55"/>
  <c r="T12" i="55"/>
  <c r="V19" i="55" s="1"/>
  <c r="P12" i="55"/>
  <c r="R19" i="55" s="1"/>
  <c r="H12" i="55"/>
  <c r="D12" i="55"/>
  <c r="D6" i="55"/>
  <c r="D4" i="55"/>
  <c r="V31" i="54"/>
  <c r="R31" i="54"/>
  <c r="Z29" i="54"/>
  <c r="X29" i="54"/>
  <c r="V29" i="54"/>
  <c r="T29" i="54"/>
  <c r="R29" i="54"/>
  <c r="P29" i="54"/>
  <c r="H29" i="54"/>
  <c r="D29" i="54"/>
  <c r="Z28" i="54"/>
  <c r="X28" i="54"/>
  <c r="V28" i="54"/>
  <c r="T28" i="54"/>
  <c r="R28" i="54"/>
  <c r="P28" i="54"/>
  <c r="H28" i="54"/>
  <c r="D28" i="54"/>
  <c r="V26" i="54"/>
  <c r="R26" i="54"/>
  <c r="Z24" i="54"/>
  <c r="X24" i="54"/>
  <c r="V24" i="54"/>
  <c r="R24" i="54"/>
  <c r="N24" i="54"/>
  <c r="L24" i="54"/>
  <c r="R22" i="54"/>
  <c r="F22" i="54"/>
  <c r="Z20" i="54"/>
  <c r="X20" i="54"/>
  <c r="T20" i="54"/>
  <c r="R20" i="54"/>
  <c r="P20" i="54"/>
  <c r="N20" i="54"/>
  <c r="L20" i="54"/>
  <c r="H20" i="54"/>
  <c r="F20" i="54"/>
  <c r="D20" i="54"/>
  <c r="Z18" i="54"/>
  <c r="X18" i="54"/>
  <c r="T18" i="54"/>
  <c r="R18" i="54"/>
  <c r="P18" i="54"/>
  <c r="N18" i="54"/>
  <c r="L18" i="54"/>
  <c r="H18" i="54"/>
  <c r="F18" i="54"/>
  <c r="D18" i="54"/>
  <c r="R16" i="54"/>
  <c r="F16" i="54"/>
  <c r="Z14" i="54"/>
  <c r="X14" i="54"/>
  <c r="T14" i="54"/>
  <c r="R14" i="54"/>
  <c r="P14" i="54"/>
  <c r="P16" i="54" s="1"/>
  <c r="P22" i="54" s="1"/>
  <c r="P26" i="54" s="1"/>
  <c r="N14" i="54"/>
  <c r="L14" i="54"/>
  <c r="H14" i="54"/>
  <c r="F14" i="54"/>
  <c r="D14" i="54"/>
  <c r="Z12" i="54"/>
  <c r="X12" i="54"/>
  <c r="T12" i="54"/>
  <c r="V22" i="54" s="1"/>
  <c r="P12" i="54"/>
  <c r="H12" i="54"/>
  <c r="D12" i="54"/>
  <c r="F24" i="54" s="1"/>
  <c r="D6" i="54"/>
  <c r="D4" i="54"/>
  <c r="X114" i="51"/>
  <c r="Z114" i="51" s="1"/>
  <c r="N114" i="51"/>
  <c r="L114" i="51"/>
  <c r="T110" i="51"/>
  <c r="P110" i="51"/>
  <c r="X110" i="51" s="1"/>
  <c r="Z110" i="51" s="1"/>
  <c r="H110" i="51"/>
  <c r="D110" i="51"/>
  <c r="L110" i="51" s="1"/>
  <c r="B110" i="51"/>
  <c r="T109" i="51"/>
  <c r="P109" i="51"/>
  <c r="H109" i="51"/>
  <c r="N109" i="51" s="1"/>
  <c r="D109" i="51"/>
  <c r="B109" i="51"/>
  <c r="T108" i="51"/>
  <c r="P108" i="51"/>
  <c r="N108" i="51"/>
  <c r="L108" i="51"/>
  <c r="H108" i="51"/>
  <c r="D108" i="51"/>
  <c r="B108" i="51"/>
  <c r="X107" i="51"/>
  <c r="T107" i="51"/>
  <c r="Z107" i="51" s="1"/>
  <c r="P107" i="51"/>
  <c r="L107" i="51"/>
  <c r="N107" i="51" s="1"/>
  <c r="H107" i="51"/>
  <c r="D107" i="51"/>
  <c r="D106" i="51" s="1"/>
  <c r="B107" i="51"/>
  <c r="P106" i="51"/>
  <c r="Z104" i="51"/>
  <c r="X104" i="51"/>
  <c r="N104" i="51"/>
  <c r="L104" i="51"/>
  <c r="B104" i="51"/>
  <c r="X103" i="51"/>
  <c r="Z103" i="51" s="1"/>
  <c r="N103" i="51"/>
  <c r="L103" i="51"/>
  <c r="B103" i="51"/>
  <c r="Z102" i="51"/>
  <c r="X102" i="51"/>
  <c r="T102" i="51"/>
  <c r="P102" i="51"/>
  <c r="L102" i="51"/>
  <c r="N102" i="51" s="1"/>
  <c r="H102" i="51"/>
  <c r="D102" i="51"/>
  <c r="B102" i="51"/>
  <c r="X101" i="51"/>
  <c r="Z101" i="51" s="1"/>
  <c r="L101" i="51"/>
  <c r="N101" i="51" s="1"/>
  <c r="B101" i="51"/>
  <c r="X100" i="51"/>
  <c r="Z100" i="51" s="1"/>
  <c r="T100" i="51"/>
  <c r="P100" i="51"/>
  <c r="H100" i="51"/>
  <c r="D100" i="51"/>
  <c r="B100" i="51"/>
  <c r="X99" i="51"/>
  <c r="Z99" i="51" s="1"/>
  <c r="L99" i="51"/>
  <c r="N99" i="51" s="1"/>
  <c r="B99" i="51"/>
  <c r="T98" i="51"/>
  <c r="P98" i="51"/>
  <c r="H98" i="51"/>
  <c r="D98" i="51"/>
  <c r="L98" i="51" s="1"/>
  <c r="N98" i="51" s="1"/>
  <c r="B98" i="51"/>
  <c r="X97" i="51"/>
  <c r="Z97" i="51" s="1"/>
  <c r="N97" i="51"/>
  <c r="L97" i="51"/>
  <c r="B97" i="51"/>
  <c r="X96" i="51"/>
  <c r="Z96" i="51" s="1"/>
  <c r="L96" i="51"/>
  <c r="N96" i="51" s="1"/>
  <c r="B96" i="51"/>
  <c r="T95" i="51"/>
  <c r="P95" i="51"/>
  <c r="H95" i="51"/>
  <c r="D95" i="51"/>
  <c r="B95" i="51"/>
  <c r="Z94" i="51"/>
  <c r="X94" i="51"/>
  <c r="N94" i="51"/>
  <c r="L94" i="51"/>
  <c r="B94" i="51"/>
  <c r="T93" i="51"/>
  <c r="Z93" i="51" s="1"/>
  <c r="P93" i="51"/>
  <c r="X93" i="51" s="1"/>
  <c r="N93" i="51"/>
  <c r="H93" i="51"/>
  <c r="D93" i="51"/>
  <c r="L93" i="51" s="1"/>
  <c r="B93" i="51"/>
  <c r="Z92" i="51"/>
  <c r="X92" i="51"/>
  <c r="N92" i="51"/>
  <c r="L92" i="51"/>
  <c r="B92" i="51"/>
  <c r="Z91" i="51"/>
  <c r="X91" i="51"/>
  <c r="T91" i="51"/>
  <c r="P91" i="51"/>
  <c r="H91" i="51"/>
  <c r="N91" i="51" s="1"/>
  <c r="D91" i="51"/>
  <c r="L91" i="51" s="1"/>
  <c r="B91" i="51"/>
  <c r="Z90" i="51"/>
  <c r="X90" i="51"/>
  <c r="N90" i="51"/>
  <c r="L90" i="51"/>
  <c r="B90" i="51"/>
  <c r="T89" i="51"/>
  <c r="P89" i="51"/>
  <c r="H89" i="51"/>
  <c r="D89" i="51"/>
  <c r="B89" i="51"/>
  <c r="Z88" i="51"/>
  <c r="X88" i="51"/>
  <c r="N88" i="51"/>
  <c r="L88" i="51"/>
  <c r="B88" i="51"/>
  <c r="T87" i="51"/>
  <c r="P87" i="51"/>
  <c r="H87" i="51"/>
  <c r="N87" i="51" s="1"/>
  <c r="D87" i="51"/>
  <c r="L87" i="51" s="1"/>
  <c r="B87" i="51"/>
  <c r="Z86" i="51"/>
  <c r="X86" i="51"/>
  <c r="N86" i="51"/>
  <c r="L86" i="51"/>
  <c r="B86" i="51"/>
  <c r="X85" i="51"/>
  <c r="Z85" i="51" s="1"/>
  <c r="N85" i="51"/>
  <c r="L85" i="51"/>
  <c r="B85" i="51"/>
  <c r="T84" i="51"/>
  <c r="P84" i="51"/>
  <c r="X84" i="51" s="1"/>
  <c r="Z84" i="51" s="1"/>
  <c r="H84" i="51"/>
  <c r="N84" i="51" s="1"/>
  <c r="D84" i="51"/>
  <c r="B84" i="51"/>
  <c r="X83" i="51"/>
  <c r="Z83" i="51" s="1"/>
  <c r="N83" i="51"/>
  <c r="L83" i="51"/>
  <c r="B83" i="51"/>
  <c r="Z82" i="51"/>
  <c r="X82" i="51"/>
  <c r="T82" i="51"/>
  <c r="P82" i="51"/>
  <c r="N82" i="51"/>
  <c r="L82" i="51"/>
  <c r="H82" i="51"/>
  <c r="D82" i="51"/>
  <c r="B82" i="51"/>
  <c r="Z81" i="51"/>
  <c r="X81" i="51"/>
  <c r="N81" i="51"/>
  <c r="L81" i="51"/>
  <c r="B81" i="51"/>
  <c r="Z80" i="51"/>
  <c r="X80" i="51"/>
  <c r="T80" i="51"/>
  <c r="P80" i="51"/>
  <c r="H80" i="51"/>
  <c r="D80" i="51"/>
  <c r="B80" i="51"/>
  <c r="X79" i="51"/>
  <c r="Z79" i="51" s="1"/>
  <c r="L79" i="51"/>
  <c r="N79" i="51" s="1"/>
  <c r="B79" i="51"/>
  <c r="T78" i="51"/>
  <c r="P78" i="51"/>
  <c r="H78" i="51"/>
  <c r="D78" i="51"/>
  <c r="L78" i="51" s="1"/>
  <c r="N78" i="51" s="1"/>
  <c r="B78" i="51"/>
  <c r="X77" i="51"/>
  <c r="Z77" i="51" s="1"/>
  <c r="L77" i="51"/>
  <c r="N77" i="51" s="1"/>
  <c r="B77" i="51"/>
  <c r="Z76" i="51"/>
  <c r="T76" i="51"/>
  <c r="P76" i="51"/>
  <c r="X76" i="51" s="1"/>
  <c r="N76" i="51"/>
  <c r="L76" i="51"/>
  <c r="H76" i="51"/>
  <c r="D76" i="51"/>
  <c r="B76" i="51"/>
  <c r="Z75" i="51"/>
  <c r="X75" i="51"/>
  <c r="L75" i="51"/>
  <c r="N75" i="51" s="1"/>
  <c r="B75" i="51"/>
  <c r="T74" i="51"/>
  <c r="P74" i="51"/>
  <c r="N74" i="51"/>
  <c r="L74" i="51"/>
  <c r="H74" i="51"/>
  <c r="D74" i="51"/>
  <c r="B74" i="51"/>
  <c r="X73" i="51"/>
  <c r="Z73" i="51" s="1"/>
  <c r="L73" i="51"/>
  <c r="N73" i="51" s="1"/>
  <c r="B73" i="51"/>
  <c r="Z72" i="51"/>
  <c r="X72" i="51"/>
  <c r="N72" i="51"/>
  <c r="L72" i="51"/>
  <c r="B72" i="51"/>
  <c r="Z71" i="51"/>
  <c r="X71" i="51"/>
  <c r="L71" i="51"/>
  <c r="N71" i="51" s="1"/>
  <c r="B71" i="51"/>
  <c r="Z70" i="51"/>
  <c r="X70" i="51"/>
  <c r="N70" i="51"/>
  <c r="L70" i="51"/>
  <c r="B70" i="51"/>
  <c r="X69" i="51"/>
  <c r="Z69" i="51" s="1"/>
  <c r="L69" i="51"/>
  <c r="N69" i="51" s="1"/>
  <c r="B69" i="51"/>
  <c r="T68" i="51"/>
  <c r="P68" i="51"/>
  <c r="X68" i="51" s="1"/>
  <c r="Z68" i="51" s="1"/>
  <c r="H68" i="51"/>
  <c r="D68" i="51"/>
  <c r="B68" i="51"/>
  <c r="X67" i="51"/>
  <c r="Z67" i="51" s="1"/>
  <c r="N67" i="51"/>
  <c r="L67" i="51"/>
  <c r="B67" i="51"/>
  <c r="Z66" i="51"/>
  <c r="X66" i="51"/>
  <c r="N66" i="51"/>
  <c r="L66" i="51"/>
  <c r="B66" i="51"/>
  <c r="X65" i="51"/>
  <c r="Z65" i="51" s="1"/>
  <c r="L65" i="51"/>
  <c r="N65" i="51" s="1"/>
  <c r="B65" i="51"/>
  <c r="X64" i="51"/>
  <c r="Z64" i="51" s="1"/>
  <c r="L64" i="51"/>
  <c r="N64" i="51" s="1"/>
  <c r="B64" i="51"/>
  <c r="X63" i="51"/>
  <c r="Z63" i="51" s="1"/>
  <c r="N63" i="51"/>
  <c r="L63" i="51"/>
  <c r="B63" i="51"/>
  <c r="Z62" i="51"/>
  <c r="X62" i="51"/>
  <c r="N62" i="51"/>
  <c r="L62" i="51"/>
  <c r="B62" i="51"/>
  <c r="X61" i="51"/>
  <c r="Z61" i="51" s="1"/>
  <c r="L61" i="51"/>
  <c r="N61" i="51" s="1"/>
  <c r="B61" i="51"/>
  <c r="Z60" i="51"/>
  <c r="X60" i="51"/>
  <c r="N60" i="51"/>
  <c r="L60" i="51"/>
  <c r="B60" i="51"/>
  <c r="X59" i="51"/>
  <c r="Z59" i="51" s="1"/>
  <c r="N59" i="51"/>
  <c r="L59" i="51"/>
  <c r="B59" i="51"/>
  <c r="Z58" i="51"/>
  <c r="X58" i="51"/>
  <c r="T58" i="51"/>
  <c r="P58" i="51"/>
  <c r="H58" i="51"/>
  <c r="D58" i="51"/>
  <c r="L58" i="51" s="1"/>
  <c r="N58" i="51" s="1"/>
  <c r="B58" i="51"/>
  <c r="T57" i="51"/>
  <c r="P57" i="51"/>
  <c r="X57" i="51" s="1"/>
  <c r="H57" i="51"/>
  <c r="D57" i="51"/>
  <c r="X53" i="51"/>
  <c r="Z53" i="51" s="1"/>
  <c r="L53" i="51"/>
  <c r="N53" i="51" s="1"/>
  <c r="B53" i="51"/>
  <c r="Z52" i="51"/>
  <c r="X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N46" i="51"/>
  <c r="L46" i="51"/>
  <c r="B46" i="51"/>
  <c r="X45" i="51"/>
  <c r="Z45" i="51" s="1"/>
  <c r="L45" i="51"/>
  <c r="N45" i="51" s="1"/>
  <c r="B45" i="51"/>
  <c r="X44" i="51"/>
  <c r="Z44" i="51" s="1"/>
  <c r="N44" i="51"/>
  <c r="L44" i="51"/>
  <c r="B44" i="51"/>
  <c r="Z43" i="51"/>
  <c r="X43" i="51"/>
  <c r="L43" i="51"/>
  <c r="N43" i="51" s="1"/>
  <c r="B43" i="51"/>
  <c r="Z42" i="51"/>
  <c r="X42" i="51"/>
  <c r="N42" i="51"/>
  <c r="L42" i="51"/>
  <c r="B42" i="51"/>
  <c r="X41" i="51"/>
  <c r="Z41" i="51" s="1"/>
  <c r="L41" i="51"/>
  <c r="N41" i="51" s="1"/>
  <c r="B41" i="51"/>
  <c r="X40" i="51"/>
  <c r="Z40" i="51" s="1"/>
  <c r="N40" i="51"/>
  <c r="L40" i="51"/>
  <c r="B40" i="51"/>
  <c r="Z39" i="51"/>
  <c r="X39" i="51"/>
  <c r="L39" i="51"/>
  <c r="N39" i="51" s="1"/>
  <c r="B39" i="51"/>
  <c r="T38" i="51"/>
  <c r="X38" i="51" s="1"/>
  <c r="P38" i="51"/>
  <c r="L38" i="51"/>
  <c r="N38" i="51" s="1"/>
  <c r="H38" i="51"/>
  <c r="D38" i="51"/>
  <c r="T36" i="51"/>
  <c r="Z36" i="51" s="1"/>
  <c r="P36" i="51"/>
  <c r="X36" i="51" s="1"/>
  <c r="H36" i="51"/>
  <c r="N36" i="51" s="1"/>
  <c r="D36" i="51"/>
  <c r="L36" i="51" s="1"/>
  <c r="B36" i="51"/>
  <c r="T35" i="51"/>
  <c r="P35" i="51"/>
  <c r="X35" i="51" s="1"/>
  <c r="Z35" i="51" s="1"/>
  <c r="L35" i="51"/>
  <c r="H35" i="51"/>
  <c r="N35" i="51" s="1"/>
  <c r="D35" i="51"/>
  <c r="B35" i="51"/>
  <c r="X34" i="51"/>
  <c r="T34" i="51"/>
  <c r="Z34" i="51" s="1"/>
  <c r="P34" i="51"/>
  <c r="H34" i="51"/>
  <c r="D34" i="51"/>
  <c r="L34" i="51" s="1"/>
  <c r="B34" i="51"/>
  <c r="Z33" i="51"/>
  <c r="T33" i="51"/>
  <c r="P33" i="51"/>
  <c r="X33" i="51" s="1"/>
  <c r="H33" i="51"/>
  <c r="D33" i="51"/>
  <c r="L33" i="51" s="1"/>
  <c r="N33" i="51" s="1"/>
  <c r="B33" i="51"/>
  <c r="T32" i="51"/>
  <c r="P32" i="51"/>
  <c r="X32" i="51" s="1"/>
  <c r="H32" i="51"/>
  <c r="D32" i="51"/>
  <c r="L32" i="51" s="1"/>
  <c r="B32" i="51"/>
  <c r="X31" i="51"/>
  <c r="Z31" i="51" s="1"/>
  <c r="T31" i="51"/>
  <c r="P31" i="51"/>
  <c r="L31" i="51"/>
  <c r="H31" i="51"/>
  <c r="N31" i="51" s="1"/>
  <c r="D31" i="51"/>
  <c r="B31" i="51"/>
  <c r="X30" i="51"/>
  <c r="T30" i="51"/>
  <c r="Z30" i="51" s="1"/>
  <c r="P30" i="51"/>
  <c r="H30" i="51"/>
  <c r="N30" i="51" s="1"/>
  <c r="D30" i="51"/>
  <c r="B30" i="51"/>
  <c r="T29" i="51"/>
  <c r="P29" i="51"/>
  <c r="X29" i="51" s="1"/>
  <c r="Z29" i="51" s="1"/>
  <c r="H29" i="51"/>
  <c r="D29" i="51"/>
  <c r="L29" i="51" s="1"/>
  <c r="N29" i="51" s="1"/>
  <c r="B29" i="51"/>
  <c r="T28" i="51"/>
  <c r="P28" i="51"/>
  <c r="H28" i="51"/>
  <c r="D28" i="51"/>
  <c r="L28" i="51" s="1"/>
  <c r="B28" i="51"/>
  <c r="X27" i="51"/>
  <c r="Z27" i="51" s="1"/>
  <c r="T27" i="51"/>
  <c r="P27" i="51"/>
  <c r="L27" i="51"/>
  <c r="H27" i="51"/>
  <c r="D27" i="51"/>
  <c r="B27" i="51"/>
  <c r="T26" i="51"/>
  <c r="P26" i="51"/>
  <c r="H26" i="51"/>
  <c r="N26" i="51" s="1"/>
  <c r="D26" i="51"/>
  <c r="B26" i="51"/>
  <c r="T25" i="51"/>
  <c r="P25" i="51"/>
  <c r="X25" i="51" s="1"/>
  <c r="Z25" i="51" s="1"/>
  <c r="H25" i="51"/>
  <c r="D25" i="51"/>
  <c r="L25" i="51" s="1"/>
  <c r="N25" i="51" s="1"/>
  <c r="B25" i="51"/>
  <c r="T24" i="51"/>
  <c r="P24" i="51"/>
  <c r="H24" i="51"/>
  <c r="D24" i="51"/>
  <c r="L24" i="51" s="1"/>
  <c r="B24" i="51"/>
  <c r="X23" i="51"/>
  <c r="Z23" i="51" s="1"/>
  <c r="T23" i="51"/>
  <c r="P23" i="51"/>
  <c r="H23" i="51"/>
  <c r="N23" i="51" s="1"/>
  <c r="D23" i="51"/>
  <c r="B23" i="51"/>
  <c r="T22" i="51"/>
  <c r="X22" i="51" s="1"/>
  <c r="Z22" i="51" s="1"/>
  <c r="P22" i="51"/>
  <c r="H22" i="51"/>
  <c r="D22" i="51"/>
  <c r="B22" i="51"/>
  <c r="T21" i="51"/>
  <c r="P21" i="51"/>
  <c r="X21" i="51" s="1"/>
  <c r="Z21" i="51" s="1"/>
  <c r="L21" i="51"/>
  <c r="N21" i="51" s="1"/>
  <c r="H21" i="51"/>
  <c r="D21" i="51"/>
  <c r="B21" i="51"/>
  <c r="T20" i="51"/>
  <c r="P20" i="51"/>
  <c r="H20" i="51"/>
  <c r="D20" i="51"/>
  <c r="B20" i="51"/>
  <c r="T19" i="51"/>
  <c r="P19" i="51"/>
  <c r="X19" i="51" s="1"/>
  <c r="Z19" i="51" s="1"/>
  <c r="H19" i="51"/>
  <c r="D19" i="51"/>
  <c r="B19" i="51"/>
  <c r="Z18" i="51"/>
  <c r="T18" i="51"/>
  <c r="X18" i="51" s="1"/>
  <c r="P18" i="51"/>
  <c r="H18" i="51"/>
  <c r="D18" i="51"/>
  <c r="B18" i="51"/>
  <c r="T17" i="51"/>
  <c r="P17" i="51"/>
  <c r="X17" i="51" s="1"/>
  <c r="Z17" i="51" s="1"/>
  <c r="N17" i="51"/>
  <c r="L17" i="51"/>
  <c r="H17" i="51"/>
  <c r="D17" i="51"/>
  <c r="B17" i="51"/>
  <c r="T16" i="51"/>
  <c r="P16" i="51"/>
  <c r="H16" i="51"/>
  <c r="N16" i="51" s="1"/>
  <c r="D16" i="51"/>
  <c r="B16" i="51"/>
  <c r="X15" i="51"/>
  <c r="Z15" i="51" s="1"/>
  <c r="T15" i="51"/>
  <c r="P15" i="51"/>
  <c r="H15" i="51"/>
  <c r="D15" i="51"/>
  <c r="B15" i="51"/>
  <c r="T14" i="51"/>
  <c r="P14" i="51"/>
  <c r="H14" i="51"/>
  <c r="D14" i="51"/>
  <c r="B14" i="51"/>
  <c r="T13" i="51"/>
  <c r="P13" i="51"/>
  <c r="H13" i="51"/>
  <c r="D13" i="51"/>
  <c r="B13" i="51"/>
  <c r="T12" i="51"/>
  <c r="D4" i="51"/>
  <c r="X75" i="48"/>
  <c r="Z75" i="48" s="1"/>
  <c r="N75" i="48"/>
  <c r="L75" i="48"/>
  <c r="T71" i="48"/>
  <c r="P71" i="48"/>
  <c r="X71" i="48" s="1"/>
  <c r="H71" i="48"/>
  <c r="N71" i="48" s="1"/>
  <c r="F71" i="48"/>
  <c r="D71" i="48"/>
  <c r="B71" i="48"/>
  <c r="T70" i="48"/>
  <c r="P70" i="48"/>
  <c r="H70" i="48"/>
  <c r="D70" i="48"/>
  <c r="D69" i="48" s="1"/>
  <c r="B70" i="48"/>
  <c r="T69" i="48"/>
  <c r="X67" i="48"/>
  <c r="Z67" i="48" s="1"/>
  <c r="N67" i="48"/>
  <c r="L67" i="48"/>
  <c r="B67" i="48"/>
  <c r="T66" i="48"/>
  <c r="P66" i="48"/>
  <c r="X66" i="48" s="1"/>
  <c r="H66" i="48"/>
  <c r="N66" i="48" s="1"/>
  <c r="D66" i="48"/>
  <c r="L66" i="48" s="1"/>
  <c r="B66" i="48"/>
  <c r="Z65" i="48"/>
  <c r="X65" i="48"/>
  <c r="L65" i="48"/>
  <c r="N65" i="48" s="1"/>
  <c r="B65" i="48"/>
  <c r="X64" i="48"/>
  <c r="Z64" i="48" s="1"/>
  <c r="T64" i="48"/>
  <c r="P64" i="48"/>
  <c r="H64" i="48"/>
  <c r="D64" i="48"/>
  <c r="L64" i="48" s="1"/>
  <c r="N64" i="48" s="1"/>
  <c r="B64" i="48"/>
  <c r="Z63" i="48"/>
  <c r="X63" i="48"/>
  <c r="N63" i="48"/>
  <c r="L63" i="48"/>
  <c r="F63" i="48"/>
  <c r="B63" i="48"/>
  <c r="X62" i="48"/>
  <c r="Z62" i="48" s="1"/>
  <c r="N62" i="48"/>
  <c r="L62" i="48"/>
  <c r="B62" i="48"/>
  <c r="X61" i="48"/>
  <c r="Z61" i="48" s="1"/>
  <c r="N61" i="48"/>
  <c r="L61" i="48"/>
  <c r="B61" i="48"/>
  <c r="Z60" i="48"/>
  <c r="X60" i="48"/>
  <c r="N60" i="48"/>
  <c r="L60" i="48"/>
  <c r="B60" i="48"/>
  <c r="T59" i="48"/>
  <c r="P59" i="48"/>
  <c r="X59" i="48" s="1"/>
  <c r="Z59" i="48" s="1"/>
  <c r="L59" i="48"/>
  <c r="N59" i="48" s="1"/>
  <c r="H59" i="48"/>
  <c r="D59" i="48"/>
  <c r="B59" i="48"/>
  <c r="X58" i="48"/>
  <c r="Z58" i="48" s="1"/>
  <c r="N58" i="48"/>
  <c r="L58" i="48"/>
  <c r="B58" i="48"/>
  <c r="Z57" i="48"/>
  <c r="X57" i="48"/>
  <c r="V57" i="48"/>
  <c r="T57" i="48"/>
  <c r="P57" i="48"/>
  <c r="H57" i="48"/>
  <c r="D57" i="48"/>
  <c r="B57" i="48"/>
  <c r="X56" i="48"/>
  <c r="Z56" i="48" s="1"/>
  <c r="N56" i="48"/>
  <c r="L56" i="48"/>
  <c r="B56" i="48"/>
  <c r="X55" i="48"/>
  <c r="Z55" i="48" s="1"/>
  <c r="V55" i="48"/>
  <c r="N55" i="48"/>
  <c r="L55" i="48"/>
  <c r="B55" i="48"/>
  <c r="Z54" i="48"/>
  <c r="X54" i="48"/>
  <c r="V54" i="48"/>
  <c r="N54" i="48"/>
  <c r="L54" i="48"/>
  <c r="B54" i="48"/>
  <c r="T53" i="48"/>
  <c r="P53" i="48"/>
  <c r="X53" i="48" s="1"/>
  <c r="H53" i="48"/>
  <c r="N53" i="48" s="1"/>
  <c r="D53" i="48"/>
  <c r="B53" i="48"/>
  <c r="X52" i="48"/>
  <c r="Z52" i="48" s="1"/>
  <c r="N52" i="48"/>
  <c r="L52" i="48"/>
  <c r="B52" i="48"/>
  <c r="T51" i="48"/>
  <c r="P51" i="48"/>
  <c r="X51" i="48" s="1"/>
  <c r="Z51" i="48" s="1"/>
  <c r="L51" i="48"/>
  <c r="N51" i="48" s="1"/>
  <c r="H51" i="48"/>
  <c r="F51" i="48"/>
  <c r="D51" i="48"/>
  <c r="B51" i="48"/>
  <c r="X50" i="48"/>
  <c r="Z50" i="48" s="1"/>
  <c r="N50" i="48"/>
  <c r="L50" i="48"/>
  <c r="B50" i="48"/>
  <c r="Z49" i="48"/>
  <c r="X49" i="48"/>
  <c r="V49" i="48"/>
  <c r="T49" i="48"/>
  <c r="P49" i="48"/>
  <c r="H49" i="48"/>
  <c r="D49" i="48"/>
  <c r="B49" i="48"/>
  <c r="X48" i="48"/>
  <c r="Z48" i="48" s="1"/>
  <c r="L48" i="48"/>
  <c r="N48" i="48" s="1"/>
  <c r="B48" i="48"/>
  <c r="T47" i="48"/>
  <c r="R47" i="48"/>
  <c r="P47" i="48"/>
  <c r="H47" i="48"/>
  <c r="D47" i="48"/>
  <c r="L47" i="48" s="1"/>
  <c r="B47" i="48"/>
  <c r="X46" i="48"/>
  <c r="Z46" i="48" s="1"/>
  <c r="N46" i="48"/>
  <c r="L46" i="48"/>
  <c r="B46" i="48"/>
  <c r="X45" i="48"/>
  <c r="Z45" i="48" s="1"/>
  <c r="T45" i="48"/>
  <c r="R45" i="48"/>
  <c r="P45" i="48"/>
  <c r="N45" i="48"/>
  <c r="H45" i="48"/>
  <c r="D45" i="48"/>
  <c r="L45" i="48" s="1"/>
  <c r="B45" i="48"/>
  <c r="Z44" i="48"/>
  <c r="X44" i="48"/>
  <c r="N44" i="48"/>
  <c r="L44" i="48"/>
  <c r="B44" i="48"/>
  <c r="X43" i="48"/>
  <c r="Z43" i="48" s="1"/>
  <c r="R43" i="48"/>
  <c r="N43" i="48"/>
  <c r="L43" i="48"/>
  <c r="B43" i="48"/>
  <c r="T42" i="48"/>
  <c r="P42" i="48"/>
  <c r="X42" i="48" s="1"/>
  <c r="H42" i="48"/>
  <c r="N42" i="48" s="1"/>
  <c r="D42" i="48"/>
  <c r="L42" i="48" s="1"/>
  <c r="B42" i="48"/>
  <c r="Z41" i="48"/>
  <c r="X41" i="48"/>
  <c r="N41" i="48"/>
  <c r="L41" i="48"/>
  <c r="B41" i="48"/>
  <c r="X40" i="48"/>
  <c r="Z40" i="48" s="1"/>
  <c r="T40" i="48"/>
  <c r="P40" i="48"/>
  <c r="N40" i="48"/>
  <c r="H40" i="48"/>
  <c r="D40" i="48"/>
  <c r="L40" i="48" s="1"/>
  <c r="B40" i="48"/>
  <c r="Z39" i="48"/>
  <c r="X39" i="48"/>
  <c r="L39" i="48"/>
  <c r="N39" i="48" s="1"/>
  <c r="B39" i="48"/>
  <c r="T38" i="48"/>
  <c r="P38" i="48"/>
  <c r="H38" i="48"/>
  <c r="D38" i="48"/>
  <c r="B38" i="48"/>
  <c r="Z37" i="48"/>
  <c r="X37" i="48"/>
  <c r="V37" i="48"/>
  <c r="N37" i="48"/>
  <c r="L37" i="48"/>
  <c r="B37" i="48"/>
  <c r="Z36" i="48"/>
  <c r="T36" i="48"/>
  <c r="P36" i="48"/>
  <c r="X36" i="48" s="1"/>
  <c r="H36" i="48"/>
  <c r="D36" i="48"/>
  <c r="L36" i="48" s="1"/>
  <c r="B36" i="48"/>
  <c r="X35" i="48"/>
  <c r="Z35" i="48" s="1"/>
  <c r="N35" i="48"/>
  <c r="L35" i="48"/>
  <c r="B35" i="48"/>
  <c r="Z34" i="48"/>
  <c r="X34" i="48"/>
  <c r="L34" i="48"/>
  <c r="N34" i="48" s="1"/>
  <c r="B34" i="48"/>
  <c r="Z33" i="48"/>
  <c r="X33" i="48"/>
  <c r="L33" i="48"/>
  <c r="N33" i="48" s="1"/>
  <c r="B33" i="48"/>
  <c r="X32" i="48"/>
  <c r="Z32" i="48" s="1"/>
  <c r="L32" i="48"/>
  <c r="N32" i="48" s="1"/>
  <c r="B32" i="48"/>
  <c r="X31" i="48"/>
  <c r="Z31" i="48" s="1"/>
  <c r="N31" i="48"/>
  <c r="L31" i="48"/>
  <c r="B31" i="48"/>
  <c r="Z30" i="48"/>
  <c r="X30" i="48"/>
  <c r="L30" i="48"/>
  <c r="N30" i="48" s="1"/>
  <c r="B30" i="48"/>
  <c r="T29" i="48"/>
  <c r="P29" i="48"/>
  <c r="X29" i="48" s="1"/>
  <c r="H29" i="48"/>
  <c r="D29" i="48"/>
  <c r="B29" i="48"/>
  <c r="X28" i="48"/>
  <c r="Z28" i="48" s="1"/>
  <c r="N28" i="48"/>
  <c r="L28" i="48"/>
  <c r="B28" i="48"/>
  <c r="Z27" i="48"/>
  <c r="X27" i="48"/>
  <c r="L27" i="48"/>
  <c r="N27" i="48" s="1"/>
  <c r="B27" i="48"/>
  <c r="X26" i="48"/>
  <c r="Z26" i="48" s="1"/>
  <c r="R26" i="48"/>
  <c r="L26" i="48"/>
  <c r="N26" i="48" s="1"/>
  <c r="B26" i="48"/>
  <c r="X25" i="48"/>
  <c r="Z25" i="48" s="1"/>
  <c r="N25" i="48"/>
  <c r="L25" i="48"/>
  <c r="B25" i="48"/>
  <c r="X24" i="48"/>
  <c r="Z24" i="48" s="1"/>
  <c r="N24" i="48"/>
  <c r="L24" i="48"/>
  <c r="F24" i="48"/>
  <c r="B24" i="48"/>
  <c r="Z23" i="48"/>
  <c r="X23" i="48"/>
  <c r="L23" i="48"/>
  <c r="N23" i="48" s="1"/>
  <c r="B23" i="48"/>
  <c r="X22" i="48"/>
  <c r="Z22" i="48" s="1"/>
  <c r="L22" i="48"/>
  <c r="N22" i="48" s="1"/>
  <c r="B22" i="48"/>
  <c r="X21" i="48"/>
  <c r="Z21" i="48" s="1"/>
  <c r="N21" i="48"/>
  <c r="L21" i="48"/>
  <c r="B21" i="48"/>
  <c r="T20" i="48"/>
  <c r="P20" i="48"/>
  <c r="H20" i="48"/>
  <c r="D20" i="48"/>
  <c r="B20" i="48"/>
  <c r="T19" i="48"/>
  <c r="P19" i="48"/>
  <c r="N19" i="48"/>
  <c r="L19" i="48"/>
  <c r="H19" i="48"/>
  <c r="D19" i="48"/>
  <c r="T15" i="48"/>
  <c r="Z15" i="48" s="1"/>
  <c r="P15" i="48"/>
  <c r="N15" i="48"/>
  <c r="L15" i="48"/>
  <c r="H15" i="48"/>
  <c r="D15" i="48"/>
  <c r="X13" i="48"/>
  <c r="T13" i="48"/>
  <c r="T12" i="48" s="1"/>
  <c r="V34" i="48" s="1"/>
  <c r="P13" i="48"/>
  <c r="P12" i="48" s="1"/>
  <c r="R44" i="48" s="1"/>
  <c r="H13" i="48"/>
  <c r="D13" i="48"/>
  <c r="D12" i="48" s="1"/>
  <c r="B13" i="48"/>
  <c r="H12" i="48"/>
  <c r="J71" i="48" s="1"/>
  <c r="D4" i="48"/>
  <c r="Z97" i="45"/>
  <c r="X97" i="45"/>
  <c r="L97" i="45"/>
  <c r="N97" i="45" s="1"/>
  <c r="T93" i="45"/>
  <c r="Z93" i="45" s="1"/>
  <c r="P93" i="45"/>
  <c r="H93" i="45"/>
  <c r="N93" i="45" s="1"/>
  <c r="D93" i="45"/>
  <c r="X91" i="45"/>
  <c r="Z91" i="45" s="1"/>
  <c r="N91" i="45"/>
  <c r="L91" i="45"/>
  <c r="B91" i="45"/>
  <c r="X90" i="45"/>
  <c r="Z90" i="45" s="1"/>
  <c r="L90" i="45"/>
  <c r="N90" i="45" s="1"/>
  <c r="B90" i="45"/>
  <c r="T89" i="45"/>
  <c r="P89" i="45"/>
  <c r="H89" i="45"/>
  <c r="D89" i="45"/>
  <c r="B89" i="45"/>
  <c r="X88" i="45"/>
  <c r="Z88" i="45" s="1"/>
  <c r="N88" i="45"/>
  <c r="L88" i="45"/>
  <c r="B88" i="45"/>
  <c r="T87" i="45"/>
  <c r="P87" i="45"/>
  <c r="X87" i="45" s="1"/>
  <c r="Z87" i="45" s="1"/>
  <c r="L87" i="45"/>
  <c r="N87" i="45" s="1"/>
  <c r="H87" i="45"/>
  <c r="D87" i="45"/>
  <c r="B87" i="45"/>
  <c r="X86" i="45"/>
  <c r="Z86" i="45" s="1"/>
  <c r="L86" i="45"/>
  <c r="N86" i="45" s="1"/>
  <c r="B86" i="45"/>
  <c r="Z85" i="45"/>
  <c r="X85" i="45"/>
  <c r="T85" i="45"/>
  <c r="P85" i="45"/>
  <c r="H85" i="45"/>
  <c r="D85" i="45"/>
  <c r="B85" i="45"/>
  <c r="X84" i="45"/>
  <c r="Z84" i="45" s="1"/>
  <c r="L84" i="45"/>
  <c r="N84" i="45" s="1"/>
  <c r="B84" i="45"/>
  <c r="X83" i="45"/>
  <c r="Z83" i="45" s="1"/>
  <c r="N83" i="45"/>
  <c r="L83" i="45"/>
  <c r="B83" i="45"/>
  <c r="X82" i="45"/>
  <c r="Z82" i="45" s="1"/>
  <c r="L82" i="45"/>
  <c r="N82" i="45" s="1"/>
  <c r="B82" i="45"/>
  <c r="Z81" i="45"/>
  <c r="X81" i="45"/>
  <c r="N81" i="45"/>
  <c r="L81" i="45"/>
  <c r="B81" i="45"/>
  <c r="X80" i="45"/>
  <c r="Z80" i="45" s="1"/>
  <c r="L80" i="45"/>
  <c r="N80" i="45" s="1"/>
  <c r="B80" i="45"/>
  <c r="X79" i="45"/>
  <c r="Z79" i="45" s="1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X76" i="45"/>
  <c r="Z76" i="45" s="1"/>
  <c r="N76" i="45"/>
  <c r="L76" i="45"/>
  <c r="B76" i="45"/>
  <c r="T75" i="45"/>
  <c r="P75" i="45"/>
  <c r="H75" i="45"/>
  <c r="D75" i="45"/>
  <c r="L75" i="45" s="1"/>
  <c r="B75" i="45"/>
  <c r="X74" i="45"/>
  <c r="Z74" i="45" s="1"/>
  <c r="N74" i="45"/>
  <c r="L74" i="45"/>
  <c r="B74" i="45"/>
  <c r="X73" i="45"/>
  <c r="Z73" i="45" s="1"/>
  <c r="N73" i="45"/>
  <c r="L73" i="45"/>
  <c r="B73" i="45"/>
  <c r="X72" i="45"/>
  <c r="Z72" i="45" s="1"/>
  <c r="N72" i="45"/>
  <c r="L72" i="45"/>
  <c r="B72" i="45"/>
  <c r="Z71" i="45"/>
  <c r="T71" i="45"/>
  <c r="P71" i="45"/>
  <c r="X71" i="45" s="1"/>
  <c r="N71" i="45"/>
  <c r="L71" i="45"/>
  <c r="H71" i="45"/>
  <c r="D71" i="45"/>
  <c r="B71" i="45"/>
  <c r="Z70" i="45"/>
  <c r="X70" i="45"/>
  <c r="N70" i="45"/>
  <c r="L70" i="45"/>
  <c r="B70" i="45"/>
  <c r="Z69" i="45"/>
  <c r="X69" i="45"/>
  <c r="N69" i="45"/>
  <c r="L69" i="45"/>
  <c r="B69" i="45"/>
  <c r="Z68" i="45"/>
  <c r="X68" i="45"/>
  <c r="L68" i="45"/>
  <c r="N68" i="45" s="1"/>
  <c r="B68" i="45"/>
  <c r="X67" i="45"/>
  <c r="T67" i="45"/>
  <c r="P67" i="45"/>
  <c r="N67" i="45"/>
  <c r="L67" i="45"/>
  <c r="H67" i="45"/>
  <c r="D67" i="45"/>
  <c r="B67" i="45"/>
  <c r="Z66" i="45"/>
  <c r="X66" i="45"/>
  <c r="L66" i="45"/>
  <c r="N66" i="45" s="1"/>
  <c r="F66" i="45"/>
  <c r="B66" i="45"/>
  <c r="T65" i="45"/>
  <c r="P65" i="45"/>
  <c r="H65" i="45"/>
  <c r="D65" i="45"/>
  <c r="B65" i="45"/>
  <c r="X64" i="45"/>
  <c r="Z64" i="45" s="1"/>
  <c r="N64" i="45"/>
  <c r="L64" i="45"/>
  <c r="B64" i="45"/>
  <c r="T63" i="45"/>
  <c r="P63" i="45"/>
  <c r="X63" i="45" s="1"/>
  <c r="Z63" i="45" s="1"/>
  <c r="N63" i="45"/>
  <c r="L63" i="45"/>
  <c r="H63" i="45"/>
  <c r="D63" i="45"/>
  <c r="B63" i="45"/>
  <c r="Z62" i="45"/>
  <c r="X62" i="45"/>
  <c r="L62" i="45"/>
  <c r="N62" i="45" s="1"/>
  <c r="B62" i="45"/>
  <c r="Z61" i="45"/>
  <c r="X61" i="45"/>
  <c r="T61" i="45"/>
  <c r="P61" i="45"/>
  <c r="L61" i="45"/>
  <c r="H61" i="45"/>
  <c r="D61" i="45"/>
  <c r="B61" i="45"/>
  <c r="X60" i="45"/>
  <c r="Z60" i="45" s="1"/>
  <c r="N60" i="45"/>
  <c r="L60" i="45"/>
  <c r="B60" i="45"/>
  <c r="T59" i="45"/>
  <c r="P59" i="45"/>
  <c r="H59" i="45"/>
  <c r="N59" i="45" s="1"/>
  <c r="D59" i="45"/>
  <c r="L59" i="45" s="1"/>
  <c r="B59" i="45"/>
  <c r="X58" i="45"/>
  <c r="Z58" i="45" s="1"/>
  <c r="N58" i="45"/>
  <c r="L58" i="45"/>
  <c r="B58" i="45"/>
  <c r="X57" i="45"/>
  <c r="Z57" i="45" s="1"/>
  <c r="T57" i="45"/>
  <c r="P57" i="45"/>
  <c r="N57" i="45"/>
  <c r="H57" i="45"/>
  <c r="D57" i="45"/>
  <c r="L57" i="45" s="1"/>
  <c r="B57" i="45"/>
  <c r="Z56" i="45"/>
  <c r="X56" i="45"/>
  <c r="L56" i="45"/>
  <c r="N56" i="45" s="1"/>
  <c r="B56" i="45"/>
  <c r="T55" i="45"/>
  <c r="P55" i="45"/>
  <c r="N55" i="45"/>
  <c r="L55" i="45"/>
  <c r="H55" i="45"/>
  <c r="D55" i="45"/>
  <c r="B55" i="45"/>
  <c r="Z54" i="45"/>
  <c r="X54" i="45"/>
  <c r="L54" i="45"/>
  <c r="N54" i="45" s="1"/>
  <c r="B54" i="45"/>
  <c r="T53" i="45"/>
  <c r="P53" i="45"/>
  <c r="X53" i="45" s="1"/>
  <c r="H53" i="45"/>
  <c r="D53" i="45"/>
  <c r="B53" i="45"/>
  <c r="Z52" i="45"/>
  <c r="X52" i="45"/>
  <c r="N52" i="45"/>
  <c r="L52" i="45"/>
  <c r="B52" i="45"/>
  <c r="Z51" i="45"/>
  <c r="T51" i="45"/>
  <c r="P51" i="45"/>
  <c r="X51" i="45" s="1"/>
  <c r="N51" i="45"/>
  <c r="L51" i="45"/>
  <c r="H51" i="45"/>
  <c r="D51" i="45"/>
  <c r="B51" i="45"/>
  <c r="Z50" i="45"/>
  <c r="X50" i="45"/>
  <c r="N50" i="45"/>
  <c r="L50" i="45"/>
  <c r="B50" i="45"/>
  <c r="X49" i="45"/>
  <c r="Z49" i="45" s="1"/>
  <c r="T49" i="45"/>
  <c r="P49" i="45"/>
  <c r="H49" i="45"/>
  <c r="D49" i="45"/>
  <c r="L49" i="45" s="1"/>
  <c r="B49" i="45"/>
  <c r="Z48" i="45"/>
  <c r="X48" i="45"/>
  <c r="L48" i="45"/>
  <c r="N48" i="45" s="1"/>
  <c r="B48" i="45"/>
  <c r="T47" i="45"/>
  <c r="P47" i="45"/>
  <c r="X47" i="45" s="1"/>
  <c r="H47" i="45"/>
  <c r="D47" i="45"/>
  <c r="B47" i="45"/>
  <c r="X46" i="45"/>
  <c r="Z46" i="45" s="1"/>
  <c r="N46" i="45"/>
  <c r="L46" i="45"/>
  <c r="B46" i="45"/>
  <c r="T45" i="45"/>
  <c r="P45" i="45"/>
  <c r="X45" i="45" s="1"/>
  <c r="Z45" i="45" s="1"/>
  <c r="H45" i="45"/>
  <c r="D45" i="45"/>
  <c r="L45" i="45" s="1"/>
  <c r="N45" i="45" s="1"/>
  <c r="B45" i="45"/>
  <c r="Z44" i="45"/>
  <c r="X44" i="45"/>
  <c r="L44" i="45"/>
  <c r="N44" i="45" s="1"/>
  <c r="B44" i="45"/>
  <c r="Z43" i="45"/>
  <c r="X43" i="45"/>
  <c r="L43" i="45"/>
  <c r="N43" i="45" s="1"/>
  <c r="B43" i="45"/>
  <c r="Z42" i="45"/>
  <c r="X42" i="45"/>
  <c r="N42" i="45"/>
  <c r="L42" i="45"/>
  <c r="B42" i="45"/>
  <c r="X41" i="45"/>
  <c r="Z41" i="45" s="1"/>
  <c r="N41" i="45"/>
  <c r="L41" i="45"/>
  <c r="B41" i="45"/>
  <c r="Z40" i="45"/>
  <c r="X40" i="45"/>
  <c r="N40" i="45"/>
  <c r="L40" i="45"/>
  <c r="B40" i="45"/>
  <c r="X39" i="45"/>
  <c r="Z39" i="45" s="1"/>
  <c r="L39" i="45"/>
  <c r="N39" i="45" s="1"/>
  <c r="B39" i="45"/>
  <c r="Z38" i="45"/>
  <c r="X38" i="45"/>
  <c r="L38" i="45"/>
  <c r="N38" i="45" s="1"/>
  <c r="B38" i="45"/>
  <c r="T37" i="45"/>
  <c r="P37" i="45"/>
  <c r="X37" i="45" s="1"/>
  <c r="Z37" i="45" s="1"/>
  <c r="H37" i="45"/>
  <c r="D37" i="45"/>
  <c r="L37" i="45" s="1"/>
  <c r="N37" i="45" s="1"/>
  <c r="B37" i="45"/>
  <c r="Z36" i="45"/>
  <c r="X36" i="45"/>
  <c r="N36" i="45"/>
  <c r="L36" i="45"/>
  <c r="B36" i="45"/>
  <c r="X35" i="45"/>
  <c r="Z35" i="45" s="1"/>
  <c r="L35" i="45"/>
  <c r="N35" i="45" s="1"/>
  <c r="B35" i="45"/>
  <c r="Z34" i="45"/>
  <c r="X34" i="45"/>
  <c r="L34" i="45"/>
  <c r="N34" i="45" s="1"/>
  <c r="B34" i="45"/>
  <c r="X33" i="45"/>
  <c r="Z33" i="45" s="1"/>
  <c r="L33" i="45"/>
  <c r="N33" i="45" s="1"/>
  <c r="B33" i="45"/>
  <c r="X32" i="45"/>
  <c r="Z32" i="45" s="1"/>
  <c r="N32" i="45"/>
  <c r="L32" i="45"/>
  <c r="B32" i="45"/>
  <c r="X31" i="45"/>
  <c r="Z31" i="45" s="1"/>
  <c r="L31" i="45"/>
  <c r="N31" i="45" s="1"/>
  <c r="B31" i="45"/>
  <c r="X30" i="45"/>
  <c r="Z30" i="45" s="1"/>
  <c r="L30" i="45"/>
  <c r="N30" i="45" s="1"/>
  <c r="B30" i="45"/>
  <c r="Z29" i="45"/>
  <c r="X29" i="45"/>
  <c r="L29" i="45"/>
  <c r="N29" i="45" s="1"/>
  <c r="B29" i="45"/>
  <c r="Z28" i="45"/>
  <c r="X28" i="45"/>
  <c r="N28" i="45"/>
  <c r="L28" i="45"/>
  <c r="B28" i="45"/>
  <c r="X27" i="45"/>
  <c r="T27" i="45"/>
  <c r="P27" i="45"/>
  <c r="N27" i="45"/>
  <c r="H27" i="45"/>
  <c r="D27" i="45"/>
  <c r="L27" i="45" s="1"/>
  <c r="B27" i="45"/>
  <c r="T26" i="45"/>
  <c r="P26" i="45"/>
  <c r="X26" i="45" s="1"/>
  <c r="H26" i="45"/>
  <c r="D26" i="45"/>
  <c r="Z22" i="45"/>
  <c r="X22" i="45"/>
  <c r="L22" i="45"/>
  <c r="N22" i="45" s="1"/>
  <c r="B22" i="45"/>
  <c r="X21" i="45"/>
  <c r="Z21" i="45" s="1"/>
  <c r="N21" i="45"/>
  <c r="L21" i="45"/>
  <c r="B21" i="45"/>
  <c r="T20" i="45"/>
  <c r="Z20" i="45" s="1"/>
  <c r="P20" i="45"/>
  <c r="X20" i="45" s="1"/>
  <c r="H20" i="45"/>
  <c r="D20" i="45"/>
  <c r="T18" i="45"/>
  <c r="P18" i="45"/>
  <c r="X18" i="45" s="1"/>
  <c r="Z18" i="45" s="1"/>
  <c r="H18" i="45"/>
  <c r="N18" i="45" s="1"/>
  <c r="D18" i="45"/>
  <c r="B18" i="45"/>
  <c r="Z17" i="45"/>
  <c r="T17" i="45"/>
  <c r="X17" i="45" s="1"/>
  <c r="P17" i="45"/>
  <c r="H17" i="45"/>
  <c r="N17" i="45" s="1"/>
  <c r="D17" i="45"/>
  <c r="L17" i="45" s="1"/>
  <c r="B17" i="45"/>
  <c r="T16" i="45"/>
  <c r="P16" i="45"/>
  <c r="L16" i="45"/>
  <c r="N16" i="45" s="1"/>
  <c r="H16" i="45"/>
  <c r="D16" i="45"/>
  <c r="B16" i="45"/>
  <c r="T15" i="45"/>
  <c r="Z15" i="45" s="1"/>
  <c r="P15" i="45"/>
  <c r="X15" i="45" s="1"/>
  <c r="H15" i="45"/>
  <c r="D15" i="45"/>
  <c r="B15" i="45"/>
  <c r="T14" i="45"/>
  <c r="P14" i="45"/>
  <c r="X14" i="45" s="1"/>
  <c r="Z14" i="45" s="1"/>
  <c r="H14" i="45"/>
  <c r="D14" i="45"/>
  <c r="B14" i="45"/>
  <c r="T13" i="45"/>
  <c r="P13" i="45"/>
  <c r="H13" i="45"/>
  <c r="D13" i="45"/>
  <c r="D12" i="45" s="1"/>
  <c r="F30" i="45" s="1"/>
  <c r="B13" i="45"/>
  <c r="D4" i="45"/>
  <c r="X128" i="42"/>
  <c r="Z128" i="42" s="1"/>
  <c r="N128" i="42"/>
  <c r="L128" i="42"/>
  <c r="T124" i="42"/>
  <c r="P124" i="42"/>
  <c r="X124" i="42" s="1"/>
  <c r="H124" i="42"/>
  <c r="N124" i="42" s="1"/>
  <c r="D124" i="42"/>
  <c r="L124" i="42" s="1"/>
  <c r="B124" i="42"/>
  <c r="T123" i="42"/>
  <c r="P123" i="42"/>
  <c r="H123" i="42"/>
  <c r="D123" i="42"/>
  <c r="B123" i="42"/>
  <c r="T122" i="42"/>
  <c r="P122" i="42"/>
  <c r="N122" i="42"/>
  <c r="H122" i="42"/>
  <c r="L122" i="42" s="1"/>
  <c r="D122" i="42"/>
  <c r="B122" i="42"/>
  <c r="D121" i="42"/>
  <c r="X119" i="42"/>
  <c r="Z119" i="42" s="1"/>
  <c r="L119" i="42"/>
  <c r="N119" i="42" s="1"/>
  <c r="B119" i="42"/>
  <c r="T118" i="42"/>
  <c r="P118" i="42"/>
  <c r="X118" i="42" s="1"/>
  <c r="H118" i="42"/>
  <c r="N118" i="42" s="1"/>
  <c r="D118" i="42"/>
  <c r="L118" i="42" s="1"/>
  <c r="B118" i="42"/>
  <c r="X117" i="42"/>
  <c r="Z117" i="42" s="1"/>
  <c r="N117" i="42"/>
  <c r="L117" i="42"/>
  <c r="B117" i="42"/>
  <c r="Z116" i="42"/>
  <c r="X116" i="42"/>
  <c r="N116" i="42"/>
  <c r="L116" i="42"/>
  <c r="B116" i="42"/>
  <c r="X115" i="42"/>
  <c r="Z115" i="42" s="1"/>
  <c r="L115" i="42"/>
  <c r="N115" i="42" s="1"/>
  <c r="B115" i="42"/>
  <c r="X114" i="42"/>
  <c r="Z114" i="42" s="1"/>
  <c r="T114" i="42"/>
  <c r="P114" i="42"/>
  <c r="H114" i="42"/>
  <c r="D114" i="42"/>
  <c r="L114" i="42" s="1"/>
  <c r="N114" i="42" s="1"/>
  <c r="B114" i="42"/>
  <c r="Z113" i="42"/>
  <c r="X113" i="42"/>
  <c r="N113" i="42"/>
  <c r="L113" i="42"/>
  <c r="B113" i="42"/>
  <c r="T112" i="42"/>
  <c r="P112" i="42"/>
  <c r="N112" i="42"/>
  <c r="L112" i="42"/>
  <c r="H112" i="42"/>
  <c r="D112" i="42"/>
  <c r="B112" i="42"/>
  <c r="X111" i="42"/>
  <c r="Z111" i="42" s="1"/>
  <c r="L111" i="42"/>
  <c r="N111" i="42" s="1"/>
  <c r="B111" i="42"/>
  <c r="T110" i="42"/>
  <c r="Z110" i="42" s="1"/>
  <c r="P110" i="42"/>
  <c r="X110" i="42" s="1"/>
  <c r="H110" i="42"/>
  <c r="N110" i="42" s="1"/>
  <c r="D110" i="42"/>
  <c r="L110" i="42" s="1"/>
  <c r="B110" i="42"/>
  <c r="X109" i="42"/>
  <c r="Z109" i="42" s="1"/>
  <c r="N109" i="42"/>
  <c r="L109" i="42"/>
  <c r="B109" i="42"/>
  <c r="Z108" i="42"/>
  <c r="X108" i="42"/>
  <c r="L108" i="42"/>
  <c r="N108" i="42" s="1"/>
  <c r="B108" i="42"/>
  <c r="Z107" i="42"/>
  <c r="X107" i="42"/>
  <c r="N107" i="42"/>
  <c r="L107" i="42"/>
  <c r="B107" i="42"/>
  <c r="X106" i="42"/>
  <c r="Z106" i="42" s="1"/>
  <c r="N106" i="42"/>
  <c r="L106" i="42"/>
  <c r="B106" i="42"/>
  <c r="X105" i="42"/>
  <c r="Z105" i="42" s="1"/>
  <c r="N105" i="42"/>
  <c r="L105" i="42"/>
  <c r="B105" i="42"/>
  <c r="Z104" i="42"/>
  <c r="X104" i="42"/>
  <c r="L104" i="42"/>
  <c r="N104" i="42" s="1"/>
  <c r="B104" i="42"/>
  <c r="X103" i="42"/>
  <c r="Z103" i="42" s="1"/>
  <c r="L103" i="42"/>
  <c r="N103" i="42" s="1"/>
  <c r="B103" i="42"/>
  <c r="X102" i="42"/>
  <c r="Z102" i="42" s="1"/>
  <c r="N102" i="42"/>
  <c r="L102" i="42"/>
  <c r="B102" i="42"/>
  <c r="Z101" i="42"/>
  <c r="X101" i="42"/>
  <c r="N101" i="42"/>
  <c r="L101" i="42"/>
  <c r="B101" i="42"/>
  <c r="Z100" i="42"/>
  <c r="X100" i="42"/>
  <c r="L100" i="42"/>
  <c r="N100" i="42" s="1"/>
  <c r="B100" i="42"/>
  <c r="X99" i="42"/>
  <c r="T99" i="42"/>
  <c r="P99" i="42"/>
  <c r="H99" i="42"/>
  <c r="D99" i="42"/>
  <c r="L99" i="42" s="1"/>
  <c r="B99" i="42"/>
  <c r="Z98" i="42"/>
  <c r="X98" i="42"/>
  <c r="N98" i="42"/>
  <c r="L98" i="42"/>
  <c r="B98" i="42"/>
  <c r="Z97" i="42"/>
  <c r="X97" i="42"/>
  <c r="N97" i="42"/>
  <c r="L97" i="42"/>
  <c r="B97" i="42"/>
  <c r="T96" i="42"/>
  <c r="P96" i="42"/>
  <c r="N96" i="42"/>
  <c r="L96" i="42"/>
  <c r="H96" i="42"/>
  <c r="D96" i="42"/>
  <c r="B96" i="42"/>
  <c r="X95" i="42"/>
  <c r="Z95" i="42" s="1"/>
  <c r="L95" i="42"/>
  <c r="N95" i="42" s="1"/>
  <c r="B95" i="42"/>
  <c r="Z94" i="42"/>
  <c r="X94" i="42"/>
  <c r="L94" i="42"/>
  <c r="N94" i="42" s="1"/>
  <c r="B94" i="42"/>
  <c r="X93" i="42"/>
  <c r="Z93" i="42" s="1"/>
  <c r="L93" i="42"/>
  <c r="N93" i="42" s="1"/>
  <c r="B93" i="42"/>
  <c r="Z92" i="42"/>
  <c r="X92" i="42"/>
  <c r="N92" i="42"/>
  <c r="L92" i="42"/>
  <c r="B92" i="42"/>
  <c r="X91" i="42"/>
  <c r="Z91" i="42" s="1"/>
  <c r="L91" i="42"/>
  <c r="N91" i="42" s="1"/>
  <c r="B91" i="42"/>
  <c r="T90" i="42"/>
  <c r="Z90" i="42" s="1"/>
  <c r="P90" i="42"/>
  <c r="X90" i="42" s="1"/>
  <c r="H90" i="42"/>
  <c r="N90" i="42" s="1"/>
  <c r="D90" i="42"/>
  <c r="L90" i="42" s="1"/>
  <c r="B90" i="42"/>
  <c r="X89" i="42"/>
  <c r="Z89" i="42" s="1"/>
  <c r="N89" i="42"/>
  <c r="L89" i="42"/>
  <c r="B89" i="42"/>
  <c r="Z88" i="42"/>
  <c r="X88" i="42"/>
  <c r="L88" i="42"/>
  <c r="N88" i="42" s="1"/>
  <c r="B88" i="42"/>
  <c r="T87" i="42"/>
  <c r="P87" i="42"/>
  <c r="H87" i="42"/>
  <c r="D87" i="42"/>
  <c r="B87" i="42"/>
  <c r="Z86" i="42"/>
  <c r="X86" i="42"/>
  <c r="N86" i="42"/>
  <c r="L86" i="42"/>
  <c r="B86" i="42"/>
  <c r="Z85" i="42"/>
  <c r="X85" i="42"/>
  <c r="L85" i="42"/>
  <c r="N85" i="42" s="1"/>
  <c r="B85" i="42"/>
  <c r="X84" i="42"/>
  <c r="Z84" i="42" s="1"/>
  <c r="N84" i="42"/>
  <c r="L84" i="42"/>
  <c r="B84" i="42"/>
  <c r="X83" i="42"/>
  <c r="Z83" i="42" s="1"/>
  <c r="L83" i="42"/>
  <c r="N83" i="42" s="1"/>
  <c r="B83" i="42"/>
  <c r="Z82" i="42"/>
  <c r="X82" i="42"/>
  <c r="T82" i="42"/>
  <c r="P82" i="42"/>
  <c r="H82" i="42"/>
  <c r="D82" i="42"/>
  <c r="B82" i="42"/>
  <c r="X81" i="42"/>
  <c r="Z81" i="42" s="1"/>
  <c r="L81" i="42"/>
  <c r="N81" i="42" s="1"/>
  <c r="B81" i="42"/>
  <c r="T80" i="42"/>
  <c r="Z80" i="42" s="1"/>
  <c r="P80" i="42"/>
  <c r="X80" i="42" s="1"/>
  <c r="H80" i="42"/>
  <c r="N80" i="42" s="1"/>
  <c r="D80" i="42"/>
  <c r="L80" i="42" s="1"/>
  <c r="B80" i="42"/>
  <c r="Z79" i="42"/>
  <c r="X79" i="42"/>
  <c r="N79" i="42"/>
  <c r="L79" i="42"/>
  <c r="B79" i="42"/>
  <c r="Z78" i="42"/>
  <c r="X78" i="42"/>
  <c r="T78" i="42"/>
  <c r="P78" i="42"/>
  <c r="N78" i="42"/>
  <c r="H78" i="42"/>
  <c r="D78" i="42"/>
  <c r="L78" i="42" s="1"/>
  <c r="B78" i="42"/>
  <c r="Z77" i="42"/>
  <c r="X77" i="42"/>
  <c r="L77" i="42"/>
  <c r="N77" i="42" s="1"/>
  <c r="B77" i="42"/>
  <c r="T76" i="42"/>
  <c r="P76" i="42"/>
  <c r="N76" i="42"/>
  <c r="L76" i="42"/>
  <c r="H76" i="42"/>
  <c r="D76" i="42"/>
  <c r="B76" i="42"/>
  <c r="X75" i="42"/>
  <c r="Z75" i="42" s="1"/>
  <c r="L75" i="42"/>
  <c r="N75" i="42" s="1"/>
  <c r="B75" i="42"/>
  <c r="T74" i="42"/>
  <c r="P74" i="42"/>
  <c r="X74" i="42" s="1"/>
  <c r="H74" i="42"/>
  <c r="N74" i="42" s="1"/>
  <c r="D74" i="42"/>
  <c r="L74" i="42" s="1"/>
  <c r="B74" i="42"/>
  <c r="X73" i="42"/>
  <c r="Z73" i="42" s="1"/>
  <c r="N73" i="42"/>
  <c r="L73" i="42"/>
  <c r="B73" i="42"/>
  <c r="Z72" i="42"/>
  <c r="X72" i="42"/>
  <c r="L72" i="42"/>
  <c r="N72" i="42" s="1"/>
  <c r="B72" i="42"/>
  <c r="T71" i="42"/>
  <c r="P71" i="42"/>
  <c r="H71" i="42"/>
  <c r="D71" i="42"/>
  <c r="B71" i="42"/>
  <c r="Z70" i="42"/>
  <c r="X70" i="42"/>
  <c r="N70" i="42"/>
  <c r="L70" i="42"/>
  <c r="B70" i="42"/>
  <c r="Z69" i="42"/>
  <c r="T69" i="42"/>
  <c r="P69" i="42"/>
  <c r="X69" i="42" s="1"/>
  <c r="N69" i="42"/>
  <c r="H69" i="42"/>
  <c r="D69" i="42"/>
  <c r="L69" i="42" s="1"/>
  <c r="B69" i="42"/>
  <c r="Z68" i="42"/>
  <c r="X68" i="42"/>
  <c r="N68" i="42"/>
  <c r="L68" i="42"/>
  <c r="B68" i="42"/>
  <c r="T67" i="42"/>
  <c r="P67" i="42"/>
  <c r="X67" i="42" s="1"/>
  <c r="Z67" i="42" s="1"/>
  <c r="L67" i="42"/>
  <c r="H67" i="42"/>
  <c r="N67" i="42" s="1"/>
  <c r="D67" i="42"/>
  <c r="B67" i="42"/>
  <c r="X66" i="42"/>
  <c r="Z66" i="42" s="1"/>
  <c r="N66" i="42"/>
  <c r="L66" i="42"/>
  <c r="B66" i="42"/>
  <c r="T65" i="42"/>
  <c r="P65" i="42"/>
  <c r="H65" i="42"/>
  <c r="D65" i="42"/>
  <c r="B65" i="42"/>
  <c r="X64" i="42"/>
  <c r="Z64" i="42" s="1"/>
  <c r="N64" i="42"/>
  <c r="L64" i="42"/>
  <c r="B64" i="42"/>
  <c r="T63" i="42"/>
  <c r="P63" i="42"/>
  <c r="X63" i="42" s="1"/>
  <c r="H63" i="42"/>
  <c r="D63" i="42"/>
  <c r="B63" i="42"/>
  <c r="Z62" i="42"/>
  <c r="X62" i="42"/>
  <c r="N62" i="42"/>
  <c r="L62" i="42"/>
  <c r="B62" i="42"/>
  <c r="X61" i="42"/>
  <c r="T61" i="42"/>
  <c r="Z61" i="42" s="1"/>
  <c r="P61" i="42"/>
  <c r="N61" i="42"/>
  <c r="H61" i="42"/>
  <c r="D61" i="42"/>
  <c r="L61" i="42" s="1"/>
  <c r="B61" i="42"/>
  <c r="Z60" i="42"/>
  <c r="X60" i="42"/>
  <c r="L60" i="42"/>
  <c r="N60" i="42" s="1"/>
  <c r="B60" i="42"/>
  <c r="X59" i="42"/>
  <c r="Z59" i="42" s="1"/>
  <c r="L59" i="42"/>
  <c r="N59" i="42" s="1"/>
  <c r="B59" i="42"/>
  <c r="X58" i="42"/>
  <c r="Z58" i="42" s="1"/>
  <c r="N58" i="42"/>
  <c r="L58" i="42"/>
  <c r="B58" i="42"/>
  <c r="T57" i="42"/>
  <c r="P57" i="42"/>
  <c r="L57" i="42"/>
  <c r="H57" i="42"/>
  <c r="D57" i="42"/>
  <c r="B57" i="42"/>
  <c r="X56" i="42"/>
  <c r="Z56" i="42" s="1"/>
  <c r="N56" i="42"/>
  <c r="L56" i="42"/>
  <c r="B56" i="42"/>
  <c r="T55" i="42"/>
  <c r="P55" i="42"/>
  <c r="X55" i="42" s="1"/>
  <c r="Z55" i="42" s="1"/>
  <c r="H55" i="42"/>
  <c r="D55" i="42"/>
  <c r="B55" i="42"/>
  <c r="Z54" i="42"/>
  <c r="X54" i="42"/>
  <c r="L54" i="42"/>
  <c r="N54" i="42" s="1"/>
  <c r="B54" i="42"/>
  <c r="X53" i="42"/>
  <c r="T53" i="42"/>
  <c r="Z53" i="42" s="1"/>
  <c r="P53" i="42"/>
  <c r="H53" i="42"/>
  <c r="D53" i="42"/>
  <c r="L53" i="42" s="1"/>
  <c r="N53" i="42" s="1"/>
  <c r="B53" i="42"/>
  <c r="Z52" i="42"/>
  <c r="X52" i="42"/>
  <c r="L52" i="42"/>
  <c r="N52" i="42" s="1"/>
  <c r="B52" i="42"/>
  <c r="X51" i="42"/>
  <c r="T51" i="42"/>
  <c r="P51" i="42"/>
  <c r="H51" i="42"/>
  <c r="D51" i="42"/>
  <c r="B51" i="42"/>
  <c r="Z50" i="42"/>
  <c r="X50" i="42"/>
  <c r="N50" i="42"/>
  <c r="L50" i="42"/>
  <c r="B50" i="42"/>
  <c r="Z49" i="42"/>
  <c r="X49" i="42"/>
  <c r="L49" i="42"/>
  <c r="N49" i="42" s="1"/>
  <c r="B49" i="42"/>
  <c r="X48" i="42"/>
  <c r="Z48" i="42" s="1"/>
  <c r="N48" i="42"/>
  <c r="L48" i="42"/>
  <c r="B48" i="42"/>
  <c r="X47" i="42"/>
  <c r="Z47" i="42" s="1"/>
  <c r="N47" i="42"/>
  <c r="L47" i="42"/>
  <c r="B47" i="42"/>
  <c r="Z46" i="42"/>
  <c r="X46" i="42"/>
  <c r="N46" i="42"/>
  <c r="L46" i="42"/>
  <c r="B46" i="42"/>
  <c r="Z45" i="42"/>
  <c r="X45" i="42"/>
  <c r="L45" i="42"/>
  <c r="N45" i="42" s="1"/>
  <c r="B45" i="42"/>
  <c r="X44" i="42"/>
  <c r="Z44" i="42" s="1"/>
  <c r="N44" i="42"/>
  <c r="L44" i="42"/>
  <c r="B44" i="42"/>
  <c r="T43" i="42"/>
  <c r="P43" i="42"/>
  <c r="X43" i="42" s="1"/>
  <c r="Z43" i="42" s="1"/>
  <c r="N43" i="42"/>
  <c r="H43" i="42"/>
  <c r="D43" i="42"/>
  <c r="L43" i="42" s="1"/>
  <c r="B43" i="42"/>
  <c r="Z42" i="42"/>
  <c r="X42" i="42"/>
  <c r="N42" i="42"/>
  <c r="L42" i="42"/>
  <c r="B42" i="42"/>
  <c r="X41" i="42"/>
  <c r="Z41" i="42" s="1"/>
  <c r="L41" i="42"/>
  <c r="N41" i="42" s="1"/>
  <c r="B41" i="42"/>
  <c r="Z40" i="42"/>
  <c r="X40" i="42"/>
  <c r="N40" i="42"/>
  <c r="L40" i="42"/>
  <c r="B40" i="42"/>
  <c r="X39" i="42"/>
  <c r="Z39" i="42" s="1"/>
  <c r="L39" i="42"/>
  <c r="N39" i="42" s="1"/>
  <c r="B39" i="42"/>
  <c r="Z38" i="42"/>
  <c r="X38" i="42"/>
  <c r="L38" i="42"/>
  <c r="N38" i="42" s="1"/>
  <c r="B38" i="42"/>
  <c r="X37" i="42"/>
  <c r="Z37" i="42" s="1"/>
  <c r="L37" i="42"/>
  <c r="N37" i="42" s="1"/>
  <c r="B37" i="42"/>
  <c r="Z36" i="42"/>
  <c r="X36" i="42"/>
  <c r="N36" i="42"/>
  <c r="L36" i="42"/>
  <c r="B36" i="42"/>
  <c r="Z35" i="42"/>
  <c r="X35" i="42"/>
  <c r="L35" i="42"/>
  <c r="N35" i="42" s="1"/>
  <c r="B35" i="42"/>
  <c r="Z34" i="42"/>
  <c r="X34" i="42"/>
  <c r="L34" i="42"/>
  <c r="N34" i="42" s="1"/>
  <c r="B34" i="42"/>
  <c r="X33" i="42"/>
  <c r="T33" i="42"/>
  <c r="P33" i="42"/>
  <c r="L33" i="42"/>
  <c r="N33" i="42" s="1"/>
  <c r="H33" i="42"/>
  <c r="D33" i="42"/>
  <c r="B33" i="42"/>
  <c r="T32" i="42"/>
  <c r="P32" i="42"/>
  <c r="X32" i="42" s="1"/>
  <c r="Z32" i="42" s="1"/>
  <c r="N32" i="42"/>
  <c r="L32" i="42"/>
  <c r="H32" i="42"/>
  <c r="D32" i="42"/>
  <c r="Z28" i="42"/>
  <c r="X28" i="42"/>
  <c r="L28" i="42"/>
  <c r="N28" i="42" s="1"/>
  <c r="J28" i="42"/>
  <c r="B28" i="42"/>
  <c r="X27" i="42"/>
  <c r="Z27" i="42" s="1"/>
  <c r="L27" i="42"/>
  <c r="N27" i="42" s="1"/>
  <c r="B27" i="42"/>
  <c r="T26" i="42"/>
  <c r="P26" i="42"/>
  <c r="X26" i="42" s="1"/>
  <c r="Z26" i="42" s="1"/>
  <c r="H26" i="42"/>
  <c r="D26" i="42"/>
  <c r="L26" i="42" s="1"/>
  <c r="N26" i="42" s="1"/>
  <c r="Z24" i="42"/>
  <c r="X24" i="42"/>
  <c r="T24" i="42"/>
  <c r="P24" i="42"/>
  <c r="L24" i="42"/>
  <c r="N24" i="42" s="1"/>
  <c r="H24" i="42"/>
  <c r="D24" i="42"/>
  <c r="B24" i="42"/>
  <c r="T23" i="42"/>
  <c r="P23" i="42"/>
  <c r="X23" i="42" s="1"/>
  <c r="N23" i="42"/>
  <c r="H23" i="42"/>
  <c r="D23" i="42"/>
  <c r="L23" i="42" s="1"/>
  <c r="B23" i="42"/>
  <c r="T22" i="42"/>
  <c r="X22" i="42" s="1"/>
  <c r="P22" i="42"/>
  <c r="H22" i="42"/>
  <c r="D22" i="42"/>
  <c r="L22" i="42" s="1"/>
  <c r="B22" i="42"/>
  <c r="X21" i="42"/>
  <c r="T21" i="42"/>
  <c r="P21" i="42"/>
  <c r="N21" i="42"/>
  <c r="L21" i="42"/>
  <c r="H21" i="42"/>
  <c r="D21" i="42"/>
  <c r="B21" i="42"/>
  <c r="Z20" i="42"/>
  <c r="X20" i="42"/>
  <c r="T20" i="42"/>
  <c r="P20" i="42"/>
  <c r="N20" i="42"/>
  <c r="H20" i="42"/>
  <c r="L20" i="42" s="1"/>
  <c r="D20" i="42"/>
  <c r="B20" i="42"/>
  <c r="T19" i="42"/>
  <c r="P19" i="42"/>
  <c r="X19" i="42" s="1"/>
  <c r="N19" i="42"/>
  <c r="H19" i="42"/>
  <c r="D19" i="42"/>
  <c r="L19" i="42" s="1"/>
  <c r="B19" i="42"/>
  <c r="T18" i="42"/>
  <c r="P18" i="42"/>
  <c r="L18" i="42"/>
  <c r="H18" i="42"/>
  <c r="D18" i="42"/>
  <c r="B18" i="42"/>
  <c r="T17" i="42"/>
  <c r="P17" i="42"/>
  <c r="N17" i="42"/>
  <c r="L17" i="42"/>
  <c r="H17" i="42"/>
  <c r="D17" i="42"/>
  <c r="B17" i="42"/>
  <c r="Z16" i="42"/>
  <c r="X16" i="42"/>
  <c r="T16" i="42"/>
  <c r="P16" i="42"/>
  <c r="L16" i="42"/>
  <c r="N16" i="42" s="1"/>
  <c r="H16" i="42"/>
  <c r="H12" i="42" s="1"/>
  <c r="J110" i="42" s="1"/>
  <c r="D16" i="42"/>
  <c r="B16" i="42"/>
  <c r="T15" i="42"/>
  <c r="P15" i="42"/>
  <c r="X15" i="42" s="1"/>
  <c r="N15" i="42"/>
  <c r="H15" i="42"/>
  <c r="D15" i="42"/>
  <c r="L15" i="42" s="1"/>
  <c r="B15" i="42"/>
  <c r="T14" i="42"/>
  <c r="X14" i="42" s="1"/>
  <c r="P14" i="42"/>
  <c r="H14" i="42"/>
  <c r="D14" i="42"/>
  <c r="L14" i="42" s="1"/>
  <c r="B14" i="42"/>
  <c r="X13" i="42"/>
  <c r="T13" i="42"/>
  <c r="P13" i="42"/>
  <c r="L13" i="42"/>
  <c r="N13" i="42" s="1"/>
  <c r="H13" i="42"/>
  <c r="D13" i="42"/>
  <c r="B13" i="42"/>
  <c r="D4" i="42"/>
  <c r="Z138" i="39"/>
  <c r="X138" i="39"/>
  <c r="N138" i="39"/>
  <c r="L138" i="39"/>
  <c r="T134" i="39"/>
  <c r="P134" i="39"/>
  <c r="J134" i="39"/>
  <c r="H134" i="39"/>
  <c r="L134" i="39" s="1"/>
  <c r="N134" i="39" s="1"/>
  <c r="D134" i="39"/>
  <c r="B134" i="39"/>
  <c r="T133" i="39"/>
  <c r="P133" i="39"/>
  <c r="X133" i="39" s="1"/>
  <c r="Z133" i="39" s="1"/>
  <c r="L133" i="39"/>
  <c r="H133" i="39"/>
  <c r="N133" i="39" s="1"/>
  <c r="D133" i="39"/>
  <c r="B133" i="39"/>
  <c r="X132" i="39"/>
  <c r="Z132" i="39" s="1"/>
  <c r="T132" i="39"/>
  <c r="P132" i="39"/>
  <c r="N132" i="39"/>
  <c r="H132" i="39"/>
  <c r="D132" i="39"/>
  <c r="L132" i="39" s="1"/>
  <c r="B132" i="39"/>
  <c r="T131" i="39"/>
  <c r="P131" i="39"/>
  <c r="X131" i="39" s="1"/>
  <c r="H131" i="39"/>
  <c r="D131" i="39"/>
  <c r="L131" i="39" s="1"/>
  <c r="Z129" i="39"/>
  <c r="X129" i="39"/>
  <c r="L129" i="39"/>
  <c r="N129" i="39" s="1"/>
  <c r="B129" i="39"/>
  <c r="T128" i="39"/>
  <c r="P128" i="39"/>
  <c r="N128" i="39"/>
  <c r="J128" i="39"/>
  <c r="H128" i="39"/>
  <c r="L128" i="39" s="1"/>
  <c r="D128" i="39"/>
  <c r="B128" i="39"/>
  <c r="X127" i="39"/>
  <c r="Z127" i="39" s="1"/>
  <c r="L127" i="39"/>
  <c r="N127" i="39" s="1"/>
  <c r="B127" i="39"/>
  <c r="Z126" i="39"/>
  <c r="X126" i="39"/>
  <c r="N126" i="39"/>
  <c r="L126" i="39"/>
  <c r="B126" i="39"/>
  <c r="X125" i="39"/>
  <c r="Z125" i="39" s="1"/>
  <c r="L125" i="39"/>
  <c r="N125" i="39" s="1"/>
  <c r="B125" i="39"/>
  <c r="T124" i="39"/>
  <c r="P124" i="39"/>
  <c r="X124" i="39" s="1"/>
  <c r="H124" i="39"/>
  <c r="N124" i="39" s="1"/>
  <c r="D124" i="39"/>
  <c r="L124" i="39" s="1"/>
  <c r="B124" i="39"/>
  <c r="X123" i="39"/>
  <c r="Z123" i="39" s="1"/>
  <c r="N123" i="39"/>
  <c r="L123" i="39"/>
  <c r="B123" i="39"/>
  <c r="X122" i="39"/>
  <c r="Z122" i="39" s="1"/>
  <c r="T122" i="39"/>
  <c r="P122" i="39"/>
  <c r="N122" i="39"/>
  <c r="H122" i="39"/>
  <c r="D122" i="39"/>
  <c r="L122" i="39" s="1"/>
  <c r="B122" i="39"/>
  <c r="Z121" i="39"/>
  <c r="X121" i="39"/>
  <c r="L121" i="39"/>
  <c r="N121" i="39" s="1"/>
  <c r="B121" i="39"/>
  <c r="T120" i="39"/>
  <c r="P120" i="39"/>
  <c r="N120" i="39"/>
  <c r="J120" i="39"/>
  <c r="H120" i="39"/>
  <c r="L120" i="39" s="1"/>
  <c r="D120" i="39"/>
  <c r="B120" i="39"/>
  <c r="X119" i="39"/>
  <c r="Z119" i="39" s="1"/>
  <c r="L119" i="39"/>
  <c r="N119" i="39" s="1"/>
  <c r="B119" i="39"/>
  <c r="Z118" i="39"/>
  <c r="X118" i="39"/>
  <c r="L118" i="39"/>
  <c r="N118" i="39" s="1"/>
  <c r="B118" i="39"/>
  <c r="Z117" i="39"/>
  <c r="X117" i="39"/>
  <c r="N117" i="39"/>
  <c r="L117" i="39"/>
  <c r="B117" i="39"/>
  <c r="Z116" i="39"/>
  <c r="X116" i="39"/>
  <c r="N116" i="39"/>
  <c r="L116" i="39"/>
  <c r="B116" i="39"/>
  <c r="X115" i="39"/>
  <c r="Z115" i="39" s="1"/>
  <c r="L115" i="39"/>
  <c r="N115" i="39" s="1"/>
  <c r="B115" i="39"/>
  <c r="Z114" i="39"/>
  <c r="X114" i="39"/>
  <c r="L114" i="39"/>
  <c r="N114" i="39" s="1"/>
  <c r="B114" i="39"/>
  <c r="X113" i="39"/>
  <c r="Z113" i="39" s="1"/>
  <c r="L113" i="39"/>
  <c r="N113" i="39" s="1"/>
  <c r="B113" i="39"/>
  <c r="Z112" i="39"/>
  <c r="X112" i="39"/>
  <c r="N112" i="39"/>
  <c r="L112" i="39"/>
  <c r="B112" i="39"/>
  <c r="Z111" i="39"/>
  <c r="X111" i="39"/>
  <c r="N111" i="39"/>
  <c r="L111" i="39"/>
  <c r="B111" i="39"/>
  <c r="Z110" i="39"/>
  <c r="X110" i="39"/>
  <c r="L110" i="39"/>
  <c r="N110" i="39" s="1"/>
  <c r="B110" i="39"/>
  <c r="X109" i="39"/>
  <c r="T109" i="39"/>
  <c r="Z109" i="39" s="1"/>
  <c r="P109" i="39"/>
  <c r="J109" i="39"/>
  <c r="H109" i="39"/>
  <c r="D109" i="39"/>
  <c r="L109" i="39" s="1"/>
  <c r="N109" i="39" s="1"/>
  <c r="B109" i="39"/>
  <c r="Z108" i="39"/>
  <c r="X108" i="39"/>
  <c r="L108" i="39"/>
  <c r="N108" i="39" s="1"/>
  <c r="B108" i="39"/>
  <c r="X107" i="39"/>
  <c r="Z107" i="39" s="1"/>
  <c r="N107" i="39"/>
  <c r="L107" i="39"/>
  <c r="B107" i="39"/>
  <c r="X106" i="39"/>
  <c r="Z106" i="39" s="1"/>
  <c r="T106" i="39"/>
  <c r="P106" i="39"/>
  <c r="H106" i="39"/>
  <c r="D106" i="39"/>
  <c r="L106" i="39" s="1"/>
  <c r="N106" i="39" s="1"/>
  <c r="B106" i="39"/>
  <c r="Z105" i="39"/>
  <c r="X105" i="39"/>
  <c r="L105" i="39"/>
  <c r="N105" i="39" s="1"/>
  <c r="B105" i="39"/>
  <c r="X104" i="39"/>
  <c r="Z104" i="39" s="1"/>
  <c r="N104" i="39"/>
  <c r="L104" i="39"/>
  <c r="J104" i="39"/>
  <c r="B104" i="39"/>
  <c r="Z103" i="39"/>
  <c r="X103" i="39"/>
  <c r="L103" i="39"/>
  <c r="N103" i="39" s="1"/>
  <c r="J103" i="39"/>
  <c r="B103" i="39"/>
  <c r="Z102" i="39"/>
  <c r="X102" i="39"/>
  <c r="N102" i="39"/>
  <c r="L102" i="39"/>
  <c r="B102" i="39"/>
  <c r="Z101" i="39"/>
  <c r="X101" i="39"/>
  <c r="L101" i="39"/>
  <c r="N101" i="39" s="1"/>
  <c r="B101" i="39"/>
  <c r="T100" i="39"/>
  <c r="P100" i="39"/>
  <c r="N100" i="39"/>
  <c r="J100" i="39"/>
  <c r="H100" i="39"/>
  <c r="L100" i="39" s="1"/>
  <c r="D100" i="39"/>
  <c r="B100" i="39"/>
  <c r="X99" i="39"/>
  <c r="Z99" i="39" s="1"/>
  <c r="L99" i="39"/>
  <c r="N99" i="39" s="1"/>
  <c r="B99" i="39"/>
  <c r="Z98" i="39"/>
  <c r="X98" i="39"/>
  <c r="L98" i="39"/>
  <c r="N98" i="39" s="1"/>
  <c r="B98" i="39"/>
  <c r="X97" i="39"/>
  <c r="T97" i="39"/>
  <c r="P97" i="39"/>
  <c r="J97" i="39"/>
  <c r="H97" i="39"/>
  <c r="D97" i="39"/>
  <c r="L97" i="39" s="1"/>
  <c r="N97" i="39" s="1"/>
  <c r="B97" i="39"/>
  <c r="Z96" i="39"/>
  <c r="X96" i="39"/>
  <c r="L96" i="39"/>
  <c r="N96" i="39" s="1"/>
  <c r="B96" i="39"/>
  <c r="X95" i="39"/>
  <c r="Z95" i="39" s="1"/>
  <c r="N95" i="39"/>
  <c r="L95" i="39"/>
  <c r="B95" i="39"/>
  <c r="X94" i="39"/>
  <c r="Z94" i="39" s="1"/>
  <c r="N94" i="39"/>
  <c r="L94" i="39"/>
  <c r="J94" i="39"/>
  <c r="B94" i="39"/>
  <c r="X93" i="39"/>
  <c r="Z93" i="39" s="1"/>
  <c r="N93" i="39"/>
  <c r="L93" i="39"/>
  <c r="B93" i="39"/>
  <c r="T92" i="39"/>
  <c r="P92" i="39"/>
  <c r="X92" i="39" s="1"/>
  <c r="Z92" i="39" s="1"/>
  <c r="L92" i="39"/>
  <c r="N92" i="39" s="1"/>
  <c r="H92" i="39"/>
  <c r="D92" i="39"/>
  <c r="B92" i="39"/>
  <c r="Z91" i="39"/>
  <c r="X91" i="39"/>
  <c r="L91" i="39"/>
  <c r="N91" i="39" s="1"/>
  <c r="J91" i="39"/>
  <c r="B91" i="39"/>
  <c r="T90" i="39"/>
  <c r="X90" i="39" s="1"/>
  <c r="Z90" i="39" s="1"/>
  <c r="P90" i="39"/>
  <c r="H90" i="39"/>
  <c r="D90" i="39"/>
  <c r="B90" i="39"/>
  <c r="Z89" i="39"/>
  <c r="X89" i="39"/>
  <c r="N89" i="39"/>
  <c r="L89" i="39"/>
  <c r="B89" i="39"/>
  <c r="Z88" i="39"/>
  <c r="T88" i="39"/>
  <c r="P88" i="39"/>
  <c r="X88" i="39" s="1"/>
  <c r="H88" i="39"/>
  <c r="N88" i="39" s="1"/>
  <c r="D88" i="39"/>
  <c r="L88" i="39" s="1"/>
  <c r="B88" i="39"/>
  <c r="X87" i="39"/>
  <c r="Z87" i="39" s="1"/>
  <c r="N87" i="39"/>
  <c r="L87" i="39"/>
  <c r="B87" i="39"/>
  <c r="X86" i="39"/>
  <c r="Z86" i="39" s="1"/>
  <c r="T86" i="39"/>
  <c r="P86" i="39"/>
  <c r="H86" i="39"/>
  <c r="D86" i="39"/>
  <c r="L86" i="39" s="1"/>
  <c r="N86" i="39" s="1"/>
  <c r="B86" i="39"/>
  <c r="Z85" i="39"/>
  <c r="X85" i="39"/>
  <c r="L85" i="39"/>
  <c r="N85" i="39" s="1"/>
  <c r="B85" i="39"/>
  <c r="T84" i="39"/>
  <c r="P84" i="39"/>
  <c r="J84" i="39"/>
  <c r="H84" i="39"/>
  <c r="L84" i="39" s="1"/>
  <c r="N84" i="39" s="1"/>
  <c r="D84" i="39"/>
  <c r="B84" i="39"/>
  <c r="X83" i="39"/>
  <c r="Z83" i="39" s="1"/>
  <c r="L83" i="39"/>
  <c r="N83" i="39" s="1"/>
  <c r="B83" i="39"/>
  <c r="Z82" i="39"/>
  <c r="X82" i="39"/>
  <c r="L82" i="39"/>
  <c r="N82" i="39" s="1"/>
  <c r="B82" i="39"/>
  <c r="X81" i="39"/>
  <c r="T81" i="39"/>
  <c r="P81" i="39"/>
  <c r="J81" i="39"/>
  <c r="H81" i="39"/>
  <c r="D81" i="39"/>
  <c r="L81" i="39" s="1"/>
  <c r="N81" i="39" s="1"/>
  <c r="B81" i="39"/>
  <c r="Z80" i="39"/>
  <c r="X80" i="39"/>
  <c r="N80" i="39"/>
  <c r="L80" i="39"/>
  <c r="B80" i="39"/>
  <c r="X79" i="39"/>
  <c r="Z79" i="39" s="1"/>
  <c r="N79" i="39"/>
  <c r="L79" i="39"/>
  <c r="B79" i="39"/>
  <c r="X78" i="39"/>
  <c r="Z78" i="39" s="1"/>
  <c r="T78" i="39"/>
  <c r="P78" i="39"/>
  <c r="N78" i="39"/>
  <c r="H78" i="39"/>
  <c r="D78" i="39"/>
  <c r="L78" i="39" s="1"/>
  <c r="B78" i="39"/>
  <c r="Z77" i="39"/>
  <c r="X77" i="39"/>
  <c r="L77" i="39"/>
  <c r="N77" i="39" s="1"/>
  <c r="B77" i="39"/>
  <c r="T76" i="39"/>
  <c r="P76" i="39"/>
  <c r="N76" i="39"/>
  <c r="J76" i="39"/>
  <c r="H76" i="39"/>
  <c r="L76" i="39" s="1"/>
  <c r="D76" i="39"/>
  <c r="B76" i="39"/>
  <c r="X75" i="39"/>
  <c r="Z75" i="39" s="1"/>
  <c r="L75" i="39"/>
  <c r="N75" i="39" s="1"/>
  <c r="B75" i="39"/>
  <c r="T74" i="39"/>
  <c r="P74" i="39"/>
  <c r="X74" i="39" s="1"/>
  <c r="J74" i="39"/>
  <c r="H74" i="39"/>
  <c r="D74" i="39"/>
  <c r="L74" i="39" s="1"/>
  <c r="N74" i="39" s="1"/>
  <c r="B74" i="39"/>
  <c r="X73" i="39"/>
  <c r="Z73" i="39" s="1"/>
  <c r="N73" i="39"/>
  <c r="L73" i="39"/>
  <c r="B73" i="39"/>
  <c r="T72" i="39"/>
  <c r="P72" i="39"/>
  <c r="X72" i="39" s="1"/>
  <c r="Z72" i="39" s="1"/>
  <c r="L72" i="39"/>
  <c r="N72" i="39" s="1"/>
  <c r="H72" i="39"/>
  <c r="D72" i="39"/>
  <c r="B72" i="39"/>
  <c r="Z71" i="39"/>
  <c r="X71" i="39"/>
  <c r="L71" i="39"/>
  <c r="N71" i="39" s="1"/>
  <c r="J71" i="39"/>
  <c r="B71" i="39"/>
  <c r="T70" i="39"/>
  <c r="X70" i="39" s="1"/>
  <c r="Z70" i="39" s="1"/>
  <c r="P70" i="39"/>
  <c r="H70" i="39"/>
  <c r="D70" i="39"/>
  <c r="B70" i="39"/>
  <c r="X69" i="39"/>
  <c r="Z69" i="39" s="1"/>
  <c r="L69" i="39"/>
  <c r="N69" i="39" s="1"/>
  <c r="B69" i="39"/>
  <c r="Z68" i="39"/>
  <c r="X68" i="39"/>
  <c r="N68" i="39"/>
  <c r="L68" i="39"/>
  <c r="B68" i="39"/>
  <c r="X67" i="39"/>
  <c r="Z67" i="39" s="1"/>
  <c r="L67" i="39"/>
  <c r="N67" i="39" s="1"/>
  <c r="B67" i="39"/>
  <c r="T66" i="39"/>
  <c r="Z66" i="39" s="1"/>
  <c r="P66" i="39"/>
  <c r="X66" i="39" s="1"/>
  <c r="J66" i="39"/>
  <c r="H66" i="39"/>
  <c r="D66" i="39"/>
  <c r="L66" i="39" s="1"/>
  <c r="N66" i="39" s="1"/>
  <c r="B66" i="39"/>
  <c r="X65" i="39"/>
  <c r="Z65" i="39" s="1"/>
  <c r="N65" i="39"/>
  <c r="L65" i="39"/>
  <c r="B65" i="39"/>
  <c r="Z64" i="39"/>
  <c r="T64" i="39"/>
  <c r="P64" i="39"/>
  <c r="X64" i="39" s="1"/>
  <c r="L64" i="39"/>
  <c r="N64" i="39" s="1"/>
  <c r="H64" i="39"/>
  <c r="D64" i="39"/>
  <c r="B64" i="39"/>
  <c r="Z63" i="39"/>
  <c r="X63" i="39"/>
  <c r="L63" i="39"/>
  <c r="N63" i="39" s="1"/>
  <c r="J63" i="39"/>
  <c r="B63" i="39"/>
  <c r="Z62" i="39"/>
  <c r="T62" i="39"/>
  <c r="X62" i="39" s="1"/>
  <c r="P62" i="39"/>
  <c r="H62" i="39"/>
  <c r="D62" i="39"/>
  <c r="B62" i="39"/>
  <c r="X61" i="39"/>
  <c r="Z61" i="39" s="1"/>
  <c r="L61" i="39"/>
  <c r="N61" i="39" s="1"/>
  <c r="B61" i="39"/>
  <c r="T60" i="39"/>
  <c r="P60" i="39"/>
  <c r="X60" i="39" s="1"/>
  <c r="Z60" i="39" s="1"/>
  <c r="H60" i="39"/>
  <c r="D60" i="39"/>
  <c r="L60" i="39" s="1"/>
  <c r="B60" i="39"/>
  <c r="X59" i="39"/>
  <c r="Z59" i="39" s="1"/>
  <c r="N59" i="39"/>
  <c r="L59" i="39"/>
  <c r="B59" i="39"/>
  <c r="X58" i="39"/>
  <c r="Z58" i="39" s="1"/>
  <c r="N58" i="39"/>
  <c r="L58" i="39"/>
  <c r="J58" i="39"/>
  <c r="B58" i="39"/>
  <c r="X57" i="39"/>
  <c r="Z57" i="39" s="1"/>
  <c r="N57" i="39"/>
  <c r="L57" i="39"/>
  <c r="B57" i="39"/>
  <c r="Z56" i="39"/>
  <c r="X56" i="39"/>
  <c r="L56" i="39"/>
  <c r="N56" i="39" s="1"/>
  <c r="J56" i="39"/>
  <c r="B56" i="39"/>
  <c r="X55" i="39"/>
  <c r="Z55" i="39" s="1"/>
  <c r="N55" i="39"/>
  <c r="L55" i="39"/>
  <c r="B55" i="39"/>
  <c r="X54" i="39"/>
  <c r="Z54" i="39" s="1"/>
  <c r="N54" i="39"/>
  <c r="L54" i="39"/>
  <c r="J54" i="39"/>
  <c r="B54" i="39"/>
  <c r="X53" i="39"/>
  <c r="Z53" i="39" s="1"/>
  <c r="N53" i="39"/>
  <c r="L53" i="39"/>
  <c r="B53" i="39"/>
  <c r="T52" i="39"/>
  <c r="P52" i="39"/>
  <c r="X52" i="39" s="1"/>
  <c r="Z52" i="39" s="1"/>
  <c r="L52" i="39"/>
  <c r="N52" i="39" s="1"/>
  <c r="H52" i="39"/>
  <c r="D52" i="39"/>
  <c r="B52" i="39"/>
  <c r="Z51" i="39"/>
  <c r="X51" i="39"/>
  <c r="L51" i="39"/>
  <c r="N51" i="39" s="1"/>
  <c r="J51" i="39"/>
  <c r="B51" i="39"/>
  <c r="Z50" i="39"/>
  <c r="X50" i="39"/>
  <c r="N50" i="39"/>
  <c r="L50" i="39"/>
  <c r="B50" i="39"/>
  <c r="Z49" i="39"/>
  <c r="X49" i="39"/>
  <c r="L49" i="39"/>
  <c r="N49" i="39" s="1"/>
  <c r="B49" i="39"/>
  <c r="X48" i="39"/>
  <c r="Z48" i="39" s="1"/>
  <c r="N48" i="39"/>
  <c r="L48" i="39"/>
  <c r="J48" i="39"/>
  <c r="B48" i="39"/>
  <c r="Z47" i="39"/>
  <c r="X47" i="39"/>
  <c r="L47" i="39"/>
  <c r="N47" i="39" s="1"/>
  <c r="J47" i="39"/>
  <c r="B47" i="39"/>
  <c r="Z46" i="39"/>
  <c r="X46" i="39"/>
  <c r="N46" i="39"/>
  <c r="L46" i="39"/>
  <c r="B46" i="39"/>
  <c r="Z45" i="39"/>
  <c r="X45" i="39"/>
  <c r="L45" i="39"/>
  <c r="N45" i="39" s="1"/>
  <c r="B45" i="39"/>
  <c r="X44" i="39"/>
  <c r="Z44" i="39" s="1"/>
  <c r="N44" i="39"/>
  <c r="L44" i="39"/>
  <c r="J44" i="39"/>
  <c r="B44" i="39"/>
  <c r="Z43" i="39"/>
  <c r="X43" i="39"/>
  <c r="L43" i="39"/>
  <c r="N43" i="39" s="1"/>
  <c r="J43" i="39"/>
  <c r="B43" i="39"/>
  <c r="Z42" i="39"/>
  <c r="T42" i="39"/>
  <c r="X42" i="39" s="1"/>
  <c r="P42" i="39"/>
  <c r="H42" i="39"/>
  <c r="D42" i="39"/>
  <c r="B42" i="39"/>
  <c r="X41" i="39"/>
  <c r="T41" i="39"/>
  <c r="P41" i="39"/>
  <c r="J41" i="39"/>
  <c r="H41" i="39"/>
  <c r="D41" i="39"/>
  <c r="L41" i="39" s="1"/>
  <c r="X37" i="39"/>
  <c r="Z37" i="39" s="1"/>
  <c r="L37" i="39"/>
  <c r="N37" i="39" s="1"/>
  <c r="B37" i="39"/>
  <c r="Z36" i="39"/>
  <c r="X36" i="39"/>
  <c r="N36" i="39"/>
  <c r="L36" i="39"/>
  <c r="B36" i="39"/>
  <c r="T35" i="39"/>
  <c r="P35" i="39"/>
  <c r="X35" i="39" s="1"/>
  <c r="L35" i="39"/>
  <c r="H35" i="39"/>
  <c r="N35" i="39" s="1"/>
  <c r="D35" i="39"/>
  <c r="T33" i="39"/>
  <c r="P33" i="39"/>
  <c r="H33" i="39"/>
  <c r="N33" i="39" s="1"/>
  <c r="D33" i="39"/>
  <c r="L33" i="39" s="1"/>
  <c r="B33" i="39"/>
  <c r="T32" i="39"/>
  <c r="Z32" i="39" s="1"/>
  <c r="P32" i="39"/>
  <c r="X32" i="39" s="1"/>
  <c r="L32" i="39"/>
  <c r="N32" i="39" s="1"/>
  <c r="H32" i="39"/>
  <c r="D32" i="39"/>
  <c r="B32" i="39"/>
  <c r="X31" i="39"/>
  <c r="T31" i="39"/>
  <c r="Z31" i="39" s="1"/>
  <c r="P31" i="39"/>
  <c r="H31" i="39"/>
  <c r="N31" i="39" s="1"/>
  <c r="D31" i="39"/>
  <c r="L31" i="39" s="1"/>
  <c r="B31" i="39"/>
  <c r="T30" i="39"/>
  <c r="P30" i="39"/>
  <c r="N30" i="39"/>
  <c r="H30" i="39"/>
  <c r="L30" i="39" s="1"/>
  <c r="D30" i="39"/>
  <c r="B30" i="39"/>
  <c r="T29" i="39"/>
  <c r="P29" i="39"/>
  <c r="H29" i="39"/>
  <c r="D29" i="39"/>
  <c r="L29" i="39" s="1"/>
  <c r="B29" i="39"/>
  <c r="T28" i="39"/>
  <c r="Z28" i="39" s="1"/>
  <c r="P28" i="39"/>
  <c r="X28" i="39" s="1"/>
  <c r="L28" i="39"/>
  <c r="N28" i="39" s="1"/>
  <c r="H28" i="39"/>
  <c r="D28" i="39"/>
  <c r="B28" i="39"/>
  <c r="X27" i="39"/>
  <c r="T27" i="39"/>
  <c r="Z27" i="39" s="1"/>
  <c r="P27" i="39"/>
  <c r="H27" i="39"/>
  <c r="D27" i="39"/>
  <c r="L27" i="39" s="1"/>
  <c r="B27" i="39"/>
  <c r="T26" i="39"/>
  <c r="P26" i="39"/>
  <c r="N26" i="39"/>
  <c r="H26" i="39"/>
  <c r="L26" i="39" s="1"/>
  <c r="D26" i="39"/>
  <c r="B26" i="39"/>
  <c r="T25" i="39"/>
  <c r="P25" i="39"/>
  <c r="H25" i="39"/>
  <c r="D25" i="39"/>
  <c r="L25" i="39" s="1"/>
  <c r="B25" i="39"/>
  <c r="T24" i="39"/>
  <c r="Z24" i="39" s="1"/>
  <c r="P24" i="39"/>
  <c r="X24" i="39" s="1"/>
  <c r="N24" i="39"/>
  <c r="L24" i="39"/>
  <c r="H24" i="39"/>
  <c r="D24" i="39"/>
  <c r="B24" i="39"/>
  <c r="X23" i="39"/>
  <c r="T23" i="39"/>
  <c r="P23" i="39"/>
  <c r="H23" i="39"/>
  <c r="N23" i="39" s="1"/>
  <c r="D23" i="39"/>
  <c r="L23" i="39" s="1"/>
  <c r="B23" i="39"/>
  <c r="T22" i="39"/>
  <c r="Z22" i="39" s="1"/>
  <c r="P22" i="39"/>
  <c r="X22" i="39" s="1"/>
  <c r="N22" i="39"/>
  <c r="L22" i="39"/>
  <c r="H22" i="39"/>
  <c r="D22" i="39"/>
  <c r="B22" i="39"/>
  <c r="T21" i="39"/>
  <c r="P21" i="39"/>
  <c r="H21" i="39"/>
  <c r="D21" i="39"/>
  <c r="L21" i="39" s="1"/>
  <c r="B21" i="39"/>
  <c r="T20" i="39"/>
  <c r="Z20" i="39" s="1"/>
  <c r="P20" i="39"/>
  <c r="X20" i="39" s="1"/>
  <c r="N20" i="39"/>
  <c r="L20" i="39"/>
  <c r="H20" i="39"/>
  <c r="D20" i="39"/>
  <c r="B20" i="39"/>
  <c r="X19" i="39"/>
  <c r="T19" i="39"/>
  <c r="Z19" i="39" s="1"/>
  <c r="P19" i="39"/>
  <c r="H19" i="39"/>
  <c r="N19" i="39" s="1"/>
  <c r="D19" i="39"/>
  <c r="L19" i="39" s="1"/>
  <c r="B19" i="39"/>
  <c r="T18" i="39"/>
  <c r="P18" i="39"/>
  <c r="X18" i="39" s="1"/>
  <c r="N18" i="39"/>
  <c r="L18" i="39"/>
  <c r="H18" i="39"/>
  <c r="D18" i="39"/>
  <c r="B18" i="39"/>
  <c r="T17" i="39"/>
  <c r="P17" i="39"/>
  <c r="L17" i="39"/>
  <c r="H17" i="39"/>
  <c r="D17" i="39"/>
  <c r="B17" i="39"/>
  <c r="T16" i="39"/>
  <c r="P16" i="39"/>
  <c r="X16" i="39" s="1"/>
  <c r="L16" i="39"/>
  <c r="N16" i="39" s="1"/>
  <c r="H16" i="39"/>
  <c r="D16" i="39"/>
  <c r="B16" i="39"/>
  <c r="X15" i="39"/>
  <c r="T15" i="39"/>
  <c r="P15" i="39"/>
  <c r="H15" i="39"/>
  <c r="D15" i="39"/>
  <c r="L15" i="39" s="1"/>
  <c r="B15" i="39"/>
  <c r="T14" i="39"/>
  <c r="P14" i="39"/>
  <c r="X14" i="39" s="1"/>
  <c r="N14" i="39"/>
  <c r="L14" i="39"/>
  <c r="H14" i="39"/>
  <c r="D14" i="39"/>
  <c r="B14" i="39"/>
  <c r="T13" i="39"/>
  <c r="P13" i="39"/>
  <c r="P12" i="39" s="1"/>
  <c r="H13" i="39"/>
  <c r="D13" i="39"/>
  <c r="B13" i="39"/>
  <c r="H12" i="39"/>
  <c r="J133" i="39" s="1"/>
  <c r="D4" i="39"/>
  <c r="Z131" i="36"/>
  <c r="X131" i="36"/>
  <c r="L131" i="36"/>
  <c r="N131" i="36" s="1"/>
  <c r="X127" i="36"/>
  <c r="T127" i="36"/>
  <c r="P127" i="36"/>
  <c r="H127" i="36"/>
  <c r="D127" i="36"/>
  <c r="L127" i="36" s="1"/>
  <c r="B127" i="36"/>
  <c r="T126" i="36"/>
  <c r="X126" i="36" s="1"/>
  <c r="Z126" i="36" s="1"/>
  <c r="P126" i="36"/>
  <c r="H126" i="36"/>
  <c r="D126" i="36"/>
  <c r="B126" i="36"/>
  <c r="X125" i="36"/>
  <c r="T125" i="36"/>
  <c r="P125" i="36"/>
  <c r="H125" i="36"/>
  <c r="H124" i="36" s="1"/>
  <c r="D125" i="36"/>
  <c r="B125" i="36"/>
  <c r="P124" i="36"/>
  <c r="Z122" i="36"/>
  <c r="X122" i="36"/>
  <c r="L122" i="36"/>
  <c r="N122" i="36" s="1"/>
  <c r="B122" i="36"/>
  <c r="T121" i="36"/>
  <c r="P121" i="36"/>
  <c r="H121" i="36"/>
  <c r="N121" i="36" s="1"/>
  <c r="D121" i="36"/>
  <c r="L121" i="36" s="1"/>
  <c r="B121" i="36"/>
  <c r="Z120" i="36"/>
  <c r="X120" i="36"/>
  <c r="N120" i="36"/>
  <c r="L120" i="36"/>
  <c r="B120" i="36"/>
  <c r="Z119" i="36"/>
  <c r="X119" i="36"/>
  <c r="R119" i="36"/>
  <c r="N119" i="36"/>
  <c r="L119" i="36"/>
  <c r="B119" i="36"/>
  <c r="X118" i="36"/>
  <c r="Z118" i="36" s="1"/>
  <c r="R118" i="36"/>
  <c r="N118" i="36"/>
  <c r="L118" i="36"/>
  <c r="B118" i="36"/>
  <c r="T117" i="36"/>
  <c r="P117" i="36"/>
  <c r="X117" i="36" s="1"/>
  <c r="H117" i="36"/>
  <c r="D117" i="36"/>
  <c r="B117" i="36"/>
  <c r="Z116" i="36"/>
  <c r="X116" i="36"/>
  <c r="L116" i="36"/>
  <c r="N116" i="36" s="1"/>
  <c r="B116" i="36"/>
  <c r="X115" i="36"/>
  <c r="T115" i="36"/>
  <c r="P115" i="36"/>
  <c r="H115" i="36"/>
  <c r="N115" i="36" s="1"/>
  <c r="D115" i="36"/>
  <c r="L115" i="36" s="1"/>
  <c r="B115" i="36"/>
  <c r="Z114" i="36"/>
  <c r="X114" i="36"/>
  <c r="L114" i="36"/>
  <c r="N114" i="36" s="1"/>
  <c r="B114" i="36"/>
  <c r="T113" i="36"/>
  <c r="P113" i="36"/>
  <c r="H113" i="36"/>
  <c r="N113" i="36" s="1"/>
  <c r="D113" i="36"/>
  <c r="L113" i="36" s="1"/>
  <c r="B113" i="36"/>
  <c r="Z112" i="36"/>
  <c r="X112" i="36"/>
  <c r="V112" i="36"/>
  <c r="N112" i="36"/>
  <c r="L112" i="36"/>
  <c r="B112" i="36"/>
  <c r="Z111" i="36"/>
  <c r="X111" i="36"/>
  <c r="R111" i="36"/>
  <c r="L111" i="36"/>
  <c r="N111" i="36" s="1"/>
  <c r="B111" i="36"/>
  <c r="Z110" i="36"/>
  <c r="X110" i="36"/>
  <c r="N110" i="36"/>
  <c r="L110" i="36"/>
  <c r="B110" i="36"/>
  <c r="Z109" i="36"/>
  <c r="X109" i="36"/>
  <c r="L109" i="36"/>
  <c r="N109" i="36" s="1"/>
  <c r="B109" i="36"/>
  <c r="Z108" i="36"/>
  <c r="X108" i="36"/>
  <c r="N108" i="36"/>
  <c r="L108" i="36"/>
  <c r="B108" i="36"/>
  <c r="Z107" i="36"/>
  <c r="X107" i="36"/>
  <c r="L107" i="36"/>
  <c r="N107" i="36" s="1"/>
  <c r="B107" i="36"/>
  <c r="X106" i="36"/>
  <c r="Z106" i="36" s="1"/>
  <c r="N106" i="36"/>
  <c r="L106" i="36"/>
  <c r="B106" i="36"/>
  <c r="Z105" i="36"/>
  <c r="X105" i="36"/>
  <c r="L105" i="36"/>
  <c r="N105" i="36" s="1"/>
  <c r="B105" i="36"/>
  <c r="Z104" i="36"/>
  <c r="X104" i="36"/>
  <c r="N104" i="36"/>
  <c r="L104" i="36"/>
  <c r="B104" i="36"/>
  <c r="Z103" i="36"/>
  <c r="X103" i="36"/>
  <c r="L103" i="36"/>
  <c r="N103" i="36" s="1"/>
  <c r="B103" i="36"/>
  <c r="T102" i="36"/>
  <c r="P102" i="36"/>
  <c r="H102" i="36"/>
  <c r="L102" i="36" s="1"/>
  <c r="N102" i="36" s="1"/>
  <c r="D102" i="36"/>
  <c r="B102" i="36"/>
  <c r="X101" i="36"/>
  <c r="Z101" i="36" s="1"/>
  <c r="L101" i="36"/>
  <c r="N101" i="36" s="1"/>
  <c r="B101" i="36"/>
  <c r="Z100" i="36"/>
  <c r="X100" i="36"/>
  <c r="N100" i="36"/>
  <c r="L100" i="36"/>
  <c r="B100" i="36"/>
  <c r="X99" i="36"/>
  <c r="T99" i="36"/>
  <c r="Z99" i="36" s="1"/>
  <c r="P99" i="36"/>
  <c r="H99" i="36"/>
  <c r="D99" i="36"/>
  <c r="L99" i="36" s="1"/>
  <c r="B99" i="36"/>
  <c r="Z98" i="36"/>
  <c r="X98" i="36"/>
  <c r="L98" i="36"/>
  <c r="N98" i="36" s="1"/>
  <c r="B98" i="36"/>
  <c r="X97" i="36"/>
  <c r="Z97" i="36" s="1"/>
  <c r="R97" i="36"/>
  <c r="N97" i="36"/>
  <c r="L97" i="36"/>
  <c r="B97" i="36"/>
  <c r="X96" i="36"/>
  <c r="Z96" i="36" s="1"/>
  <c r="N96" i="36"/>
  <c r="L96" i="36"/>
  <c r="B96" i="36"/>
  <c r="X95" i="36"/>
  <c r="Z95" i="36" s="1"/>
  <c r="R95" i="36"/>
  <c r="N95" i="36"/>
  <c r="L95" i="36"/>
  <c r="B95" i="36"/>
  <c r="Z94" i="36"/>
  <c r="X94" i="36"/>
  <c r="L94" i="36"/>
  <c r="N94" i="36" s="1"/>
  <c r="B94" i="36"/>
  <c r="T93" i="36"/>
  <c r="P93" i="36"/>
  <c r="H93" i="36"/>
  <c r="D93" i="36"/>
  <c r="B93" i="36"/>
  <c r="Z92" i="36"/>
  <c r="X92" i="36"/>
  <c r="N92" i="36"/>
  <c r="L92" i="36"/>
  <c r="B92" i="36"/>
  <c r="Z91" i="36"/>
  <c r="X91" i="36"/>
  <c r="R91" i="36"/>
  <c r="L91" i="36"/>
  <c r="N91" i="36" s="1"/>
  <c r="B91" i="36"/>
  <c r="T90" i="36"/>
  <c r="P90" i="36"/>
  <c r="N90" i="36"/>
  <c r="H90" i="36"/>
  <c r="L90" i="36" s="1"/>
  <c r="D90" i="36"/>
  <c r="B90" i="36"/>
  <c r="X89" i="36"/>
  <c r="Z89" i="36" s="1"/>
  <c r="V89" i="36"/>
  <c r="L89" i="36"/>
  <c r="N89" i="36" s="1"/>
  <c r="B89" i="36"/>
  <c r="Z88" i="36"/>
  <c r="X88" i="36"/>
  <c r="L88" i="36"/>
  <c r="N88" i="36" s="1"/>
  <c r="B88" i="36"/>
  <c r="X87" i="36"/>
  <c r="Z87" i="36" s="1"/>
  <c r="N87" i="36"/>
  <c r="L87" i="36"/>
  <c r="F87" i="36"/>
  <c r="B87" i="36"/>
  <c r="Z86" i="36"/>
  <c r="X86" i="36"/>
  <c r="N86" i="36"/>
  <c r="L86" i="36"/>
  <c r="B86" i="36"/>
  <c r="T85" i="36"/>
  <c r="Z85" i="36" s="1"/>
  <c r="P85" i="36"/>
  <c r="X85" i="36" s="1"/>
  <c r="L85" i="36"/>
  <c r="H85" i="36"/>
  <c r="D85" i="36"/>
  <c r="B85" i="36"/>
  <c r="X84" i="36"/>
  <c r="Z84" i="36" s="1"/>
  <c r="N84" i="36"/>
  <c r="L84" i="36"/>
  <c r="B84" i="36"/>
  <c r="T83" i="36"/>
  <c r="P83" i="36"/>
  <c r="H83" i="36"/>
  <c r="D83" i="36"/>
  <c r="B83" i="36"/>
  <c r="Z82" i="36"/>
  <c r="X82" i="36"/>
  <c r="N82" i="36"/>
  <c r="L82" i="36"/>
  <c r="B82" i="36"/>
  <c r="T81" i="36"/>
  <c r="P81" i="36"/>
  <c r="X81" i="36" s="1"/>
  <c r="H81" i="36"/>
  <c r="N81" i="36" s="1"/>
  <c r="D81" i="36"/>
  <c r="L81" i="36" s="1"/>
  <c r="B81" i="36"/>
  <c r="Z80" i="36"/>
  <c r="X80" i="36"/>
  <c r="N80" i="36"/>
  <c r="L80" i="36"/>
  <c r="B80" i="36"/>
  <c r="X79" i="36"/>
  <c r="T79" i="36"/>
  <c r="Z79" i="36" s="1"/>
  <c r="P79" i="36"/>
  <c r="H79" i="36"/>
  <c r="N79" i="36" s="1"/>
  <c r="D79" i="36"/>
  <c r="L79" i="36" s="1"/>
  <c r="B79" i="36"/>
  <c r="Z78" i="36"/>
  <c r="X78" i="36"/>
  <c r="N78" i="36"/>
  <c r="L78" i="36"/>
  <c r="B78" i="36"/>
  <c r="T77" i="36"/>
  <c r="P77" i="36"/>
  <c r="H77" i="36"/>
  <c r="D77" i="36"/>
  <c r="B77" i="36"/>
  <c r="Z76" i="36"/>
  <c r="X76" i="36"/>
  <c r="N76" i="36"/>
  <c r="L76" i="36"/>
  <c r="B76" i="36"/>
  <c r="T75" i="36"/>
  <c r="Z75" i="36" s="1"/>
  <c r="P75" i="36"/>
  <c r="X75" i="36" s="1"/>
  <c r="H75" i="36"/>
  <c r="N75" i="36" s="1"/>
  <c r="D75" i="36"/>
  <c r="L75" i="36" s="1"/>
  <c r="B75" i="36"/>
  <c r="Z74" i="36"/>
  <c r="X74" i="36"/>
  <c r="V74" i="36"/>
  <c r="N74" i="36"/>
  <c r="L74" i="36"/>
  <c r="B74" i="36"/>
  <c r="X73" i="36"/>
  <c r="Z73" i="36" s="1"/>
  <c r="L73" i="36"/>
  <c r="N73" i="36" s="1"/>
  <c r="B73" i="36"/>
  <c r="T72" i="36"/>
  <c r="R72" i="36"/>
  <c r="P72" i="36"/>
  <c r="X72" i="36" s="1"/>
  <c r="H72" i="36"/>
  <c r="D72" i="36"/>
  <c r="L72" i="36" s="1"/>
  <c r="N72" i="36" s="1"/>
  <c r="B72" i="36"/>
  <c r="X71" i="36"/>
  <c r="Z71" i="36" s="1"/>
  <c r="R71" i="36"/>
  <c r="N71" i="36"/>
  <c r="L71" i="36"/>
  <c r="B71" i="36"/>
  <c r="Z70" i="36"/>
  <c r="X70" i="36"/>
  <c r="T70" i="36"/>
  <c r="P70" i="36"/>
  <c r="N70" i="36"/>
  <c r="L70" i="36"/>
  <c r="H70" i="36"/>
  <c r="D70" i="36"/>
  <c r="B70" i="36"/>
  <c r="Z69" i="36"/>
  <c r="X69" i="36"/>
  <c r="L69" i="36"/>
  <c r="N69" i="36" s="1"/>
  <c r="B69" i="36"/>
  <c r="Z68" i="36"/>
  <c r="T68" i="36"/>
  <c r="X68" i="36" s="1"/>
  <c r="P68" i="36"/>
  <c r="H68" i="36"/>
  <c r="D68" i="36"/>
  <c r="B68" i="36"/>
  <c r="X67" i="36"/>
  <c r="Z67" i="36" s="1"/>
  <c r="L67" i="36"/>
  <c r="N67" i="36" s="1"/>
  <c r="F67" i="36"/>
  <c r="B67" i="36"/>
  <c r="T66" i="36"/>
  <c r="P66" i="36"/>
  <c r="X66" i="36" s="1"/>
  <c r="Z66" i="36" s="1"/>
  <c r="H66" i="36"/>
  <c r="N66" i="36" s="1"/>
  <c r="D66" i="36"/>
  <c r="L66" i="36" s="1"/>
  <c r="B66" i="36"/>
  <c r="X65" i="36"/>
  <c r="Z65" i="36" s="1"/>
  <c r="N65" i="36"/>
  <c r="L65" i="36"/>
  <c r="B65" i="36"/>
  <c r="Z64" i="36"/>
  <c r="X64" i="36"/>
  <c r="T64" i="36"/>
  <c r="R64" i="36"/>
  <c r="P64" i="36"/>
  <c r="N64" i="36"/>
  <c r="L64" i="36"/>
  <c r="H64" i="36"/>
  <c r="D64" i="36"/>
  <c r="B64" i="36"/>
  <c r="Z63" i="36"/>
  <c r="X63" i="36"/>
  <c r="N63" i="36"/>
  <c r="L63" i="36"/>
  <c r="B63" i="36"/>
  <c r="T62" i="36"/>
  <c r="P62" i="36"/>
  <c r="N62" i="36"/>
  <c r="H62" i="36"/>
  <c r="L62" i="36" s="1"/>
  <c r="D62" i="36"/>
  <c r="B62" i="36"/>
  <c r="X61" i="36"/>
  <c r="Z61" i="36" s="1"/>
  <c r="L61" i="36"/>
  <c r="N61" i="36" s="1"/>
  <c r="B61" i="36"/>
  <c r="Z60" i="36"/>
  <c r="X60" i="36"/>
  <c r="N60" i="36"/>
  <c r="L60" i="36"/>
  <c r="B60" i="36"/>
  <c r="X59" i="36"/>
  <c r="Z59" i="36" s="1"/>
  <c r="L59" i="36"/>
  <c r="N59" i="36" s="1"/>
  <c r="B59" i="36"/>
  <c r="T58" i="36"/>
  <c r="R58" i="36"/>
  <c r="P58" i="36"/>
  <c r="X58" i="36" s="1"/>
  <c r="Z58" i="36" s="1"/>
  <c r="H58" i="36"/>
  <c r="F58" i="36"/>
  <c r="D58" i="36"/>
  <c r="L58" i="36" s="1"/>
  <c r="B58" i="36"/>
  <c r="X57" i="36"/>
  <c r="Z57" i="36" s="1"/>
  <c r="R57" i="36"/>
  <c r="N57" i="36"/>
  <c r="L57" i="36"/>
  <c r="B57" i="36"/>
  <c r="X56" i="36"/>
  <c r="Z56" i="36" s="1"/>
  <c r="T56" i="36"/>
  <c r="P56" i="36"/>
  <c r="N56" i="36"/>
  <c r="L56" i="36"/>
  <c r="H56" i="36"/>
  <c r="D56" i="36"/>
  <c r="B56" i="36"/>
  <c r="Z55" i="36"/>
  <c r="X55" i="36"/>
  <c r="R55" i="36"/>
  <c r="L55" i="36"/>
  <c r="N55" i="36" s="1"/>
  <c r="B55" i="36"/>
  <c r="T54" i="36"/>
  <c r="P54" i="36"/>
  <c r="N54" i="36"/>
  <c r="H54" i="36"/>
  <c r="L54" i="36" s="1"/>
  <c r="D54" i="36"/>
  <c r="B54" i="36"/>
  <c r="X53" i="36"/>
  <c r="Z53" i="36" s="1"/>
  <c r="L53" i="36"/>
  <c r="N53" i="36" s="1"/>
  <c r="B53" i="36"/>
  <c r="T52" i="36"/>
  <c r="Z52" i="36" s="1"/>
  <c r="P52" i="36"/>
  <c r="X52" i="36" s="1"/>
  <c r="H52" i="36"/>
  <c r="D52" i="36"/>
  <c r="L52" i="36" s="1"/>
  <c r="N52" i="36" s="1"/>
  <c r="B52" i="36"/>
  <c r="X51" i="36"/>
  <c r="Z51" i="36" s="1"/>
  <c r="R51" i="36"/>
  <c r="N51" i="36"/>
  <c r="L51" i="36"/>
  <c r="F51" i="36"/>
  <c r="B51" i="36"/>
  <c r="Z50" i="36"/>
  <c r="X50" i="36"/>
  <c r="N50" i="36"/>
  <c r="L50" i="36"/>
  <c r="B50" i="36"/>
  <c r="X49" i="36"/>
  <c r="Z49" i="36" s="1"/>
  <c r="N49" i="36"/>
  <c r="L49" i="36"/>
  <c r="B49" i="36"/>
  <c r="Z48" i="36"/>
  <c r="X48" i="36"/>
  <c r="N48" i="36"/>
  <c r="L48" i="36"/>
  <c r="B48" i="36"/>
  <c r="X47" i="36"/>
  <c r="Z47" i="36" s="1"/>
  <c r="R47" i="36"/>
  <c r="N47" i="36"/>
  <c r="L47" i="36"/>
  <c r="F47" i="36"/>
  <c r="B47" i="36"/>
  <c r="Z46" i="36"/>
  <c r="X46" i="36"/>
  <c r="L46" i="36"/>
  <c r="N46" i="36" s="1"/>
  <c r="B46" i="36"/>
  <c r="X45" i="36"/>
  <c r="Z45" i="36" s="1"/>
  <c r="R45" i="36"/>
  <c r="N45" i="36"/>
  <c r="L45" i="36"/>
  <c r="B45" i="36"/>
  <c r="X44" i="36"/>
  <c r="Z44" i="36" s="1"/>
  <c r="T44" i="36"/>
  <c r="R44" i="36"/>
  <c r="P44" i="36"/>
  <c r="N44" i="36"/>
  <c r="L44" i="36"/>
  <c r="H44" i="36"/>
  <c r="D44" i="36"/>
  <c r="B44" i="36"/>
  <c r="Z43" i="36"/>
  <c r="X43" i="36"/>
  <c r="L43" i="36"/>
  <c r="N43" i="36" s="1"/>
  <c r="B43" i="36"/>
  <c r="X42" i="36"/>
  <c r="Z42" i="36" s="1"/>
  <c r="N42" i="36"/>
  <c r="L42" i="36"/>
  <c r="B42" i="36"/>
  <c r="Z41" i="36"/>
  <c r="X41" i="36"/>
  <c r="L41" i="36"/>
  <c r="N41" i="36" s="1"/>
  <c r="B41" i="36"/>
  <c r="Z40" i="36"/>
  <c r="X40" i="36"/>
  <c r="N40" i="36"/>
  <c r="L40" i="36"/>
  <c r="B40" i="36"/>
  <c r="Z39" i="36"/>
  <c r="X39" i="36"/>
  <c r="R39" i="36"/>
  <c r="L39" i="36"/>
  <c r="N39" i="36" s="1"/>
  <c r="B39" i="36"/>
  <c r="X38" i="36"/>
  <c r="Z38" i="36" s="1"/>
  <c r="N38" i="36"/>
  <c r="L38" i="36"/>
  <c r="B38" i="36"/>
  <c r="Z37" i="36"/>
  <c r="X37" i="36"/>
  <c r="L37" i="36"/>
  <c r="N37" i="36" s="1"/>
  <c r="B37" i="36"/>
  <c r="Z36" i="36"/>
  <c r="X36" i="36"/>
  <c r="N36" i="36"/>
  <c r="L36" i="36"/>
  <c r="B36" i="36"/>
  <c r="Z35" i="36"/>
  <c r="X35" i="36"/>
  <c r="L35" i="36"/>
  <c r="N35" i="36" s="1"/>
  <c r="B35" i="36"/>
  <c r="T34" i="36"/>
  <c r="P34" i="36"/>
  <c r="H34" i="36"/>
  <c r="L34" i="36" s="1"/>
  <c r="N34" i="36" s="1"/>
  <c r="D34" i="36"/>
  <c r="B34" i="36"/>
  <c r="T33" i="36"/>
  <c r="P33" i="36"/>
  <c r="X33" i="36" s="1"/>
  <c r="L33" i="36"/>
  <c r="H33" i="36"/>
  <c r="D33" i="36"/>
  <c r="P31" i="36"/>
  <c r="X29" i="36"/>
  <c r="Z29" i="36" s="1"/>
  <c r="L29" i="36"/>
  <c r="N29" i="36" s="1"/>
  <c r="F29" i="36"/>
  <c r="B29" i="36"/>
  <c r="Z28" i="36"/>
  <c r="X28" i="36"/>
  <c r="N28" i="36"/>
  <c r="L28" i="36"/>
  <c r="B28" i="36"/>
  <c r="X27" i="36"/>
  <c r="T27" i="36"/>
  <c r="Z27" i="36" s="1"/>
  <c r="P27" i="36"/>
  <c r="H27" i="36"/>
  <c r="D27" i="36"/>
  <c r="L27" i="36" s="1"/>
  <c r="X25" i="36"/>
  <c r="T25" i="36"/>
  <c r="P25" i="36"/>
  <c r="H25" i="36"/>
  <c r="N25" i="36" s="1"/>
  <c r="D25" i="36"/>
  <c r="L25" i="36" s="1"/>
  <c r="B25" i="36"/>
  <c r="T24" i="36"/>
  <c r="P24" i="36"/>
  <c r="N24" i="36"/>
  <c r="L24" i="36"/>
  <c r="H24" i="36"/>
  <c r="D24" i="36"/>
  <c r="B24" i="36"/>
  <c r="X23" i="36"/>
  <c r="T23" i="36"/>
  <c r="P23" i="36"/>
  <c r="H23" i="36"/>
  <c r="N23" i="36" s="1"/>
  <c r="D23" i="36"/>
  <c r="L23" i="36" s="1"/>
  <c r="B23" i="36"/>
  <c r="T22" i="36"/>
  <c r="P22" i="36"/>
  <c r="X22" i="36" s="1"/>
  <c r="L22" i="36"/>
  <c r="N22" i="36" s="1"/>
  <c r="H22" i="36"/>
  <c r="D22" i="36"/>
  <c r="B22" i="36"/>
  <c r="X21" i="36"/>
  <c r="T21" i="36"/>
  <c r="Z21" i="36" s="1"/>
  <c r="P21" i="36"/>
  <c r="H21" i="36"/>
  <c r="N21" i="36" s="1"/>
  <c r="D21" i="36"/>
  <c r="L21" i="36" s="1"/>
  <c r="B21" i="36"/>
  <c r="Z20" i="36"/>
  <c r="T20" i="36"/>
  <c r="P20" i="36"/>
  <c r="X20" i="36" s="1"/>
  <c r="N20" i="36"/>
  <c r="L20" i="36"/>
  <c r="H20" i="36"/>
  <c r="D20" i="36"/>
  <c r="B20" i="36"/>
  <c r="T19" i="36"/>
  <c r="P19" i="36"/>
  <c r="H19" i="36"/>
  <c r="N19" i="36" s="1"/>
  <c r="D19" i="36"/>
  <c r="L19" i="36" s="1"/>
  <c r="B19" i="36"/>
  <c r="T18" i="36"/>
  <c r="P18" i="36"/>
  <c r="X18" i="36" s="1"/>
  <c r="H18" i="36"/>
  <c r="D18" i="36"/>
  <c r="B18" i="36"/>
  <c r="X17" i="36"/>
  <c r="T17" i="36"/>
  <c r="P17" i="36"/>
  <c r="L17" i="36"/>
  <c r="H17" i="36"/>
  <c r="N17" i="36" s="1"/>
  <c r="D17" i="36"/>
  <c r="B17" i="36"/>
  <c r="T16" i="36"/>
  <c r="Z16" i="36" s="1"/>
  <c r="P16" i="36"/>
  <c r="X16" i="36" s="1"/>
  <c r="N16" i="36"/>
  <c r="L16" i="36"/>
  <c r="H16" i="36"/>
  <c r="D16" i="36"/>
  <c r="B16" i="36"/>
  <c r="T15" i="36"/>
  <c r="P15" i="36"/>
  <c r="L15" i="36"/>
  <c r="H15" i="36"/>
  <c r="D15" i="36"/>
  <c r="B15" i="36"/>
  <c r="T14" i="36"/>
  <c r="T12" i="36" s="1"/>
  <c r="V34" i="36" s="1"/>
  <c r="P14" i="36"/>
  <c r="X14" i="36" s="1"/>
  <c r="H14" i="36"/>
  <c r="D14" i="36"/>
  <c r="B14" i="36"/>
  <c r="X13" i="36"/>
  <c r="T13" i="36"/>
  <c r="Z13" i="36" s="1"/>
  <c r="P13" i="36"/>
  <c r="P12" i="36" s="1"/>
  <c r="R66" i="36" s="1"/>
  <c r="H13" i="36"/>
  <c r="D13" i="36"/>
  <c r="D12" i="36" s="1"/>
  <c r="F113" i="36" s="1"/>
  <c r="B13" i="36"/>
  <c r="D4" i="36"/>
  <c r="X102" i="33"/>
  <c r="Z102" i="33" s="1"/>
  <c r="R102" i="33"/>
  <c r="L102" i="33"/>
  <c r="N102" i="33" s="1"/>
  <c r="T98" i="33"/>
  <c r="P98" i="33"/>
  <c r="X98" i="33" s="1"/>
  <c r="H98" i="33"/>
  <c r="N98" i="33" s="1"/>
  <c r="D98" i="33"/>
  <c r="L98" i="33" s="1"/>
  <c r="B98" i="33"/>
  <c r="X97" i="33"/>
  <c r="Z97" i="33" s="1"/>
  <c r="T97" i="33"/>
  <c r="R97" i="33"/>
  <c r="P97" i="33"/>
  <c r="N97" i="33"/>
  <c r="H97" i="33"/>
  <c r="L97" i="33" s="1"/>
  <c r="D97" i="33"/>
  <c r="B97" i="33"/>
  <c r="T96" i="33"/>
  <c r="P96" i="33"/>
  <c r="X96" i="33" s="1"/>
  <c r="Z96" i="33" s="1"/>
  <c r="L96" i="33"/>
  <c r="J96" i="33"/>
  <c r="H96" i="33"/>
  <c r="D96" i="33"/>
  <c r="B96" i="33"/>
  <c r="X95" i="33"/>
  <c r="Z95" i="33" s="1"/>
  <c r="T95" i="33"/>
  <c r="P95" i="33"/>
  <c r="N95" i="33"/>
  <c r="L95" i="33"/>
  <c r="J95" i="33"/>
  <c r="H95" i="33"/>
  <c r="D95" i="33"/>
  <c r="B95" i="33"/>
  <c r="T94" i="33"/>
  <c r="T92" i="33" s="1"/>
  <c r="P94" i="33"/>
  <c r="L94" i="33"/>
  <c r="H94" i="33"/>
  <c r="N94" i="33" s="1"/>
  <c r="D94" i="33"/>
  <c r="B94" i="33"/>
  <c r="T93" i="33"/>
  <c r="P93" i="33"/>
  <c r="X93" i="33" s="1"/>
  <c r="Z93" i="33" s="1"/>
  <c r="H93" i="33"/>
  <c r="D93" i="33"/>
  <c r="L93" i="33" s="1"/>
  <c r="B93" i="33"/>
  <c r="D92" i="33"/>
  <c r="Z90" i="33"/>
  <c r="X90" i="33"/>
  <c r="N90" i="33"/>
  <c r="L90" i="33"/>
  <c r="B90" i="33"/>
  <c r="Z89" i="33"/>
  <c r="X89" i="33"/>
  <c r="T89" i="33"/>
  <c r="R89" i="33"/>
  <c r="P89" i="33"/>
  <c r="N89" i="33"/>
  <c r="H89" i="33"/>
  <c r="D89" i="33"/>
  <c r="L89" i="33" s="1"/>
  <c r="B89" i="33"/>
  <c r="Z88" i="33"/>
  <c r="X88" i="33"/>
  <c r="L88" i="33"/>
  <c r="N88" i="33" s="1"/>
  <c r="B88" i="33"/>
  <c r="T87" i="33"/>
  <c r="R87" i="33"/>
  <c r="P87" i="33"/>
  <c r="J87" i="33"/>
  <c r="H87" i="33"/>
  <c r="D87" i="33"/>
  <c r="B87" i="33"/>
  <c r="Z86" i="33"/>
  <c r="X86" i="33"/>
  <c r="R86" i="33"/>
  <c r="L86" i="33"/>
  <c r="N86" i="33" s="1"/>
  <c r="B86" i="33"/>
  <c r="Z85" i="33"/>
  <c r="X85" i="33"/>
  <c r="N85" i="33"/>
  <c r="L85" i="33"/>
  <c r="B85" i="33"/>
  <c r="Z84" i="33"/>
  <c r="X84" i="33"/>
  <c r="R84" i="33"/>
  <c r="L84" i="33"/>
  <c r="N84" i="33" s="1"/>
  <c r="J84" i="33"/>
  <c r="B84" i="33"/>
  <c r="Z83" i="33"/>
  <c r="X83" i="33"/>
  <c r="R83" i="33"/>
  <c r="N83" i="33"/>
  <c r="L83" i="33"/>
  <c r="B83" i="33"/>
  <c r="X82" i="33"/>
  <c r="Z82" i="33" s="1"/>
  <c r="N82" i="33"/>
  <c r="L82" i="33"/>
  <c r="B82" i="33"/>
  <c r="T81" i="33"/>
  <c r="P81" i="33"/>
  <c r="H81" i="33"/>
  <c r="N81" i="33" s="1"/>
  <c r="D81" i="33"/>
  <c r="L81" i="33" s="1"/>
  <c r="B81" i="33"/>
  <c r="X80" i="33"/>
  <c r="Z80" i="33" s="1"/>
  <c r="N80" i="33"/>
  <c r="L80" i="33"/>
  <c r="B80" i="33"/>
  <c r="T79" i="33"/>
  <c r="P79" i="33"/>
  <c r="X79" i="33" s="1"/>
  <c r="Z79" i="33" s="1"/>
  <c r="J79" i="33"/>
  <c r="H79" i="33"/>
  <c r="D79" i="33"/>
  <c r="L79" i="33" s="1"/>
  <c r="N79" i="33" s="1"/>
  <c r="B79" i="33"/>
  <c r="Z78" i="33"/>
  <c r="X78" i="33"/>
  <c r="L78" i="33"/>
  <c r="N78" i="33" s="1"/>
  <c r="B78" i="33"/>
  <c r="X77" i="33"/>
  <c r="Z77" i="33" s="1"/>
  <c r="N77" i="33"/>
  <c r="L77" i="33"/>
  <c r="B77" i="33"/>
  <c r="T76" i="33"/>
  <c r="P76" i="33"/>
  <c r="X76" i="33" s="1"/>
  <c r="L76" i="33"/>
  <c r="H76" i="33"/>
  <c r="N76" i="33" s="1"/>
  <c r="D76" i="33"/>
  <c r="B76" i="33"/>
  <c r="Z75" i="33"/>
  <c r="X75" i="33"/>
  <c r="R75" i="33"/>
  <c r="L75" i="33"/>
  <c r="N75" i="33" s="1"/>
  <c r="B75" i="33"/>
  <c r="T74" i="33"/>
  <c r="Z74" i="33" s="1"/>
  <c r="P74" i="33"/>
  <c r="X74" i="33" s="1"/>
  <c r="J74" i="33"/>
  <c r="H74" i="33"/>
  <c r="D74" i="33"/>
  <c r="L74" i="33" s="1"/>
  <c r="B74" i="33"/>
  <c r="Z73" i="33"/>
  <c r="X73" i="33"/>
  <c r="N73" i="33"/>
  <c r="L73" i="33"/>
  <c r="B73" i="33"/>
  <c r="T72" i="33"/>
  <c r="P72" i="33"/>
  <c r="H72" i="33"/>
  <c r="N72" i="33" s="1"/>
  <c r="D72" i="33"/>
  <c r="L72" i="33" s="1"/>
  <c r="B72" i="33"/>
  <c r="X71" i="33"/>
  <c r="Z71" i="33" s="1"/>
  <c r="R71" i="33"/>
  <c r="N71" i="33"/>
  <c r="L71" i="33"/>
  <c r="B71" i="33"/>
  <c r="X70" i="33"/>
  <c r="Z70" i="33" s="1"/>
  <c r="L70" i="33"/>
  <c r="N70" i="33" s="1"/>
  <c r="B70" i="33"/>
  <c r="T69" i="33"/>
  <c r="X69" i="33" s="1"/>
  <c r="Z69" i="33" s="1"/>
  <c r="R69" i="33"/>
  <c r="P69" i="33"/>
  <c r="J69" i="33"/>
  <c r="H69" i="33"/>
  <c r="D69" i="33"/>
  <c r="B69" i="33"/>
  <c r="Z68" i="33"/>
  <c r="X68" i="33"/>
  <c r="R68" i="33"/>
  <c r="L68" i="33"/>
  <c r="N68" i="33" s="1"/>
  <c r="B68" i="33"/>
  <c r="X67" i="33"/>
  <c r="T67" i="33"/>
  <c r="Z67" i="33" s="1"/>
  <c r="P67" i="33"/>
  <c r="H67" i="33"/>
  <c r="D67" i="33"/>
  <c r="L67" i="33" s="1"/>
  <c r="N67" i="33" s="1"/>
  <c r="B67" i="33"/>
  <c r="Z66" i="33"/>
  <c r="X66" i="33"/>
  <c r="L66" i="33"/>
  <c r="N66" i="33" s="1"/>
  <c r="B66" i="33"/>
  <c r="T65" i="33"/>
  <c r="P65" i="33"/>
  <c r="H65" i="33"/>
  <c r="D65" i="33"/>
  <c r="B65" i="33"/>
  <c r="Z64" i="33"/>
  <c r="X64" i="33"/>
  <c r="N64" i="33"/>
  <c r="L64" i="33"/>
  <c r="B64" i="33"/>
  <c r="T63" i="33"/>
  <c r="Z63" i="33" s="1"/>
  <c r="P63" i="33"/>
  <c r="X63" i="33" s="1"/>
  <c r="H63" i="33"/>
  <c r="N63" i="33" s="1"/>
  <c r="D63" i="33"/>
  <c r="L63" i="33" s="1"/>
  <c r="B63" i="33"/>
  <c r="Z62" i="33"/>
  <c r="X62" i="33"/>
  <c r="N62" i="33"/>
  <c r="L62" i="33"/>
  <c r="B62" i="33"/>
  <c r="T61" i="33"/>
  <c r="P61" i="33"/>
  <c r="X61" i="33" s="1"/>
  <c r="Z61" i="33" s="1"/>
  <c r="L61" i="33"/>
  <c r="H61" i="33"/>
  <c r="D61" i="33"/>
  <c r="B61" i="33"/>
  <c r="X60" i="33"/>
  <c r="Z60" i="33" s="1"/>
  <c r="N60" i="33"/>
  <c r="L60" i="33"/>
  <c r="B60" i="33"/>
  <c r="X59" i="33"/>
  <c r="Z59" i="33" s="1"/>
  <c r="R59" i="33"/>
  <c r="N59" i="33"/>
  <c r="L59" i="33"/>
  <c r="B59" i="33"/>
  <c r="Z58" i="33"/>
  <c r="X58" i="33"/>
  <c r="L58" i="33"/>
  <c r="N58" i="33" s="1"/>
  <c r="B58" i="33"/>
  <c r="X57" i="33"/>
  <c r="Z57" i="33" s="1"/>
  <c r="R57" i="33"/>
  <c r="L57" i="33"/>
  <c r="N57" i="33" s="1"/>
  <c r="B57" i="33"/>
  <c r="X56" i="33"/>
  <c r="Z56" i="33" s="1"/>
  <c r="N56" i="33"/>
  <c r="L56" i="33"/>
  <c r="J56" i="33"/>
  <c r="B56" i="33"/>
  <c r="X55" i="33"/>
  <c r="Z55" i="33" s="1"/>
  <c r="R55" i="33"/>
  <c r="N55" i="33"/>
  <c r="L55" i="33"/>
  <c r="B55" i="33"/>
  <c r="Z54" i="33"/>
  <c r="T54" i="33"/>
  <c r="P54" i="33"/>
  <c r="X54" i="33" s="1"/>
  <c r="L54" i="33"/>
  <c r="N54" i="33" s="1"/>
  <c r="H54" i="33"/>
  <c r="D54" i="33"/>
  <c r="B54" i="33"/>
  <c r="X53" i="33"/>
  <c r="Z53" i="33" s="1"/>
  <c r="L53" i="33"/>
  <c r="N53" i="33" s="1"/>
  <c r="B53" i="33"/>
  <c r="Z52" i="33"/>
  <c r="X52" i="33"/>
  <c r="N52" i="33"/>
  <c r="L52" i="33"/>
  <c r="B52" i="33"/>
  <c r="Z51" i="33"/>
  <c r="X51" i="33"/>
  <c r="R51" i="33"/>
  <c r="L51" i="33"/>
  <c r="N51" i="33" s="1"/>
  <c r="B51" i="33"/>
  <c r="X50" i="33"/>
  <c r="Z50" i="33" s="1"/>
  <c r="R50" i="33"/>
  <c r="N50" i="33"/>
  <c r="L50" i="33"/>
  <c r="J50" i="33"/>
  <c r="B50" i="33"/>
  <c r="X49" i="33"/>
  <c r="Z49" i="33" s="1"/>
  <c r="L49" i="33"/>
  <c r="N49" i="33" s="1"/>
  <c r="B49" i="33"/>
  <c r="Z48" i="33"/>
  <c r="X48" i="33"/>
  <c r="N48" i="33"/>
  <c r="L48" i="33"/>
  <c r="B48" i="33"/>
  <c r="Z47" i="33"/>
  <c r="X47" i="33"/>
  <c r="R47" i="33"/>
  <c r="L47" i="33"/>
  <c r="N47" i="33" s="1"/>
  <c r="B47" i="33"/>
  <c r="X46" i="33"/>
  <c r="Z46" i="33" s="1"/>
  <c r="R46" i="33"/>
  <c r="N46" i="33"/>
  <c r="L46" i="33"/>
  <c r="J46" i="33"/>
  <c r="B46" i="33"/>
  <c r="T45" i="33"/>
  <c r="Z45" i="33" s="1"/>
  <c r="P45" i="33"/>
  <c r="X45" i="33" s="1"/>
  <c r="H45" i="33"/>
  <c r="D45" i="33"/>
  <c r="B45" i="33"/>
  <c r="T44" i="33"/>
  <c r="P44" i="33"/>
  <c r="X44" i="33" s="1"/>
  <c r="J44" i="33"/>
  <c r="H44" i="33"/>
  <c r="D44" i="33"/>
  <c r="L44" i="33" s="1"/>
  <c r="P42" i="33"/>
  <c r="Z40" i="33"/>
  <c r="X40" i="33"/>
  <c r="L40" i="33"/>
  <c r="N40" i="33" s="1"/>
  <c r="B40" i="33"/>
  <c r="X39" i="33"/>
  <c r="Z39" i="33" s="1"/>
  <c r="L39" i="33"/>
  <c r="N39" i="33" s="1"/>
  <c r="B39" i="33"/>
  <c r="Z38" i="33"/>
  <c r="X38" i="33"/>
  <c r="N38" i="33"/>
  <c r="L38" i="33"/>
  <c r="B38" i="33"/>
  <c r="X37" i="33"/>
  <c r="Z37" i="33" s="1"/>
  <c r="L37" i="33"/>
  <c r="N37" i="33" s="1"/>
  <c r="B37" i="33"/>
  <c r="Z36" i="33"/>
  <c r="X36" i="33"/>
  <c r="L36" i="33"/>
  <c r="N36" i="33" s="1"/>
  <c r="B36" i="33"/>
  <c r="X35" i="33"/>
  <c r="Z35" i="33" s="1"/>
  <c r="T35" i="33"/>
  <c r="P35" i="33"/>
  <c r="H35" i="33"/>
  <c r="D35" i="33"/>
  <c r="L35" i="33" s="1"/>
  <c r="N35" i="33" s="1"/>
  <c r="Z33" i="33"/>
  <c r="X33" i="33"/>
  <c r="T33" i="33"/>
  <c r="P33" i="33"/>
  <c r="H33" i="33"/>
  <c r="N33" i="33" s="1"/>
  <c r="D33" i="33"/>
  <c r="L33" i="33" s="1"/>
  <c r="B33" i="33"/>
  <c r="T32" i="33"/>
  <c r="Z32" i="33" s="1"/>
  <c r="P32" i="33"/>
  <c r="X32" i="33" s="1"/>
  <c r="N32" i="33"/>
  <c r="H32" i="33"/>
  <c r="L32" i="33" s="1"/>
  <c r="D32" i="33"/>
  <c r="B32" i="33"/>
  <c r="T31" i="33"/>
  <c r="Z31" i="33" s="1"/>
  <c r="P31" i="33"/>
  <c r="L31" i="33"/>
  <c r="H31" i="33"/>
  <c r="N31" i="33" s="1"/>
  <c r="D31" i="33"/>
  <c r="B31" i="33"/>
  <c r="T30" i="33"/>
  <c r="P30" i="33"/>
  <c r="X30" i="33" s="1"/>
  <c r="L30" i="33"/>
  <c r="N30" i="33" s="1"/>
  <c r="H30" i="33"/>
  <c r="D30" i="33"/>
  <c r="B30" i="33"/>
  <c r="X29" i="33"/>
  <c r="Z29" i="33" s="1"/>
  <c r="T29" i="33"/>
  <c r="P29" i="33"/>
  <c r="H29" i="33"/>
  <c r="N29" i="33" s="1"/>
  <c r="D29" i="33"/>
  <c r="L29" i="33" s="1"/>
  <c r="B29" i="33"/>
  <c r="T28" i="33"/>
  <c r="P28" i="33"/>
  <c r="X28" i="33" s="1"/>
  <c r="H28" i="33"/>
  <c r="L28" i="33" s="1"/>
  <c r="N28" i="33" s="1"/>
  <c r="D28" i="33"/>
  <c r="B28" i="33"/>
  <c r="T27" i="33"/>
  <c r="Z27" i="33" s="1"/>
  <c r="P27" i="33"/>
  <c r="L27" i="33"/>
  <c r="H27" i="33"/>
  <c r="N27" i="33" s="1"/>
  <c r="D27" i="33"/>
  <c r="B27" i="33"/>
  <c r="T26" i="33"/>
  <c r="P26" i="33"/>
  <c r="X26" i="33" s="1"/>
  <c r="N26" i="33"/>
  <c r="L26" i="33"/>
  <c r="H26" i="33"/>
  <c r="D26" i="33"/>
  <c r="B26" i="33"/>
  <c r="X25" i="33"/>
  <c r="Z25" i="33" s="1"/>
  <c r="T25" i="33"/>
  <c r="P25" i="33"/>
  <c r="H25" i="33"/>
  <c r="D25" i="33"/>
  <c r="L25" i="33" s="1"/>
  <c r="B25" i="33"/>
  <c r="T24" i="33"/>
  <c r="P24" i="33"/>
  <c r="N24" i="33"/>
  <c r="H24" i="33"/>
  <c r="L24" i="33" s="1"/>
  <c r="D24" i="33"/>
  <c r="B24" i="33"/>
  <c r="T23" i="33"/>
  <c r="P23" i="33"/>
  <c r="H23" i="33"/>
  <c r="D23" i="33"/>
  <c r="L23" i="33" s="1"/>
  <c r="B23" i="33"/>
  <c r="T22" i="33"/>
  <c r="Z22" i="33" s="1"/>
  <c r="P22" i="33"/>
  <c r="X22" i="33" s="1"/>
  <c r="L22" i="33"/>
  <c r="N22" i="33" s="1"/>
  <c r="H22" i="33"/>
  <c r="D22" i="33"/>
  <c r="B22" i="33"/>
  <c r="X21" i="33"/>
  <c r="Z21" i="33" s="1"/>
  <c r="T21" i="33"/>
  <c r="P21" i="33"/>
  <c r="H21" i="33"/>
  <c r="D21" i="33"/>
  <c r="L21" i="33" s="1"/>
  <c r="B21" i="33"/>
  <c r="T20" i="33"/>
  <c r="P20" i="33"/>
  <c r="N20" i="33"/>
  <c r="H20" i="33"/>
  <c r="L20" i="33" s="1"/>
  <c r="D20" i="33"/>
  <c r="B20" i="33"/>
  <c r="T19" i="33"/>
  <c r="P19" i="33"/>
  <c r="H19" i="33"/>
  <c r="D19" i="33"/>
  <c r="L19" i="33" s="1"/>
  <c r="B19" i="33"/>
  <c r="T18" i="33"/>
  <c r="Z18" i="33" s="1"/>
  <c r="P18" i="33"/>
  <c r="X18" i="33" s="1"/>
  <c r="L18" i="33"/>
  <c r="N18" i="33" s="1"/>
  <c r="H18" i="33"/>
  <c r="D18" i="33"/>
  <c r="B18" i="33"/>
  <c r="X17" i="33"/>
  <c r="Z17" i="33" s="1"/>
  <c r="T17" i="33"/>
  <c r="P17" i="33"/>
  <c r="H17" i="33"/>
  <c r="D17" i="33"/>
  <c r="L17" i="33" s="1"/>
  <c r="B17" i="33"/>
  <c r="T16" i="33"/>
  <c r="Z16" i="33" s="1"/>
  <c r="P16" i="33"/>
  <c r="N16" i="33"/>
  <c r="H16" i="33"/>
  <c r="L16" i="33" s="1"/>
  <c r="D16" i="33"/>
  <c r="B16" i="33"/>
  <c r="T15" i="33"/>
  <c r="P15" i="33"/>
  <c r="H15" i="33"/>
  <c r="D15" i="33"/>
  <c r="L15" i="33" s="1"/>
  <c r="B15" i="33"/>
  <c r="T14" i="33"/>
  <c r="Z14" i="33" s="1"/>
  <c r="P14" i="33"/>
  <c r="X14" i="33" s="1"/>
  <c r="L14" i="33"/>
  <c r="N14" i="33" s="1"/>
  <c r="H14" i="33"/>
  <c r="D14" i="33"/>
  <c r="B14" i="33"/>
  <c r="X13" i="33"/>
  <c r="Z13" i="33" s="1"/>
  <c r="T13" i="33"/>
  <c r="P13" i="33"/>
  <c r="H13" i="33"/>
  <c r="H12" i="33" s="1"/>
  <c r="D13" i="33"/>
  <c r="B13" i="33"/>
  <c r="T12" i="33"/>
  <c r="P12" i="33"/>
  <c r="D4" i="33"/>
  <c r="Z153" i="30"/>
  <c r="X153" i="30"/>
  <c r="L153" i="30"/>
  <c r="N153" i="30" s="1"/>
  <c r="T149" i="30"/>
  <c r="P149" i="30"/>
  <c r="L149" i="30"/>
  <c r="H149" i="30"/>
  <c r="D149" i="30"/>
  <c r="D148" i="30" s="1"/>
  <c r="B149" i="30"/>
  <c r="T148" i="30"/>
  <c r="P148" i="30"/>
  <c r="Z146" i="30"/>
  <c r="X146" i="30"/>
  <c r="N146" i="30"/>
  <c r="L146" i="30"/>
  <c r="B146" i="30"/>
  <c r="T145" i="30"/>
  <c r="Z145" i="30" s="1"/>
  <c r="P145" i="30"/>
  <c r="X145" i="30" s="1"/>
  <c r="H145" i="30"/>
  <c r="D145" i="30"/>
  <c r="B145" i="30"/>
  <c r="Z144" i="30"/>
  <c r="X144" i="30"/>
  <c r="N144" i="30"/>
  <c r="L144" i="30"/>
  <c r="B144" i="30"/>
  <c r="Z143" i="30"/>
  <c r="X143" i="30"/>
  <c r="N143" i="30"/>
  <c r="L143" i="30"/>
  <c r="B143" i="30"/>
  <c r="T142" i="30"/>
  <c r="Z142" i="30" s="1"/>
  <c r="P142" i="30"/>
  <c r="X142" i="30" s="1"/>
  <c r="H142" i="30"/>
  <c r="N142" i="30" s="1"/>
  <c r="D142" i="30"/>
  <c r="L142" i="30" s="1"/>
  <c r="B142" i="30"/>
  <c r="X141" i="30"/>
  <c r="Z141" i="30" s="1"/>
  <c r="N141" i="30"/>
  <c r="L141" i="30"/>
  <c r="B141" i="30"/>
  <c r="X140" i="30"/>
  <c r="Z140" i="30" s="1"/>
  <c r="T140" i="30"/>
  <c r="P140" i="30"/>
  <c r="N140" i="30"/>
  <c r="H140" i="30"/>
  <c r="D140" i="30"/>
  <c r="L140" i="30" s="1"/>
  <c r="B140" i="30"/>
  <c r="Z139" i="30"/>
  <c r="X139" i="30"/>
  <c r="L139" i="30"/>
  <c r="N139" i="30" s="1"/>
  <c r="B139" i="30"/>
  <c r="T138" i="30"/>
  <c r="P138" i="30"/>
  <c r="N138" i="30"/>
  <c r="L138" i="30"/>
  <c r="H138" i="30"/>
  <c r="D138" i="30"/>
  <c r="B138" i="30"/>
  <c r="X137" i="30"/>
  <c r="Z137" i="30" s="1"/>
  <c r="N137" i="30"/>
  <c r="L137" i="30"/>
  <c r="B137" i="30"/>
  <c r="Z136" i="30"/>
  <c r="X136" i="30"/>
  <c r="N136" i="30"/>
  <c r="L136" i="30"/>
  <c r="B136" i="30"/>
  <c r="X135" i="30"/>
  <c r="Z135" i="30" s="1"/>
  <c r="N135" i="30"/>
  <c r="L135" i="30"/>
  <c r="B135" i="30"/>
  <c r="X134" i="30"/>
  <c r="Z134" i="30" s="1"/>
  <c r="N134" i="30"/>
  <c r="L134" i="30"/>
  <c r="B134" i="30"/>
  <c r="X133" i="30"/>
  <c r="Z133" i="30" s="1"/>
  <c r="N133" i="30"/>
  <c r="L133" i="30"/>
  <c r="B133" i="30"/>
  <c r="Z132" i="30"/>
  <c r="X132" i="30"/>
  <c r="N132" i="30"/>
  <c r="L132" i="30"/>
  <c r="B132" i="30"/>
  <c r="X131" i="30"/>
  <c r="Z131" i="30" s="1"/>
  <c r="T131" i="30"/>
  <c r="P131" i="30"/>
  <c r="H131" i="30"/>
  <c r="D131" i="30"/>
  <c r="L131" i="30" s="1"/>
  <c r="N131" i="30" s="1"/>
  <c r="B131" i="30"/>
  <c r="Z130" i="30"/>
  <c r="X130" i="30"/>
  <c r="N130" i="30"/>
  <c r="L130" i="30"/>
  <c r="B130" i="30"/>
  <c r="X129" i="30"/>
  <c r="Z129" i="30" s="1"/>
  <c r="N129" i="30"/>
  <c r="L129" i="30"/>
  <c r="B129" i="30"/>
  <c r="X128" i="30"/>
  <c r="Z128" i="30" s="1"/>
  <c r="T128" i="30"/>
  <c r="P128" i="30"/>
  <c r="H128" i="30"/>
  <c r="D128" i="30"/>
  <c r="L128" i="30" s="1"/>
  <c r="N128" i="30" s="1"/>
  <c r="B128" i="30"/>
  <c r="Z127" i="30"/>
  <c r="X127" i="30"/>
  <c r="L127" i="30"/>
  <c r="N127" i="30" s="1"/>
  <c r="B127" i="30"/>
  <c r="Z126" i="30"/>
  <c r="X126" i="30"/>
  <c r="N126" i="30"/>
  <c r="L126" i="30"/>
  <c r="B126" i="30"/>
  <c r="X125" i="30"/>
  <c r="Z125" i="30" s="1"/>
  <c r="L125" i="30"/>
  <c r="N125" i="30" s="1"/>
  <c r="B125" i="30"/>
  <c r="Z124" i="30"/>
  <c r="X124" i="30"/>
  <c r="T124" i="30"/>
  <c r="P124" i="30"/>
  <c r="H124" i="30"/>
  <c r="D124" i="30"/>
  <c r="B124" i="30"/>
  <c r="X123" i="30"/>
  <c r="Z123" i="30" s="1"/>
  <c r="L123" i="30"/>
  <c r="N123" i="30" s="1"/>
  <c r="B123" i="30"/>
  <c r="X122" i="30"/>
  <c r="Z122" i="30" s="1"/>
  <c r="N122" i="30"/>
  <c r="L122" i="30"/>
  <c r="B122" i="30"/>
  <c r="T121" i="30"/>
  <c r="P121" i="30"/>
  <c r="X121" i="30" s="1"/>
  <c r="Z121" i="30" s="1"/>
  <c r="L121" i="30"/>
  <c r="N121" i="30" s="1"/>
  <c r="H121" i="30"/>
  <c r="D121" i="30"/>
  <c r="B121" i="30"/>
  <c r="X120" i="30"/>
  <c r="Z120" i="30" s="1"/>
  <c r="N120" i="30"/>
  <c r="L120" i="30"/>
  <c r="B120" i="30"/>
  <c r="X119" i="30"/>
  <c r="Z119" i="30" s="1"/>
  <c r="N119" i="30"/>
  <c r="L119" i="30"/>
  <c r="B119" i="30"/>
  <c r="Z118" i="30"/>
  <c r="X118" i="30"/>
  <c r="N118" i="30"/>
  <c r="L118" i="30"/>
  <c r="B118" i="30"/>
  <c r="T117" i="30"/>
  <c r="P117" i="30"/>
  <c r="H117" i="30"/>
  <c r="N117" i="30" s="1"/>
  <c r="D117" i="30"/>
  <c r="B117" i="30"/>
  <c r="Z116" i="30"/>
  <c r="X116" i="30"/>
  <c r="N116" i="30"/>
  <c r="L116" i="30"/>
  <c r="B116" i="30"/>
  <c r="T115" i="30"/>
  <c r="P115" i="30"/>
  <c r="X115" i="30" s="1"/>
  <c r="H115" i="30"/>
  <c r="N115" i="30" s="1"/>
  <c r="D115" i="30"/>
  <c r="L115" i="30" s="1"/>
  <c r="B115" i="30"/>
  <c r="X114" i="30"/>
  <c r="Z114" i="30" s="1"/>
  <c r="N114" i="30"/>
  <c r="L114" i="30"/>
  <c r="B114" i="30"/>
  <c r="T113" i="30"/>
  <c r="P113" i="30"/>
  <c r="X113" i="30" s="1"/>
  <c r="Z113" i="30" s="1"/>
  <c r="N113" i="30"/>
  <c r="L113" i="30"/>
  <c r="H113" i="30"/>
  <c r="D113" i="30"/>
  <c r="B113" i="30"/>
  <c r="X112" i="30"/>
  <c r="Z112" i="30" s="1"/>
  <c r="N112" i="30"/>
  <c r="L112" i="30"/>
  <c r="B112" i="30"/>
  <c r="T111" i="30"/>
  <c r="P111" i="30"/>
  <c r="H111" i="30"/>
  <c r="D111" i="30"/>
  <c r="B111" i="30"/>
  <c r="Z110" i="30"/>
  <c r="X110" i="30"/>
  <c r="N110" i="30"/>
  <c r="L110" i="30"/>
  <c r="B110" i="30"/>
  <c r="T109" i="30"/>
  <c r="P109" i="30"/>
  <c r="X109" i="30" s="1"/>
  <c r="H109" i="30"/>
  <c r="D109" i="30"/>
  <c r="L109" i="30" s="1"/>
  <c r="B109" i="30"/>
  <c r="Z108" i="30"/>
  <c r="X108" i="30"/>
  <c r="N108" i="30"/>
  <c r="L108" i="30"/>
  <c r="B108" i="30"/>
  <c r="X107" i="30"/>
  <c r="Z107" i="30" s="1"/>
  <c r="T107" i="30"/>
  <c r="P107" i="30"/>
  <c r="N107" i="30"/>
  <c r="H107" i="30"/>
  <c r="D107" i="30"/>
  <c r="L107" i="30" s="1"/>
  <c r="B107" i="30"/>
  <c r="Z106" i="30"/>
  <c r="X106" i="30"/>
  <c r="N106" i="30"/>
  <c r="L106" i="30"/>
  <c r="B106" i="30"/>
  <c r="X105" i="30"/>
  <c r="Z105" i="30" s="1"/>
  <c r="N105" i="30"/>
  <c r="L105" i="30"/>
  <c r="B105" i="30"/>
  <c r="X104" i="30"/>
  <c r="Z104" i="30" s="1"/>
  <c r="T104" i="30"/>
  <c r="P104" i="30"/>
  <c r="N104" i="30"/>
  <c r="H104" i="30"/>
  <c r="D104" i="30"/>
  <c r="L104" i="30" s="1"/>
  <c r="B104" i="30"/>
  <c r="Z103" i="30"/>
  <c r="X103" i="30"/>
  <c r="L103" i="30"/>
  <c r="N103" i="30" s="1"/>
  <c r="B103" i="30"/>
  <c r="T102" i="30"/>
  <c r="P102" i="30"/>
  <c r="N102" i="30"/>
  <c r="L102" i="30"/>
  <c r="H102" i="30"/>
  <c r="D102" i="30"/>
  <c r="B102" i="30"/>
  <c r="X101" i="30"/>
  <c r="Z101" i="30" s="1"/>
  <c r="N101" i="30"/>
  <c r="L101" i="30"/>
  <c r="B101" i="30"/>
  <c r="T100" i="30"/>
  <c r="Z100" i="30" s="1"/>
  <c r="P100" i="30"/>
  <c r="X100" i="30" s="1"/>
  <c r="H100" i="30"/>
  <c r="N100" i="30" s="1"/>
  <c r="D100" i="30"/>
  <c r="L100" i="30" s="1"/>
  <c r="B100" i="30"/>
  <c r="X99" i="30"/>
  <c r="Z99" i="30" s="1"/>
  <c r="N99" i="30"/>
  <c r="L99" i="30"/>
  <c r="B99" i="30"/>
  <c r="Z98" i="30"/>
  <c r="X98" i="30"/>
  <c r="N98" i="30"/>
  <c r="L98" i="30"/>
  <c r="B98" i="30"/>
  <c r="T97" i="30"/>
  <c r="P97" i="30"/>
  <c r="H97" i="30"/>
  <c r="D97" i="30"/>
  <c r="B97" i="30"/>
  <c r="Z96" i="30"/>
  <c r="X96" i="30"/>
  <c r="N96" i="30"/>
  <c r="L96" i="30"/>
  <c r="B96" i="30"/>
  <c r="T95" i="30"/>
  <c r="Z95" i="30" s="1"/>
  <c r="P95" i="30"/>
  <c r="X95" i="30" s="1"/>
  <c r="H95" i="30"/>
  <c r="N95" i="30" s="1"/>
  <c r="D95" i="30"/>
  <c r="L95" i="30" s="1"/>
  <c r="B95" i="30"/>
  <c r="Z94" i="30"/>
  <c r="X94" i="30"/>
  <c r="N94" i="30"/>
  <c r="L94" i="30"/>
  <c r="B94" i="30"/>
  <c r="T93" i="30"/>
  <c r="P93" i="30"/>
  <c r="X93" i="30" s="1"/>
  <c r="Z93" i="30" s="1"/>
  <c r="L93" i="30"/>
  <c r="N93" i="30" s="1"/>
  <c r="H93" i="30"/>
  <c r="D93" i="30"/>
  <c r="B93" i="30"/>
  <c r="X92" i="30"/>
  <c r="Z92" i="30" s="1"/>
  <c r="N92" i="30"/>
  <c r="L92" i="30"/>
  <c r="B92" i="30"/>
  <c r="T91" i="30"/>
  <c r="P91" i="30"/>
  <c r="L91" i="30"/>
  <c r="H91" i="30"/>
  <c r="D91" i="30"/>
  <c r="B91" i="30"/>
  <c r="Z90" i="30"/>
  <c r="X90" i="30"/>
  <c r="N90" i="30"/>
  <c r="L90" i="30"/>
  <c r="B90" i="30"/>
  <c r="X89" i="30"/>
  <c r="Z89" i="30" s="1"/>
  <c r="L89" i="30"/>
  <c r="N89" i="30" s="1"/>
  <c r="B89" i="30"/>
  <c r="Z88" i="30"/>
  <c r="X88" i="30"/>
  <c r="N88" i="30"/>
  <c r="L88" i="30"/>
  <c r="B88" i="30"/>
  <c r="Z87" i="30"/>
  <c r="X87" i="30"/>
  <c r="L87" i="30"/>
  <c r="N87" i="30" s="1"/>
  <c r="B87" i="30"/>
  <c r="Z86" i="30"/>
  <c r="X86" i="30"/>
  <c r="N86" i="30"/>
  <c r="L86" i="30"/>
  <c r="B86" i="30"/>
  <c r="X85" i="30"/>
  <c r="Z85" i="30" s="1"/>
  <c r="L85" i="30"/>
  <c r="N85" i="30" s="1"/>
  <c r="B85" i="30"/>
  <c r="Z84" i="30"/>
  <c r="X84" i="30"/>
  <c r="T84" i="30"/>
  <c r="P84" i="30"/>
  <c r="H84" i="30"/>
  <c r="D84" i="30"/>
  <c r="B84" i="30"/>
  <c r="X83" i="30"/>
  <c r="Z83" i="30" s="1"/>
  <c r="L83" i="30"/>
  <c r="N83" i="30" s="1"/>
  <c r="B83" i="30"/>
  <c r="X82" i="30"/>
  <c r="Z82" i="30" s="1"/>
  <c r="N82" i="30"/>
  <c r="L82" i="30"/>
  <c r="B82" i="30"/>
  <c r="X81" i="30"/>
  <c r="Z81" i="30" s="1"/>
  <c r="L81" i="30"/>
  <c r="N81" i="30" s="1"/>
  <c r="B81" i="30"/>
  <c r="Z80" i="30"/>
  <c r="X80" i="30"/>
  <c r="L80" i="30"/>
  <c r="N80" i="30" s="1"/>
  <c r="B80" i="30"/>
  <c r="X79" i="30"/>
  <c r="Z79" i="30" s="1"/>
  <c r="L79" i="30"/>
  <c r="N79" i="30" s="1"/>
  <c r="B79" i="30"/>
  <c r="X78" i="30"/>
  <c r="Z78" i="30" s="1"/>
  <c r="N78" i="30"/>
  <c r="L78" i="30"/>
  <c r="B78" i="30"/>
  <c r="X77" i="30"/>
  <c r="Z77" i="30" s="1"/>
  <c r="L77" i="30"/>
  <c r="N77" i="30" s="1"/>
  <c r="B77" i="30"/>
  <c r="Z76" i="30"/>
  <c r="X76" i="30"/>
  <c r="L76" i="30"/>
  <c r="N76" i="30" s="1"/>
  <c r="B76" i="30"/>
  <c r="X75" i="30"/>
  <c r="Z75" i="30" s="1"/>
  <c r="T75" i="30"/>
  <c r="P75" i="30"/>
  <c r="H75" i="30"/>
  <c r="D75" i="30"/>
  <c r="L75" i="30" s="1"/>
  <c r="N75" i="30" s="1"/>
  <c r="B75" i="30"/>
  <c r="Z74" i="30"/>
  <c r="T74" i="30"/>
  <c r="P74" i="30"/>
  <c r="X74" i="30" s="1"/>
  <c r="L74" i="30"/>
  <c r="N74" i="30" s="1"/>
  <c r="H74" i="30"/>
  <c r="D74" i="30"/>
  <c r="Z70" i="30"/>
  <c r="X70" i="30"/>
  <c r="L70" i="30"/>
  <c r="N70" i="30" s="1"/>
  <c r="B70" i="30"/>
  <c r="X69" i="30"/>
  <c r="Z69" i="30" s="1"/>
  <c r="L69" i="30"/>
  <c r="N69" i="30" s="1"/>
  <c r="B69" i="30"/>
  <c r="X68" i="30"/>
  <c r="Z68" i="30" s="1"/>
  <c r="N68" i="30"/>
  <c r="L68" i="30"/>
  <c r="B68" i="30"/>
  <c r="X67" i="30"/>
  <c r="Z67" i="30" s="1"/>
  <c r="N67" i="30"/>
  <c r="L67" i="30"/>
  <c r="B67" i="30"/>
  <c r="Z66" i="30"/>
  <c r="X66" i="30"/>
  <c r="L66" i="30"/>
  <c r="N66" i="30" s="1"/>
  <c r="B66" i="30"/>
  <c r="X65" i="30"/>
  <c r="Z65" i="30" s="1"/>
  <c r="L65" i="30"/>
  <c r="N65" i="30" s="1"/>
  <c r="B65" i="30"/>
  <c r="X64" i="30"/>
  <c r="Z64" i="30" s="1"/>
  <c r="N64" i="30"/>
  <c r="L64" i="30"/>
  <c r="B64" i="30"/>
  <c r="X63" i="30"/>
  <c r="Z63" i="30" s="1"/>
  <c r="N63" i="30"/>
  <c r="L63" i="30"/>
  <c r="B63" i="30"/>
  <c r="Z62" i="30"/>
  <c r="X62" i="30"/>
  <c r="L62" i="30"/>
  <c r="N62" i="30" s="1"/>
  <c r="B62" i="30"/>
  <c r="X61" i="30"/>
  <c r="Z61" i="30" s="1"/>
  <c r="L61" i="30"/>
  <c r="N61" i="30" s="1"/>
  <c r="B61" i="30"/>
  <c r="X60" i="30"/>
  <c r="Z60" i="30" s="1"/>
  <c r="N60" i="30"/>
  <c r="L60" i="30"/>
  <c r="B60" i="30"/>
  <c r="X59" i="30"/>
  <c r="Z59" i="30" s="1"/>
  <c r="N59" i="30"/>
  <c r="L59" i="30"/>
  <c r="B59" i="30"/>
  <c r="Z58" i="30"/>
  <c r="X58" i="30"/>
  <c r="L58" i="30"/>
  <c r="N58" i="30" s="1"/>
  <c r="B58" i="30"/>
  <c r="X57" i="30"/>
  <c r="Z57" i="30" s="1"/>
  <c r="L57" i="30"/>
  <c r="N57" i="30" s="1"/>
  <c r="B57" i="30"/>
  <c r="X56" i="30"/>
  <c r="Z56" i="30" s="1"/>
  <c r="N56" i="30"/>
  <c r="L56" i="30"/>
  <c r="B56" i="30"/>
  <c r="X55" i="30"/>
  <c r="Z55" i="30" s="1"/>
  <c r="N55" i="30"/>
  <c r="L55" i="30"/>
  <c r="B55" i="30"/>
  <c r="Z54" i="30"/>
  <c r="X54" i="30"/>
  <c r="L54" i="30"/>
  <c r="N54" i="30" s="1"/>
  <c r="B54" i="30"/>
  <c r="X53" i="30"/>
  <c r="Z53" i="30" s="1"/>
  <c r="L53" i="30"/>
  <c r="N53" i="30" s="1"/>
  <c r="B53" i="30"/>
  <c r="X52" i="30"/>
  <c r="Z52" i="30" s="1"/>
  <c r="N52" i="30"/>
  <c r="L52" i="30"/>
  <c r="B52" i="30"/>
  <c r="X51" i="30"/>
  <c r="Z51" i="30" s="1"/>
  <c r="N51" i="30"/>
  <c r="L51" i="30"/>
  <c r="B51" i="30"/>
  <c r="Z50" i="30"/>
  <c r="X50" i="30"/>
  <c r="N50" i="30"/>
  <c r="L50" i="30"/>
  <c r="B50" i="30"/>
  <c r="X49" i="30"/>
  <c r="Z49" i="30" s="1"/>
  <c r="L49" i="30"/>
  <c r="N49" i="30" s="1"/>
  <c r="B49" i="30"/>
  <c r="X48" i="30"/>
  <c r="Z48" i="30" s="1"/>
  <c r="N48" i="30"/>
  <c r="L48" i="30"/>
  <c r="B48" i="30"/>
  <c r="X47" i="30"/>
  <c r="Z47" i="30" s="1"/>
  <c r="N47" i="30"/>
  <c r="L47" i="30"/>
  <c r="B47" i="30"/>
  <c r="T46" i="30"/>
  <c r="P46" i="30"/>
  <c r="X46" i="30" s="1"/>
  <c r="Z46" i="30" s="1"/>
  <c r="N46" i="30"/>
  <c r="L46" i="30"/>
  <c r="H46" i="30"/>
  <c r="D46" i="30"/>
  <c r="Z44" i="30"/>
  <c r="T44" i="30"/>
  <c r="X44" i="30" s="1"/>
  <c r="P44" i="30"/>
  <c r="H44" i="30"/>
  <c r="N44" i="30" s="1"/>
  <c r="D44" i="30"/>
  <c r="L44" i="30" s="1"/>
  <c r="B44" i="30"/>
  <c r="X43" i="30"/>
  <c r="T43" i="30"/>
  <c r="Z43" i="30" s="1"/>
  <c r="P43" i="30"/>
  <c r="H43" i="30"/>
  <c r="D43" i="30"/>
  <c r="L43" i="30" s="1"/>
  <c r="N43" i="30" s="1"/>
  <c r="B43" i="30"/>
  <c r="Z42" i="30"/>
  <c r="X42" i="30"/>
  <c r="T42" i="30"/>
  <c r="P42" i="30"/>
  <c r="H42" i="30"/>
  <c r="L42" i="30" s="1"/>
  <c r="D42" i="30"/>
  <c r="B42" i="30"/>
  <c r="T41" i="30"/>
  <c r="Z41" i="30" s="1"/>
  <c r="P41" i="30"/>
  <c r="X41" i="30" s="1"/>
  <c r="N41" i="30"/>
  <c r="H41" i="30"/>
  <c r="D41" i="30"/>
  <c r="L41" i="30" s="1"/>
  <c r="B41" i="30"/>
  <c r="Z40" i="30"/>
  <c r="T40" i="30"/>
  <c r="X40" i="30" s="1"/>
  <c r="P40" i="30"/>
  <c r="H40" i="30"/>
  <c r="D40" i="30"/>
  <c r="L40" i="30" s="1"/>
  <c r="B40" i="30"/>
  <c r="T39" i="30"/>
  <c r="P39" i="30"/>
  <c r="X39" i="30" s="1"/>
  <c r="H39" i="30"/>
  <c r="D39" i="30"/>
  <c r="L39" i="30" s="1"/>
  <c r="N39" i="30" s="1"/>
  <c r="B39" i="30"/>
  <c r="Z38" i="30"/>
  <c r="X38" i="30"/>
  <c r="T38" i="30"/>
  <c r="P38" i="30"/>
  <c r="H38" i="30"/>
  <c r="L38" i="30" s="1"/>
  <c r="D38" i="30"/>
  <c r="B38" i="30"/>
  <c r="T37" i="30"/>
  <c r="Z37" i="30" s="1"/>
  <c r="P37" i="30"/>
  <c r="X37" i="30" s="1"/>
  <c r="N37" i="30"/>
  <c r="H37" i="30"/>
  <c r="D37" i="30"/>
  <c r="L37" i="30" s="1"/>
  <c r="B37" i="30"/>
  <c r="T36" i="30"/>
  <c r="X36" i="30" s="1"/>
  <c r="Z36" i="30" s="1"/>
  <c r="P36" i="30"/>
  <c r="H36" i="30"/>
  <c r="D36" i="30"/>
  <c r="B36" i="30"/>
  <c r="T35" i="30"/>
  <c r="P35" i="30"/>
  <c r="X35" i="30" s="1"/>
  <c r="H35" i="30"/>
  <c r="D35" i="30"/>
  <c r="L35" i="30" s="1"/>
  <c r="N35" i="30" s="1"/>
  <c r="B35" i="30"/>
  <c r="X34" i="30"/>
  <c r="Z34" i="30" s="1"/>
  <c r="T34" i="30"/>
  <c r="P34" i="30"/>
  <c r="N34" i="30"/>
  <c r="H34" i="30"/>
  <c r="L34" i="30" s="1"/>
  <c r="D34" i="30"/>
  <c r="B34" i="30"/>
  <c r="T33" i="30"/>
  <c r="Z33" i="30" s="1"/>
  <c r="P33" i="30"/>
  <c r="X33" i="30" s="1"/>
  <c r="N33" i="30"/>
  <c r="H33" i="30"/>
  <c r="D33" i="30"/>
  <c r="L33" i="30" s="1"/>
  <c r="B33" i="30"/>
  <c r="T32" i="30"/>
  <c r="X32" i="30" s="1"/>
  <c r="Z32" i="30" s="1"/>
  <c r="P32" i="30"/>
  <c r="H32" i="30"/>
  <c r="D32" i="30"/>
  <c r="L32" i="30" s="1"/>
  <c r="B32" i="30"/>
  <c r="X31" i="30"/>
  <c r="T31" i="30"/>
  <c r="P31" i="30"/>
  <c r="H31" i="30"/>
  <c r="D31" i="30"/>
  <c r="L31" i="30" s="1"/>
  <c r="N31" i="30" s="1"/>
  <c r="B31" i="30"/>
  <c r="Z30" i="30"/>
  <c r="X30" i="30"/>
  <c r="T30" i="30"/>
  <c r="P30" i="30"/>
  <c r="N30" i="30"/>
  <c r="H30" i="30"/>
  <c r="L30" i="30" s="1"/>
  <c r="D30" i="30"/>
  <c r="B30" i="30"/>
  <c r="T29" i="30"/>
  <c r="Z29" i="30" s="1"/>
  <c r="P29" i="30"/>
  <c r="X29" i="30" s="1"/>
  <c r="H29" i="30"/>
  <c r="D29" i="30"/>
  <c r="L29" i="30" s="1"/>
  <c r="N29" i="30" s="1"/>
  <c r="B29" i="30"/>
  <c r="Z28" i="30"/>
  <c r="T28" i="30"/>
  <c r="X28" i="30" s="1"/>
  <c r="P28" i="30"/>
  <c r="H28" i="30"/>
  <c r="D28" i="30"/>
  <c r="L28" i="30" s="1"/>
  <c r="B28" i="30"/>
  <c r="X27" i="30"/>
  <c r="T27" i="30"/>
  <c r="P27" i="30"/>
  <c r="H27" i="30"/>
  <c r="D27" i="30"/>
  <c r="L27" i="30" s="1"/>
  <c r="N27" i="30" s="1"/>
  <c r="B27" i="30"/>
  <c r="Z26" i="30"/>
  <c r="X26" i="30"/>
  <c r="T26" i="30"/>
  <c r="P26" i="30"/>
  <c r="N26" i="30"/>
  <c r="H26" i="30"/>
  <c r="L26" i="30" s="1"/>
  <c r="D26" i="30"/>
  <c r="B26" i="30"/>
  <c r="T25" i="30"/>
  <c r="P25" i="30"/>
  <c r="X25" i="30" s="1"/>
  <c r="N25" i="30"/>
  <c r="H25" i="30"/>
  <c r="D25" i="30"/>
  <c r="L25" i="30" s="1"/>
  <c r="B25" i="30"/>
  <c r="Z24" i="30"/>
  <c r="T24" i="30"/>
  <c r="X24" i="30" s="1"/>
  <c r="P24" i="30"/>
  <c r="H24" i="30"/>
  <c r="D24" i="30"/>
  <c r="L24" i="30" s="1"/>
  <c r="B24" i="30"/>
  <c r="T23" i="30"/>
  <c r="P23" i="30"/>
  <c r="X23" i="30" s="1"/>
  <c r="H23" i="30"/>
  <c r="D23" i="30"/>
  <c r="L23" i="30" s="1"/>
  <c r="N23" i="30" s="1"/>
  <c r="B23" i="30"/>
  <c r="Z22" i="30"/>
  <c r="X22" i="30"/>
  <c r="T22" i="30"/>
  <c r="P22" i="30"/>
  <c r="N22" i="30"/>
  <c r="H22" i="30"/>
  <c r="L22" i="30" s="1"/>
  <c r="D22" i="30"/>
  <c r="B22" i="30"/>
  <c r="T21" i="30"/>
  <c r="P21" i="30"/>
  <c r="X21" i="30" s="1"/>
  <c r="H21" i="30"/>
  <c r="D21" i="30"/>
  <c r="L21" i="30" s="1"/>
  <c r="N21" i="30" s="1"/>
  <c r="B21" i="30"/>
  <c r="Z20" i="30"/>
  <c r="T20" i="30"/>
  <c r="X20" i="30" s="1"/>
  <c r="P20" i="30"/>
  <c r="H20" i="30"/>
  <c r="D20" i="30"/>
  <c r="L20" i="30" s="1"/>
  <c r="B20" i="30"/>
  <c r="X19" i="30"/>
  <c r="T19" i="30"/>
  <c r="Z19" i="30" s="1"/>
  <c r="P19" i="30"/>
  <c r="H19" i="30"/>
  <c r="D19" i="30"/>
  <c r="L19" i="30" s="1"/>
  <c r="N19" i="30" s="1"/>
  <c r="B19" i="30"/>
  <c r="Z18" i="30"/>
  <c r="X18" i="30"/>
  <c r="T18" i="30"/>
  <c r="P18" i="30"/>
  <c r="H18" i="30"/>
  <c r="L18" i="30" s="1"/>
  <c r="D18" i="30"/>
  <c r="B18" i="30"/>
  <c r="T17" i="30"/>
  <c r="Z17" i="30" s="1"/>
  <c r="P17" i="30"/>
  <c r="X17" i="30" s="1"/>
  <c r="N17" i="30"/>
  <c r="H17" i="30"/>
  <c r="D17" i="30"/>
  <c r="B17" i="30"/>
  <c r="Z16" i="30"/>
  <c r="T16" i="30"/>
  <c r="X16" i="30" s="1"/>
  <c r="P16" i="30"/>
  <c r="H16" i="30"/>
  <c r="N16" i="30" s="1"/>
  <c r="D16" i="30"/>
  <c r="L16" i="30" s="1"/>
  <c r="B16" i="30"/>
  <c r="T15" i="30"/>
  <c r="P15" i="30"/>
  <c r="X15" i="30" s="1"/>
  <c r="H15" i="30"/>
  <c r="D15" i="30"/>
  <c r="L15" i="30" s="1"/>
  <c r="N15" i="30" s="1"/>
  <c r="B15" i="30"/>
  <c r="Z14" i="30"/>
  <c r="X14" i="30"/>
  <c r="T14" i="30"/>
  <c r="P14" i="30"/>
  <c r="H14" i="30"/>
  <c r="L14" i="30" s="1"/>
  <c r="D14" i="30"/>
  <c r="B14" i="30"/>
  <c r="T13" i="30"/>
  <c r="T12" i="30" s="1"/>
  <c r="V114" i="30" s="1"/>
  <c r="P13" i="30"/>
  <c r="N13" i="30"/>
  <c r="H13" i="30"/>
  <c r="D13" i="30"/>
  <c r="L13" i="30" s="1"/>
  <c r="B13" i="30"/>
  <c r="D4" i="30"/>
  <c r="X126" i="27"/>
  <c r="Z126" i="27" s="1"/>
  <c r="L126" i="27"/>
  <c r="N126" i="27" s="1"/>
  <c r="T122" i="27"/>
  <c r="P122" i="27"/>
  <c r="X122" i="27" s="1"/>
  <c r="Z122" i="27" s="1"/>
  <c r="H122" i="27"/>
  <c r="D122" i="27"/>
  <c r="L122" i="27" s="1"/>
  <c r="B122" i="27"/>
  <c r="T121" i="27"/>
  <c r="Z121" i="27" s="1"/>
  <c r="P121" i="27"/>
  <c r="X121" i="27" s="1"/>
  <c r="H121" i="27"/>
  <c r="N121" i="27" s="1"/>
  <c r="D121" i="27"/>
  <c r="L121" i="27" s="1"/>
  <c r="B121" i="27"/>
  <c r="X120" i="27"/>
  <c r="T120" i="27"/>
  <c r="P120" i="27"/>
  <c r="H120" i="27"/>
  <c r="H119" i="27" s="1"/>
  <c r="D120" i="27"/>
  <c r="B120" i="27"/>
  <c r="Z117" i="27"/>
  <c r="X117" i="27"/>
  <c r="N117" i="27"/>
  <c r="L117" i="27"/>
  <c r="B117" i="27"/>
  <c r="T116" i="27"/>
  <c r="Z116" i="27" s="1"/>
  <c r="P116" i="27"/>
  <c r="X116" i="27" s="1"/>
  <c r="H116" i="27"/>
  <c r="N116" i="27" s="1"/>
  <c r="D116" i="27"/>
  <c r="L116" i="27" s="1"/>
  <c r="B116" i="27"/>
  <c r="Z115" i="27"/>
  <c r="X115" i="27"/>
  <c r="N115" i="27"/>
  <c r="L115" i="27"/>
  <c r="B115" i="27"/>
  <c r="T114" i="27"/>
  <c r="P114" i="27"/>
  <c r="X114" i="27" s="1"/>
  <c r="Z114" i="27" s="1"/>
  <c r="L114" i="27"/>
  <c r="N114" i="27" s="1"/>
  <c r="H114" i="27"/>
  <c r="D114" i="27"/>
  <c r="B114" i="27"/>
  <c r="X113" i="27"/>
  <c r="Z113" i="27" s="1"/>
  <c r="N113" i="27"/>
  <c r="L113" i="27"/>
  <c r="B113" i="27"/>
  <c r="X112" i="27"/>
  <c r="Z112" i="27" s="1"/>
  <c r="N112" i="27"/>
  <c r="L112" i="27"/>
  <c r="B112" i="27"/>
  <c r="T111" i="27"/>
  <c r="P111" i="27"/>
  <c r="X111" i="27" s="1"/>
  <c r="Z111" i="27" s="1"/>
  <c r="N111" i="27"/>
  <c r="L111" i="27"/>
  <c r="H111" i="27"/>
  <c r="D111" i="27"/>
  <c r="B111" i="27"/>
  <c r="X110" i="27"/>
  <c r="Z110" i="27" s="1"/>
  <c r="L110" i="27"/>
  <c r="N110" i="27" s="1"/>
  <c r="B110" i="27"/>
  <c r="Z109" i="27"/>
  <c r="X109" i="27"/>
  <c r="N109" i="27"/>
  <c r="L109" i="27"/>
  <c r="B109" i="27"/>
  <c r="Z108" i="27"/>
  <c r="X108" i="27"/>
  <c r="L108" i="27"/>
  <c r="N108" i="27" s="1"/>
  <c r="B108" i="27"/>
  <c r="X107" i="27"/>
  <c r="Z107" i="27" s="1"/>
  <c r="N107" i="27"/>
  <c r="L107" i="27"/>
  <c r="B107" i="27"/>
  <c r="T106" i="27"/>
  <c r="P106" i="27"/>
  <c r="X106" i="27" s="1"/>
  <c r="H106" i="27"/>
  <c r="D106" i="27"/>
  <c r="L106" i="27" s="1"/>
  <c r="N106" i="27" s="1"/>
  <c r="B106" i="27"/>
  <c r="Z105" i="27"/>
  <c r="X105" i="27"/>
  <c r="N105" i="27"/>
  <c r="L105" i="27"/>
  <c r="B105" i="27"/>
  <c r="X104" i="27"/>
  <c r="Z104" i="27" s="1"/>
  <c r="L104" i="27"/>
  <c r="N104" i="27" s="1"/>
  <c r="B104" i="27"/>
  <c r="T103" i="27"/>
  <c r="P103" i="27"/>
  <c r="X103" i="27" s="1"/>
  <c r="H103" i="27"/>
  <c r="N103" i="27" s="1"/>
  <c r="D103" i="27"/>
  <c r="L103" i="27" s="1"/>
  <c r="B103" i="27"/>
  <c r="X102" i="27"/>
  <c r="Z102" i="27" s="1"/>
  <c r="N102" i="27"/>
  <c r="L102" i="27"/>
  <c r="B102" i="27"/>
  <c r="Z101" i="27"/>
  <c r="X101" i="27"/>
  <c r="N101" i="27"/>
  <c r="L101" i="27"/>
  <c r="B101" i="27"/>
  <c r="X100" i="27"/>
  <c r="Z100" i="27" s="1"/>
  <c r="N100" i="27"/>
  <c r="L100" i="27"/>
  <c r="B100" i="27"/>
  <c r="Z99" i="27"/>
  <c r="T99" i="27"/>
  <c r="P99" i="27"/>
  <c r="X99" i="27" s="1"/>
  <c r="L99" i="27"/>
  <c r="N99" i="27" s="1"/>
  <c r="H99" i="27"/>
  <c r="D99" i="27"/>
  <c r="B99" i="27"/>
  <c r="X98" i="27"/>
  <c r="Z98" i="27" s="1"/>
  <c r="L98" i="27"/>
  <c r="N98" i="27" s="1"/>
  <c r="B98" i="27"/>
  <c r="Z97" i="27"/>
  <c r="X97" i="27"/>
  <c r="T97" i="27"/>
  <c r="P97" i="27"/>
  <c r="H97" i="27"/>
  <c r="D97" i="27"/>
  <c r="B97" i="27"/>
  <c r="X96" i="27"/>
  <c r="Z96" i="27" s="1"/>
  <c r="N96" i="27"/>
  <c r="L96" i="27"/>
  <c r="B96" i="27"/>
  <c r="T95" i="27"/>
  <c r="Z95" i="27" s="1"/>
  <c r="P95" i="27"/>
  <c r="X95" i="27" s="1"/>
  <c r="H95" i="27"/>
  <c r="N95" i="27" s="1"/>
  <c r="D95" i="27"/>
  <c r="L95" i="27" s="1"/>
  <c r="B95" i="27"/>
  <c r="X94" i="27"/>
  <c r="Z94" i="27" s="1"/>
  <c r="N94" i="27"/>
  <c r="L94" i="27"/>
  <c r="B94" i="27"/>
  <c r="Z93" i="27"/>
  <c r="X93" i="27"/>
  <c r="N93" i="27"/>
  <c r="L93" i="27"/>
  <c r="B93" i="27"/>
  <c r="T92" i="27"/>
  <c r="P92" i="27"/>
  <c r="H92" i="27"/>
  <c r="D92" i="27"/>
  <c r="B92" i="27"/>
  <c r="X91" i="27"/>
  <c r="Z91" i="27" s="1"/>
  <c r="L91" i="27"/>
  <c r="N91" i="27" s="1"/>
  <c r="B91" i="27"/>
  <c r="T90" i="27"/>
  <c r="P90" i="27"/>
  <c r="X90" i="27" s="1"/>
  <c r="H90" i="27"/>
  <c r="D90" i="27"/>
  <c r="B90" i="27"/>
  <c r="Z89" i="27"/>
  <c r="X89" i="27"/>
  <c r="N89" i="27"/>
  <c r="L89" i="27"/>
  <c r="B89" i="27"/>
  <c r="X88" i="27"/>
  <c r="Z88" i="27" s="1"/>
  <c r="T88" i="27"/>
  <c r="P88" i="27"/>
  <c r="N88" i="27"/>
  <c r="L88" i="27"/>
  <c r="H88" i="27"/>
  <c r="D88" i="27"/>
  <c r="B88" i="27"/>
  <c r="Z87" i="27"/>
  <c r="X87" i="27"/>
  <c r="L87" i="27"/>
  <c r="N87" i="27" s="1"/>
  <c r="B87" i="27"/>
  <c r="X86" i="27"/>
  <c r="Z86" i="27" s="1"/>
  <c r="L86" i="27"/>
  <c r="N86" i="27" s="1"/>
  <c r="B86" i="27"/>
  <c r="X85" i="27"/>
  <c r="Z85" i="27" s="1"/>
  <c r="T85" i="27"/>
  <c r="P85" i="27"/>
  <c r="H85" i="27"/>
  <c r="D85" i="27"/>
  <c r="L85" i="27" s="1"/>
  <c r="N85" i="27" s="1"/>
  <c r="B85" i="27"/>
  <c r="Z84" i="27"/>
  <c r="X84" i="27"/>
  <c r="L84" i="27"/>
  <c r="N84" i="27" s="1"/>
  <c r="B84" i="27"/>
  <c r="T83" i="27"/>
  <c r="P83" i="27"/>
  <c r="N83" i="27"/>
  <c r="L83" i="27"/>
  <c r="H83" i="27"/>
  <c r="D83" i="27"/>
  <c r="B83" i="27"/>
  <c r="X82" i="27"/>
  <c r="Z82" i="27" s="1"/>
  <c r="L82" i="27"/>
  <c r="N82" i="27" s="1"/>
  <c r="B82" i="27"/>
  <c r="Z81" i="27"/>
  <c r="X81" i="27"/>
  <c r="N81" i="27"/>
  <c r="L81" i="27"/>
  <c r="B81" i="27"/>
  <c r="X80" i="27"/>
  <c r="Z80" i="27" s="1"/>
  <c r="L80" i="27"/>
  <c r="N80" i="27" s="1"/>
  <c r="B80" i="27"/>
  <c r="X79" i="27"/>
  <c r="Z79" i="27" s="1"/>
  <c r="N79" i="27"/>
  <c r="L79" i="27"/>
  <c r="B79" i="27"/>
  <c r="X78" i="27"/>
  <c r="Z78" i="27" s="1"/>
  <c r="L78" i="27"/>
  <c r="N78" i="27" s="1"/>
  <c r="B78" i="27"/>
  <c r="T77" i="27"/>
  <c r="Z77" i="27" s="1"/>
  <c r="P77" i="27"/>
  <c r="X77" i="27" s="1"/>
  <c r="H77" i="27"/>
  <c r="N77" i="27" s="1"/>
  <c r="D77" i="27"/>
  <c r="L77" i="27" s="1"/>
  <c r="B77" i="27"/>
  <c r="X76" i="27"/>
  <c r="Z76" i="27" s="1"/>
  <c r="N76" i="27"/>
  <c r="L76" i="27"/>
  <c r="B76" i="27"/>
  <c r="Z75" i="27"/>
  <c r="X75" i="27"/>
  <c r="L75" i="27"/>
  <c r="N75" i="27" s="1"/>
  <c r="B75" i="27"/>
  <c r="X74" i="27"/>
  <c r="Z74" i="27" s="1"/>
  <c r="L74" i="27"/>
  <c r="N74" i="27" s="1"/>
  <c r="B74" i="27"/>
  <c r="Z73" i="27"/>
  <c r="X73" i="27"/>
  <c r="N73" i="27"/>
  <c r="L73" i="27"/>
  <c r="B73" i="27"/>
  <c r="X72" i="27"/>
  <c r="Z72" i="27" s="1"/>
  <c r="N72" i="27"/>
  <c r="L72" i="27"/>
  <c r="B72" i="27"/>
  <c r="Z71" i="27"/>
  <c r="X71" i="27"/>
  <c r="L71" i="27"/>
  <c r="N71" i="27" s="1"/>
  <c r="B71" i="27"/>
  <c r="X70" i="27"/>
  <c r="Z70" i="27" s="1"/>
  <c r="L70" i="27"/>
  <c r="N70" i="27" s="1"/>
  <c r="B70" i="27"/>
  <c r="Z69" i="27"/>
  <c r="X69" i="27"/>
  <c r="N69" i="27"/>
  <c r="L69" i="27"/>
  <c r="B69" i="27"/>
  <c r="X68" i="27"/>
  <c r="Z68" i="27" s="1"/>
  <c r="N68" i="27"/>
  <c r="L68" i="27"/>
  <c r="B68" i="27"/>
  <c r="Z67" i="27"/>
  <c r="T67" i="27"/>
  <c r="P67" i="27"/>
  <c r="X67" i="27" s="1"/>
  <c r="L67" i="27"/>
  <c r="N67" i="27" s="1"/>
  <c r="H67" i="27"/>
  <c r="D67" i="27"/>
  <c r="B67" i="27"/>
  <c r="T66" i="27"/>
  <c r="P66" i="27"/>
  <c r="X66" i="27" s="1"/>
  <c r="H66" i="27"/>
  <c r="D66" i="27"/>
  <c r="Z62" i="27"/>
  <c r="X62" i="27"/>
  <c r="N62" i="27"/>
  <c r="L62" i="27"/>
  <c r="B62" i="27"/>
  <c r="Z61" i="27"/>
  <c r="X61" i="27"/>
  <c r="N61" i="27"/>
  <c r="L61" i="27"/>
  <c r="B61" i="27"/>
  <c r="Z60" i="27"/>
  <c r="X60" i="27"/>
  <c r="N60" i="27"/>
  <c r="L60" i="27"/>
  <c r="B60" i="27"/>
  <c r="X59" i="27"/>
  <c r="Z59" i="27" s="1"/>
  <c r="L59" i="27"/>
  <c r="N59" i="27" s="1"/>
  <c r="B59" i="27"/>
  <c r="X58" i="27"/>
  <c r="Z58" i="27" s="1"/>
  <c r="L58" i="27"/>
  <c r="N58" i="27" s="1"/>
  <c r="B58" i="27"/>
  <c r="Z57" i="27"/>
  <c r="X57" i="27"/>
  <c r="N57" i="27"/>
  <c r="L57" i="27"/>
  <c r="B57" i="27"/>
  <c r="Z56" i="27"/>
  <c r="X56" i="27"/>
  <c r="L56" i="27"/>
  <c r="N56" i="27" s="1"/>
  <c r="B56" i="27"/>
  <c r="X55" i="27"/>
  <c r="Z55" i="27" s="1"/>
  <c r="L55" i="27"/>
  <c r="N55" i="27" s="1"/>
  <c r="B55" i="27"/>
  <c r="X54" i="27"/>
  <c r="Z54" i="27" s="1"/>
  <c r="L54" i="27"/>
  <c r="N54" i="27" s="1"/>
  <c r="B54" i="27"/>
  <c r="Z53" i="27"/>
  <c r="X53" i="27"/>
  <c r="N53" i="27"/>
  <c r="L53" i="27"/>
  <c r="B53" i="27"/>
  <c r="Z52" i="27"/>
  <c r="X52" i="27"/>
  <c r="L52" i="27"/>
  <c r="N52" i="27" s="1"/>
  <c r="B52" i="27"/>
  <c r="X51" i="27"/>
  <c r="Z51" i="27" s="1"/>
  <c r="L51" i="27"/>
  <c r="N51" i="27" s="1"/>
  <c r="B51" i="27"/>
  <c r="X50" i="27"/>
  <c r="Z50" i="27" s="1"/>
  <c r="L50" i="27"/>
  <c r="N50" i="27" s="1"/>
  <c r="B50" i="27"/>
  <c r="Z49" i="27"/>
  <c r="X49" i="27"/>
  <c r="N49" i="27"/>
  <c r="L49" i="27"/>
  <c r="B49" i="27"/>
  <c r="Z48" i="27"/>
  <c r="X48" i="27"/>
  <c r="L48" i="27"/>
  <c r="N48" i="27" s="1"/>
  <c r="B48" i="27"/>
  <c r="X47" i="27"/>
  <c r="Z47" i="27" s="1"/>
  <c r="L47" i="27"/>
  <c r="N47" i="27" s="1"/>
  <c r="B47" i="27"/>
  <c r="T46" i="27"/>
  <c r="Z46" i="27" s="1"/>
  <c r="P46" i="27"/>
  <c r="X46" i="27" s="1"/>
  <c r="H46" i="27"/>
  <c r="N46" i="27" s="1"/>
  <c r="D46" i="27"/>
  <c r="L46" i="27" s="1"/>
  <c r="T44" i="27"/>
  <c r="Z44" i="27" s="1"/>
  <c r="P44" i="27"/>
  <c r="X44" i="27" s="1"/>
  <c r="L44" i="27"/>
  <c r="H44" i="27"/>
  <c r="N44" i="27" s="1"/>
  <c r="D44" i="27"/>
  <c r="B44" i="27"/>
  <c r="Z43" i="27"/>
  <c r="T43" i="27"/>
  <c r="X43" i="27" s="1"/>
  <c r="P43" i="27"/>
  <c r="H43" i="27"/>
  <c r="N43" i="27" s="1"/>
  <c r="D43" i="27"/>
  <c r="L43" i="27" s="1"/>
  <c r="B43" i="27"/>
  <c r="T42" i="27"/>
  <c r="P42" i="27"/>
  <c r="X42" i="27" s="1"/>
  <c r="Z42" i="27" s="1"/>
  <c r="L42" i="27"/>
  <c r="N42" i="27" s="1"/>
  <c r="H42" i="27"/>
  <c r="D42" i="27"/>
  <c r="B42" i="27"/>
  <c r="T41" i="27"/>
  <c r="P41" i="27"/>
  <c r="X41" i="27" s="1"/>
  <c r="H41" i="27"/>
  <c r="D41" i="27"/>
  <c r="L41" i="27" s="1"/>
  <c r="B41" i="27"/>
  <c r="T40" i="27"/>
  <c r="P40" i="27"/>
  <c r="X40" i="27" s="1"/>
  <c r="L40" i="27"/>
  <c r="H40" i="27"/>
  <c r="N40" i="27" s="1"/>
  <c r="D40" i="27"/>
  <c r="B40" i="27"/>
  <c r="T39" i="27"/>
  <c r="X39" i="27" s="1"/>
  <c r="P39" i="27"/>
  <c r="H39" i="27"/>
  <c r="N39" i="27" s="1"/>
  <c r="D39" i="27"/>
  <c r="L39" i="27" s="1"/>
  <c r="B39" i="27"/>
  <c r="T38" i="27"/>
  <c r="P38" i="27"/>
  <c r="X38" i="27" s="1"/>
  <c r="Z38" i="27" s="1"/>
  <c r="L38" i="27"/>
  <c r="N38" i="27" s="1"/>
  <c r="H38" i="27"/>
  <c r="D38" i="27"/>
  <c r="B38" i="27"/>
  <c r="T37" i="27"/>
  <c r="P37" i="27"/>
  <c r="X37" i="27" s="1"/>
  <c r="H37" i="27"/>
  <c r="N37" i="27" s="1"/>
  <c r="D37" i="27"/>
  <c r="B37" i="27"/>
  <c r="T36" i="27"/>
  <c r="P36" i="27"/>
  <c r="X36" i="27" s="1"/>
  <c r="N36" i="27"/>
  <c r="L36" i="27"/>
  <c r="H36" i="27"/>
  <c r="D36" i="27"/>
  <c r="B36" i="27"/>
  <c r="T35" i="27"/>
  <c r="X35" i="27" s="1"/>
  <c r="P35" i="27"/>
  <c r="H35" i="27"/>
  <c r="N35" i="27" s="1"/>
  <c r="D35" i="27"/>
  <c r="L35" i="27" s="1"/>
  <c r="B35" i="27"/>
  <c r="Z34" i="27"/>
  <c r="T34" i="27"/>
  <c r="P34" i="27"/>
  <c r="X34" i="27" s="1"/>
  <c r="L34" i="27"/>
  <c r="N34" i="27" s="1"/>
  <c r="H34" i="27"/>
  <c r="D34" i="27"/>
  <c r="B34" i="27"/>
  <c r="X33" i="27"/>
  <c r="T33" i="27"/>
  <c r="P33" i="27"/>
  <c r="H33" i="27"/>
  <c r="N33" i="27" s="1"/>
  <c r="D33" i="27"/>
  <c r="B33" i="27"/>
  <c r="T32" i="27"/>
  <c r="P32" i="27"/>
  <c r="X32" i="27" s="1"/>
  <c r="H32" i="27"/>
  <c r="D32" i="27"/>
  <c r="B32" i="27"/>
  <c r="Z31" i="27"/>
  <c r="T31" i="27"/>
  <c r="X31" i="27" s="1"/>
  <c r="P31" i="27"/>
  <c r="H31" i="27"/>
  <c r="D31" i="27"/>
  <c r="L31" i="27" s="1"/>
  <c r="B31" i="27"/>
  <c r="Z30" i="27"/>
  <c r="T30" i="27"/>
  <c r="P30" i="27"/>
  <c r="X30" i="27" s="1"/>
  <c r="N30" i="27"/>
  <c r="L30" i="27"/>
  <c r="H30" i="27"/>
  <c r="D30" i="27"/>
  <c r="B30" i="27"/>
  <c r="T29" i="27"/>
  <c r="Z29" i="27" s="1"/>
  <c r="P29" i="27"/>
  <c r="X29" i="27" s="1"/>
  <c r="H29" i="27"/>
  <c r="N29" i="27" s="1"/>
  <c r="D29" i="27"/>
  <c r="L29" i="27" s="1"/>
  <c r="B29" i="27"/>
  <c r="T28" i="27"/>
  <c r="P28" i="27"/>
  <c r="X28" i="27" s="1"/>
  <c r="N28" i="27"/>
  <c r="L28" i="27"/>
  <c r="H28" i="27"/>
  <c r="D28" i="27"/>
  <c r="B28" i="27"/>
  <c r="T27" i="27"/>
  <c r="P27" i="27"/>
  <c r="H27" i="27"/>
  <c r="N27" i="27" s="1"/>
  <c r="D27" i="27"/>
  <c r="L27" i="27" s="1"/>
  <c r="B27" i="27"/>
  <c r="T26" i="27"/>
  <c r="P26" i="27"/>
  <c r="X26" i="27" s="1"/>
  <c r="Z26" i="27" s="1"/>
  <c r="L26" i="27"/>
  <c r="N26" i="27" s="1"/>
  <c r="H26" i="27"/>
  <c r="D26" i="27"/>
  <c r="B26" i="27"/>
  <c r="X25" i="27"/>
  <c r="T25" i="27"/>
  <c r="P25" i="27"/>
  <c r="H25" i="27"/>
  <c r="D25" i="27"/>
  <c r="L25" i="27" s="1"/>
  <c r="B25" i="27"/>
  <c r="T24" i="27"/>
  <c r="P24" i="27"/>
  <c r="X24" i="27" s="1"/>
  <c r="H24" i="27"/>
  <c r="D24" i="27"/>
  <c r="B24" i="27"/>
  <c r="T23" i="27"/>
  <c r="X23" i="27" s="1"/>
  <c r="P23" i="27"/>
  <c r="H23" i="27"/>
  <c r="D23" i="27"/>
  <c r="L23" i="27" s="1"/>
  <c r="B23" i="27"/>
  <c r="Z22" i="27"/>
  <c r="T22" i="27"/>
  <c r="P22" i="27"/>
  <c r="X22" i="27" s="1"/>
  <c r="L22" i="27"/>
  <c r="N22" i="27" s="1"/>
  <c r="H22" i="27"/>
  <c r="D22" i="27"/>
  <c r="B22" i="27"/>
  <c r="X21" i="27"/>
  <c r="T21" i="27"/>
  <c r="P21" i="27"/>
  <c r="H21" i="27"/>
  <c r="D21" i="27"/>
  <c r="L21" i="27" s="1"/>
  <c r="B21" i="27"/>
  <c r="T20" i="27"/>
  <c r="Z20" i="27" s="1"/>
  <c r="P20" i="27"/>
  <c r="X20" i="27" s="1"/>
  <c r="H20" i="27"/>
  <c r="L20" i="27" s="1"/>
  <c r="D20" i="27"/>
  <c r="B20" i="27"/>
  <c r="T19" i="27"/>
  <c r="X19" i="27" s="1"/>
  <c r="P19" i="27"/>
  <c r="H19" i="27"/>
  <c r="D19" i="27"/>
  <c r="L19" i="27" s="1"/>
  <c r="B19" i="27"/>
  <c r="T18" i="27"/>
  <c r="P18" i="27"/>
  <c r="X18" i="27" s="1"/>
  <c r="Z18" i="27" s="1"/>
  <c r="N18" i="27"/>
  <c r="L18" i="27"/>
  <c r="H18" i="27"/>
  <c r="D18" i="27"/>
  <c r="B18" i="27"/>
  <c r="T17" i="27"/>
  <c r="P17" i="27"/>
  <c r="X17" i="27" s="1"/>
  <c r="H17" i="27"/>
  <c r="D17" i="27"/>
  <c r="B17" i="27"/>
  <c r="T16" i="27"/>
  <c r="P16" i="27"/>
  <c r="X16" i="27" s="1"/>
  <c r="L16" i="27"/>
  <c r="N16" i="27" s="1"/>
  <c r="H16" i="27"/>
  <c r="D16" i="27"/>
  <c r="B16" i="27"/>
  <c r="T15" i="27"/>
  <c r="X15" i="27" s="1"/>
  <c r="P15" i="27"/>
  <c r="H15" i="27"/>
  <c r="D15" i="27"/>
  <c r="L15" i="27" s="1"/>
  <c r="B15" i="27"/>
  <c r="Z14" i="27"/>
  <c r="T14" i="27"/>
  <c r="P14" i="27"/>
  <c r="X14" i="27" s="1"/>
  <c r="L14" i="27"/>
  <c r="N14" i="27" s="1"/>
  <c r="H14" i="27"/>
  <c r="D14" i="27"/>
  <c r="B14" i="27"/>
  <c r="T13" i="27"/>
  <c r="P13" i="27"/>
  <c r="H13" i="27"/>
  <c r="D13" i="27"/>
  <c r="B13" i="27"/>
  <c r="D4" i="27"/>
  <c r="Z145" i="24"/>
  <c r="X145" i="24"/>
  <c r="L145" i="24"/>
  <c r="N145" i="24" s="1"/>
  <c r="F145" i="24"/>
  <c r="T141" i="24"/>
  <c r="P141" i="24"/>
  <c r="H141" i="24"/>
  <c r="N141" i="24" s="1"/>
  <c r="F141" i="24"/>
  <c r="D141" i="24"/>
  <c r="B141" i="24"/>
  <c r="T140" i="24"/>
  <c r="Z140" i="24" s="1"/>
  <c r="P140" i="24"/>
  <c r="H140" i="24"/>
  <c r="N140" i="24" s="1"/>
  <c r="X138" i="24"/>
  <c r="Z138" i="24" s="1"/>
  <c r="N138" i="24"/>
  <c r="L138" i="24"/>
  <c r="B138" i="24"/>
  <c r="X137" i="24"/>
  <c r="Z137" i="24" s="1"/>
  <c r="T137" i="24"/>
  <c r="P137" i="24"/>
  <c r="N137" i="24"/>
  <c r="H137" i="24"/>
  <c r="D137" i="24"/>
  <c r="L137" i="24" s="1"/>
  <c r="B137" i="24"/>
  <c r="Z136" i="24"/>
  <c r="X136" i="24"/>
  <c r="N136" i="24"/>
  <c r="L136" i="24"/>
  <c r="B136" i="24"/>
  <c r="X135" i="24"/>
  <c r="T135" i="24"/>
  <c r="Z135" i="24" s="1"/>
  <c r="P135" i="24"/>
  <c r="N135" i="24"/>
  <c r="L135" i="24"/>
  <c r="H135" i="24"/>
  <c r="D135" i="24"/>
  <c r="B135" i="24"/>
  <c r="X134" i="24"/>
  <c r="Z134" i="24" s="1"/>
  <c r="L134" i="24"/>
  <c r="N134" i="24" s="1"/>
  <c r="F134" i="24"/>
  <c r="B134" i="24"/>
  <c r="T133" i="24"/>
  <c r="P133" i="24"/>
  <c r="H133" i="24"/>
  <c r="F133" i="24"/>
  <c r="D133" i="24"/>
  <c r="B133" i="24"/>
  <c r="X132" i="24"/>
  <c r="Z132" i="24" s="1"/>
  <c r="N132" i="24"/>
  <c r="L132" i="24"/>
  <c r="B132" i="24"/>
  <c r="Z131" i="24"/>
  <c r="X131" i="24"/>
  <c r="N131" i="24"/>
  <c r="L131" i="24"/>
  <c r="B131" i="24"/>
  <c r="X130" i="24"/>
  <c r="Z130" i="24" s="1"/>
  <c r="N130" i="24"/>
  <c r="L130" i="24"/>
  <c r="B130" i="24"/>
  <c r="T129" i="24"/>
  <c r="P129" i="24"/>
  <c r="X129" i="24" s="1"/>
  <c r="Z129" i="24" s="1"/>
  <c r="H129" i="24"/>
  <c r="D129" i="24"/>
  <c r="L129" i="24" s="1"/>
  <c r="N129" i="24" s="1"/>
  <c r="B129" i="24"/>
  <c r="Z128" i="24"/>
  <c r="X128" i="24"/>
  <c r="N128" i="24"/>
  <c r="L128" i="24"/>
  <c r="B128" i="24"/>
  <c r="T127" i="24"/>
  <c r="X127" i="24" s="1"/>
  <c r="Z127" i="24" s="1"/>
  <c r="P127" i="24"/>
  <c r="N127" i="24"/>
  <c r="L127" i="24"/>
  <c r="H127" i="24"/>
  <c r="F127" i="24"/>
  <c r="D127" i="24"/>
  <c r="B127" i="24"/>
  <c r="Z126" i="24"/>
  <c r="X126" i="24"/>
  <c r="L126" i="24"/>
  <c r="N126" i="24" s="1"/>
  <c r="B126" i="24"/>
  <c r="Z125" i="24"/>
  <c r="X125" i="24"/>
  <c r="L125" i="24"/>
  <c r="N125" i="24" s="1"/>
  <c r="B125" i="24"/>
  <c r="T124" i="24"/>
  <c r="X124" i="24" s="1"/>
  <c r="Z124" i="24" s="1"/>
  <c r="P124" i="24"/>
  <c r="L124" i="24"/>
  <c r="N124" i="24" s="1"/>
  <c r="H124" i="24"/>
  <c r="D124" i="24"/>
  <c r="B124" i="24"/>
  <c r="Z123" i="24"/>
  <c r="X123" i="24"/>
  <c r="N123" i="24"/>
  <c r="L123" i="24"/>
  <c r="B123" i="24"/>
  <c r="X122" i="24"/>
  <c r="Z122" i="24" s="1"/>
  <c r="N122" i="24"/>
  <c r="L122" i="24"/>
  <c r="B122" i="24"/>
  <c r="T121" i="24"/>
  <c r="P121" i="24"/>
  <c r="X121" i="24" s="1"/>
  <c r="Z121" i="24" s="1"/>
  <c r="H121" i="24"/>
  <c r="N121" i="24" s="1"/>
  <c r="D121" i="24"/>
  <c r="L121" i="24" s="1"/>
  <c r="B121" i="24"/>
  <c r="Z120" i="24"/>
  <c r="X120" i="24"/>
  <c r="N120" i="24"/>
  <c r="L120" i="24"/>
  <c r="F120" i="24"/>
  <c r="B120" i="24"/>
  <c r="T119" i="24"/>
  <c r="Z119" i="24" s="1"/>
  <c r="P119" i="24"/>
  <c r="N119" i="24"/>
  <c r="H119" i="24"/>
  <c r="D119" i="24"/>
  <c r="L119" i="24" s="1"/>
  <c r="B119" i="24"/>
  <c r="X118" i="24"/>
  <c r="Z118" i="24" s="1"/>
  <c r="N118" i="24"/>
  <c r="L118" i="24"/>
  <c r="B118" i="24"/>
  <c r="T117" i="24"/>
  <c r="P117" i="24"/>
  <c r="X117" i="24" s="1"/>
  <c r="Z117" i="24" s="1"/>
  <c r="H117" i="24"/>
  <c r="N117" i="24" s="1"/>
  <c r="D117" i="24"/>
  <c r="B117" i="24"/>
  <c r="X116" i="24"/>
  <c r="Z116" i="24" s="1"/>
  <c r="N116" i="24"/>
  <c r="L116" i="24"/>
  <c r="F116" i="24"/>
  <c r="B116" i="24"/>
  <c r="T115" i="24"/>
  <c r="P115" i="24"/>
  <c r="X115" i="24" s="1"/>
  <c r="H115" i="24"/>
  <c r="D115" i="24"/>
  <c r="L115" i="24" s="1"/>
  <c r="B115" i="24"/>
  <c r="Z114" i="24"/>
  <c r="X114" i="24"/>
  <c r="N114" i="24"/>
  <c r="L114" i="24"/>
  <c r="B114" i="24"/>
  <c r="T113" i="24"/>
  <c r="X113" i="24" s="1"/>
  <c r="Z113" i="24" s="1"/>
  <c r="P113" i="24"/>
  <c r="H113" i="24"/>
  <c r="N113" i="24" s="1"/>
  <c r="D113" i="24"/>
  <c r="B113" i="24"/>
  <c r="Z112" i="24"/>
  <c r="X112" i="24"/>
  <c r="N112" i="24"/>
  <c r="L112" i="24"/>
  <c r="B112" i="24"/>
  <c r="X111" i="24"/>
  <c r="T111" i="24"/>
  <c r="P111" i="24"/>
  <c r="N111" i="24"/>
  <c r="H111" i="24"/>
  <c r="D111" i="24"/>
  <c r="L111" i="24" s="1"/>
  <c r="B111" i="24"/>
  <c r="Z110" i="24"/>
  <c r="X110" i="24"/>
  <c r="N110" i="24"/>
  <c r="L110" i="24"/>
  <c r="B110" i="24"/>
  <c r="T109" i="24"/>
  <c r="P109" i="24"/>
  <c r="N109" i="24"/>
  <c r="H109" i="24"/>
  <c r="L109" i="24" s="1"/>
  <c r="D109" i="24"/>
  <c r="B109" i="24"/>
  <c r="X108" i="24"/>
  <c r="Z108" i="24" s="1"/>
  <c r="L108" i="24"/>
  <c r="N108" i="24" s="1"/>
  <c r="F108" i="24"/>
  <c r="B108" i="24"/>
  <c r="Z107" i="24"/>
  <c r="X107" i="24"/>
  <c r="L107" i="24"/>
  <c r="N107" i="24" s="1"/>
  <c r="B107" i="24"/>
  <c r="X106" i="24"/>
  <c r="T106" i="24"/>
  <c r="P106" i="24"/>
  <c r="H106" i="24"/>
  <c r="D106" i="24"/>
  <c r="L106" i="24" s="1"/>
  <c r="N106" i="24" s="1"/>
  <c r="B106" i="24"/>
  <c r="Z105" i="24"/>
  <c r="X105" i="24"/>
  <c r="L105" i="24"/>
  <c r="N105" i="24" s="1"/>
  <c r="F105" i="24"/>
  <c r="B105" i="24"/>
  <c r="T104" i="24"/>
  <c r="P104" i="24"/>
  <c r="H104" i="24"/>
  <c r="F104" i="24"/>
  <c r="D104" i="24"/>
  <c r="L104" i="24" s="1"/>
  <c r="B104" i="24"/>
  <c r="Z103" i="24"/>
  <c r="X103" i="24"/>
  <c r="N103" i="24"/>
  <c r="L103" i="24"/>
  <c r="B103" i="24"/>
  <c r="T102" i="24"/>
  <c r="P102" i="24"/>
  <c r="H102" i="24"/>
  <c r="D102" i="24"/>
  <c r="L102" i="24" s="1"/>
  <c r="N102" i="24" s="1"/>
  <c r="B102" i="24"/>
  <c r="Z101" i="24"/>
  <c r="X101" i="24"/>
  <c r="N101" i="24"/>
  <c r="L101" i="24"/>
  <c r="B101" i="24"/>
  <c r="X100" i="24"/>
  <c r="Z100" i="24" s="1"/>
  <c r="N100" i="24"/>
  <c r="L100" i="24"/>
  <c r="F100" i="24"/>
  <c r="B100" i="24"/>
  <c r="Z99" i="24"/>
  <c r="X99" i="24"/>
  <c r="N99" i="24"/>
  <c r="L99" i="24"/>
  <c r="B99" i="24"/>
  <c r="Z98" i="24"/>
  <c r="X98" i="24"/>
  <c r="N98" i="24"/>
  <c r="L98" i="24"/>
  <c r="F98" i="24"/>
  <c r="B98" i="24"/>
  <c r="Z97" i="24"/>
  <c r="X97" i="24"/>
  <c r="N97" i="24"/>
  <c r="L97" i="24"/>
  <c r="B97" i="24"/>
  <c r="T96" i="24"/>
  <c r="P96" i="24"/>
  <c r="X96" i="24" s="1"/>
  <c r="Z96" i="24" s="1"/>
  <c r="L96" i="24"/>
  <c r="H96" i="24"/>
  <c r="N96" i="24" s="1"/>
  <c r="D96" i="24"/>
  <c r="B96" i="24"/>
  <c r="X95" i="24"/>
  <c r="Z95" i="24" s="1"/>
  <c r="N95" i="24"/>
  <c r="L95" i="24"/>
  <c r="B95" i="24"/>
  <c r="X94" i="24"/>
  <c r="Z94" i="24" s="1"/>
  <c r="N94" i="24"/>
  <c r="L94" i="24"/>
  <c r="F94" i="24"/>
  <c r="B94" i="24"/>
  <c r="Z93" i="24"/>
  <c r="X93" i="24"/>
  <c r="L93" i="24"/>
  <c r="N93" i="24" s="1"/>
  <c r="F93" i="24"/>
  <c r="B93" i="24"/>
  <c r="Z92" i="24"/>
  <c r="X92" i="24"/>
  <c r="N92" i="24"/>
  <c r="L92" i="24"/>
  <c r="B92" i="24"/>
  <c r="X91" i="24"/>
  <c r="Z91" i="24" s="1"/>
  <c r="N91" i="24"/>
  <c r="L91" i="24"/>
  <c r="B91" i="24"/>
  <c r="X90" i="24"/>
  <c r="Z90" i="24" s="1"/>
  <c r="N90" i="24"/>
  <c r="L90" i="24"/>
  <c r="F90" i="24"/>
  <c r="B90" i="24"/>
  <c r="Z89" i="24"/>
  <c r="X89" i="24"/>
  <c r="L89" i="24"/>
  <c r="N89" i="24" s="1"/>
  <c r="F89" i="24"/>
  <c r="B89" i="24"/>
  <c r="X88" i="24"/>
  <c r="Z88" i="24" s="1"/>
  <c r="L88" i="24"/>
  <c r="N88" i="24" s="1"/>
  <c r="B88" i="24"/>
  <c r="X87" i="24"/>
  <c r="Z87" i="24" s="1"/>
  <c r="N87" i="24"/>
  <c r="L87" i="24"/>
  <c r="B87" i="24"/>
  <c r="T86" i="24"/>
  <c r="Z86" i="24" s="1"/>
  <c r="P86" i="24"/>
  <c r="X86" i="24" s="1"/>
  <c r="H86" i="24"/>
  <c r="D86" i="24"/>
  <c r="B86" i="24"/>
  <c r="T85" i="24"/>
  <c r="Z85" i="24" s="1"/>
  <c r="P85" i="24"/>
  <c r="X85" i="24" s="1"/>
  <c r="N85" i="24"/>
  <c r="H85" i="24"/>
  <c r="D85" i="24"/>
  <c r="L85" i="24" s="1"/>
  <c r="X81" i="24"/>
  <c r="Z81" i="24" s="1"/>
  <c r="L81" i="24"/>
  <c r="N81" i="24" s="1"/>
  <c r="B81" i="24"/>
  <c r="Z80" i="24"/>
  <c r="X80" i="24"/>
  <c r="L80" i="24"/>
  <c r="N80" i="24" s="1"/>
  <c r="B80" i="24"/>
  <c r="Z79" i="24"/>
  <c r="X79" i="24"/>
  <c r="L79" i="24"/>
  <c r="N79" i="24" s="1"/>
  <c r="B79" i="24"/>
  <c r="Z78" i="24"/>
  <c r="X78" i="24"/>
  <c r="L78" i="24"/>
  <c r="N78" i="24" s="1"/>
  <c r="B78" i="24"/>
  <c r="Z77" i="24"/>
  <c r="X77" i="24"/>
  <c r="N77" i="24"/>
  <c r="L77" i="24"/>
  <c r="B77" i="24"/>
  <c r="Z76" i="24"/>
  <c r="X76" i="24"/>
  <c r="L76" i="24"/>
  <c r="N76" i="24" s="1"/>
  <c r="B76" i="24"/>
  <c r="Z75" i="24"/>
  <c r="X75" i="24"/>
  <c r="L75" i="24"/>
  <c r="N75" i="24" s="1"/>
  <c r="B75" i="24"/>
  <c r="Z74" i="24"/>
  <c r="X74" i="24"/>
  <c r="N74" i="24"/>
  <c r="L74" i="24"/>
  <c r="B74" i="24"/>
  <c r="X73" i="24"/>
  <c r="Z73" i="24" s="1"/>
  <c r="L73" i="24"/>
  <c r="N73" i="24" s="1"/>
  <c r="B73" i="24"/>
  <c r="Z72" i="24"/>
  <c r="X72" i="24"/>
  <c r="N72" i="24"/>
  <c r="L72" i="24"/>
  <c r="B72" i="24"/>
  <c r="Z71" i="24"/>
  <c r="X71" i="24"/>
  <c r="L71" i="24"/>
  <c r="N71" i="24" s="1"/>
  <c r="B71" i="24"/>
  <c r="Z70" i="24"/>
  <c r="X70" i="24"/>
  <c r="N70" i="24"/>
  <c r="L70" i="24"/>
  <c r="B70" i="24"/>
  <c r="X69" i="24"/>
  <c r="Z69" i="24" s="1"/>
  <c r="L69" i="24"/>
  <c r="N69" i="24" s="1"/>
  <c r="B69" i="24"/>
  <c r="Z68" i="24"/>
  <c r="X68" i="24"/>
  <c r="L68" i="24"/>
  <c r="N68" i="24" s="1"/>
  <c r="B68" i="24"/>
  <c r="Z67" i="24"/>
  <c r="X67" i="24"/>
  <c r="L67" i="24"/>
  <c r="N67" i="24" s="1"/>
  <c r="B67" i="24"/>
  <c r="Z66" i="24"/>
  <c r="X66" i="24"/>
  <c r="L66" i="24"/>
  <c r="N66" i="24" s="1"/>
  <c r="B66" i="24"/>
  <c r="X65" i="24"/>
  <c r="Z65" i="24" s="1"/>
  <c r="L65" i="24"/>
  <c r="N65" i="24" s="1"/>
  <c r="B65" i="24"/>
  <c r="Z64" i="24"/>
  <c r="X64" i="24"/>
  <c r="L64" i="24"/>
  <c r="N64" i="24" s="1"/>
  <c r="B64" i="24"/>
  <c r="Z63" i="24"/>
  <c r="X63" i="24"/>
  <c r="L63" i="24"/>
  <c r="N63" i="24" s="1"/>
  <c r="B63" i="24"/>
  <c r="Z62" i="24"/>
  <c r="X62" i="24"/>
  <c r="L62" i="24"/>
  <c r="N62" i="24" s="1"/>
  <c r="B62" i="24"/>
  <c r="X61" i="24"/>
  <c r="Z61" i="24" s="1"/>
  <c r="L61" i="24"/>
  <c r="N61" i="24" s="1"/>
  <c r="B61" i="24"/>
  <c r="Z60" i="24"/>
  <c r="X60" i="24"/>
  <c r="L60" i="24"/>
  <c r="N60" i="24" s="1"/>
  <c r="B60" i="24"/>
  <c r="Z59" i="24"/>
  <c r="X59" i="24"/>
  <c r="N59" i="24"/>
  <c r="L59" i="24"/>
  <c r="B59" i="24"/>
  <c r="Z58" i="24"/>
  <c r="X58" i="24"/>
  <c r="N58" i="24"/>
  <c r="L58" i="24"/>
  <c r="B58" i="24"/>
  <c r="T57" i="24"/>
  <c r="Z57" i="24" s="1"/>
  <c r="P57" i="24"/>
  <c r="X57" i="24" s="1"/>
  <c r="N57" i="24"/>
  <c r="H57" i="24"/>
  <c r="D57" i="24"/>
  <c r="L57" i="24" s="1"/>
  <c r="T55" i="24"/>
  <c r="Z55" i="24" s="1"/>
  <c r="P55" i="24"/>
  <c r="X55" i="24" s="1"/>
  <c r="H55" i="24"/>
  <c r="D55" i="24"/>
  <c r="B55" i="24"/>
  <c r="T54" i="24"/>
  <c r="Z54" i="24" s="1"/>
  <c r="P54" i="24"/>
  <c r="H54" i="24"/>
  <c r="N54" i="24" s="1"/>
  <c r="D54" i="24"/>
  <c r="B54" i="24"/>
  <c r="T53" i="24"/>
  <c r="Z53" i="24" s="1"/>
  <c r="P53" i="24"/>
  <c r="X53" i="24" s="1"/>
  <c r="N53" i="24"/>
  <c r="L53" i="24"/>
  <c r="H53" i="24"/>
  <c r="D53" i="24"/>
  <c r="B53" i="24"/>
  <c r="T52" i="24"/>
  <c r="P52" i="24"/>
  <c r="X52" i="24" s="1"/>
  <c r="Z52" i="24" s="1"/>
  <c r="L52" i="24"/>
  <c r="H52" i="24"/>
  <c r="N52" i="24" s="1"/>
  <c r="D52" i="24"/>
  <c r="B52" i="24"/>
  <c r="T51" i="24"/>
  <c r="P51" i="24"/>
  <c r="X51" i="24" s="1"/>
  <c r="H51" i="24"/>
  <c r="D51" i="24"/>
  <c r="B51" i="24"/>
  <c r="T50" i="24"/>
  <c r="P50" i="24"/>
  <c r="H50" i="24"/>
  <c r="N50" i="24" s="1"/>
  <c r="D50" i="24"/>
  <c r="B50" i="24"/>
  <c r="T49" i="24"/>
  <c r="Z49" i="24" s="1"/>
  <c r="P49" i="24"/>
  <c r="X49" i="24" s="1"/>
  <c r="N49" i="24"/>
  <c r="L49" i="24"/>
  <c r="H49" i="24"/>
  <c r="D49" i="24"/>
  <c r="B49" i="24"/>
  <c r="T48" i="24"/>
  <c r="P48" i="24"/>
  <c r="X48" i="24" s="1"/>
  <c r="Z48" i="24" s="1"/>
  <c r="L48" i="24"/>
  <c r="H48" i="24"/>
  <c r="N48" i="24" s="1"/>
  <c r="D48" i="24"/>
  <c r="B48" i="24"/>
  <c r="T47" i="24"/>
  <c r="P47" i="24"/>
  <c r="X47" i="24" s="1"/>
  <c r="H47" i="24"/>
  <c r="D47" i="24"/>
  <c r="B47" i="24"/>
  <c r="T46" i="24"/>
  <c r="P46" i="24"/>
  <c r="H46" i="24"/>
  <c r="D46" i="24"/>
  <c r="B46" i="24"/>
  <c r="T45" i="24"/>
  <c r="Z45" i="24" s="1"/>
  <c r="P45" i="24"/>
  <c r="X45" i="24" s="1"/>
  <c r="N45" i="24"/>
  <c r="L45" i="24"/>
  <c r="H45" i="24"/>
  <c r="D45" i="24"/>
  <c r="B45" i="24"/>
  <c r="T44" i="24"/>
  <c r="P44" i="24"/>
  <c r="X44" i="24" s="1"/>
  <c r="Z44" i="24" s="1"/>
  <c r="L44" i="24"/>
  <c r="H44" i="24"/>
  <c r="N44" i="24" s="1"/>
  <c r="D44" i="24"/>
  <c r="B44" i="24"/>
  <c r="T43" i="24"/>
  <c r="P43" i="24"/>
  <c r="X43" i="24" s="1"/>
  <c r="H43" i="24"/>
  <c r="D43" i="24"/>
  <c r="B43" i="24"/>
  <c r="T42" i="24"/>
  <c r="P42" i="24"/>
  <c r="H42" i="24"/>
  <c r="D42" i="24"/>
  <c r="B42" i="24"/>
  <c r="T41" i="24"/>
  <c r="Z41" i="24" s="1"/>
  <c r="P41" i="24"/>
  <c r="X41" i="24" s="1"/>
  <c r="L41" i="24"/>
  <c r="N41" i="24" s="1"/>
  <c r="H41" i="24"/>
  <c r="D41" i="24"/>
  <c r="B41" i="24"/>
  <c r="T40" i="24"/>
  <c r="P40" i="24"/>
  <c r="X40" i="24" s="1"/>
  <c r="Z40" i="24" s="1"/>
  <c r="L40" i="24"/>
  <c r="H40" i="24"/>
  <c r="N40" i="24" s="1"/>
  <c r="D40" i="24"/>
  <c r="B40" i="24"/>
  <c r="T39" i="24"/>
  <c r="P39" i="24"/>
  <c r="X39" i="24" s="1"/>
  <c r="H39" i="24"/>
  <c r="D39" i="24"/>
  <c r="B39" i="24"/>
  <c r="T38" i="24"/>
  <c r="P38" i="24"/>
  <c r="H38" i="24"/>
  <c r="D38" i="24"/>
  <c r="B38" i="24"/>
  <c r="Z37" i="24"/>
  <c r="T37" i="24"/>
  <c r="P37" i="24"/>
  <c r="X37" i="24" s="1"/>
  <c r="L37" i="24"/>
  <c r="N37" i="24" s="1"/>
  <c r="H37" i="24"/>
  <c r="D37" i="24"/>
  <c r="B37" i="24"/>
  <c r="T36" i="24"/>
  <c r="P36" i="24"/>
  <c r="X36" i="24" s="1"/>
  <c r="Z36" i="24" s="1"/>
  <c r="L36" i="24"/>
  <c r="H36" i="24"/>
  <c r="D36" i="24"/>
  <c r="B36" i="24"/>
  <c r="T35" i="24"/>
  <c r="P35" i="24"/>
  <c r="X35" i="24" s="1"/>
  <c r="H35" i="24"/>
  <c r="D35" i="24"/>
  <c r="B35" i="24"/>
  <c r="T34" i="24"/>
  <c r="P34" i="24"/>
  <c r="H34" i="24"/>
  <c r="D34" i="24"/>
  <c r="B34" i="24"/>
  <c r="T33" i="24"/>
  <c r="P33" i="24"/>
  <c r="L33" i="24"/>
  <c r="N33" i="24" s="1"/>
  <c r="H33" i="24"/>
  <c r="D33" i="24"/>
  <c r="B33" i="24"/>
  <c r="T32" i="24"/>
  <c r="P32" i="24"/>
  <c r="X32" i="24" s="1"/>
  <c r="Z32" i="24" s="1"/>
  <c r="L32" i="24"/>
  <c r="H32" i="24"/>
  <c r="N32" i="24" s="1"/>
  <c r="D32" i="24"/>
  <c r="B32" i="24"/>
  <c r="T31" i="24"/>
  <c r="Z31" i="24" s="1"/>
  <c r="P31" i="24"/>
  <c r="X31" i="24" s="1"/>
  <c r="H31" i="24"/>
  <c r="D31" i="24"/>
  <c r="B31" i="24"/>
  <c r="T30" i="24"/>
  <c r="P30" i="24"/>
  <c r="H30" i="24"/>
  <c r="D30" i="24"/>
  <c r="B30" i="24"/>
  <c r="T29" i="24"/>
  <c r="Z29" i="24" s="1"/>
  <c r="P29" i="24"/>
  <c r="X29" i="24" s="1"/>
  <c r="L29" i="24"/>
  <c r="N29" i="24" s="1"/>
  <c r="H29" i="24"/>
  <c r="D29" i="24"/>
  <c r="B29" i="24"/>
  <c r="Z28" i="24"/>
  <c r="T28" i="24"/>
  <c r="P28" i="24"/>
  <c r="X28" i="24" s="1"/>
  <c r="L28" i="24"/>
  <c r="H28" i="24"/>
  <c r="N28" i="24" s="1"/>
  <c r="D28" i="24"/>
  <c r="B28" i="24"/>
  <c r="T27" i="24"/>
  <c r="Z27" i="24" s="1"/>
  <c r="P27" i="24"/>
  <c r="X27" i="24" s="1"/>
  <c r="H27" i="24"/>
  <c r="D27" i="24"/>
  <c r="B27" i="24"/>
  <c r="T26" i="24"/>
  <c r="Z26" i="24" s="1"/>
  <c r="P26" i="24"/>
  <c r="H26" i="24"/>
  <c r="N26" i="24" s="1"/>
  <c r="D26" i="24"/>
  <c r="B26" i="24"/>
  <c r="T25" i="24"/>
  <c r="Z25" i="24" s="1"/>
  <c r="P25" i="24"/>
  <c r="X25" i="24" s="1"/>
  <c r="L25" i="24"/>
  <c r="N25" i="24" s="1"/>
  <c r="H25" i="24"/>
  <c r="D25" i="24"/>
  <c r="B25" i="24"/>
  <c r="T24" i="24"/>
  <c r="P24" i="24"/>
  <c r="X24" i="24" s="1"/>
  <c r="Z24" i="24" s="1"/>
  <c r="L24" i="24"/>
  <c r="H24" i="24"/>
  <c r="N24" i="24" s="1"/>
  <c r="D24" i="24"/>
  <c r="B24" i="24"/>
  <c r="T23" i="24"/>
  <c r="P23" i="24"/>
  <c r="X23" i="24" s="1"/>
  <c r="H23" i="24"/>
  <c r="D23" i="24"/>
  <c r="B23" i="24"/>
  <c r="T22" i="24"/>
  <c r="P22" i="24"/>
  <c r="H22" i="24"/>
  <c r="D22" i="24"/>
  <c r="B22" i="24"/>
  <c r="Z21" i="24"/>
  <c r="T21" i="24"/>
  <c r="P21" i="24"/>
  <c r="X21" i="24" s="1"/>
  <c r="L21" i="24"/>
  <c r="N21" i="24" s="1"/>
  <c r="H21" i="24"/>
  <c r="D21" i="24"/>
  <c r="B21" i="24"/>
  <c r="Z20" i="24"/>
  <c r="T20" i="24"/>
  <c r="P20" i="24"/>
  <c r="X20" i="24" s="1"/>
  <c r="L20" i="24"/>
  <c r="H20" i="24"/>
  <c r="N20" i="24" s="1"/>
  <c r="D20" i="24"/>
  <c r="B20" i="24"/>
  <c r="T19" i="24"/>
  <c r="P19" i="24"/>
  <c r="X19" i="24" s="1"/>
  <c r="H19" i="24"/>
  <c r="D19" i="24"/>
  <c r="B19" i="24"/>
  <c r="T18" i="24"/>
  <c r="P18" i="24"/>
  <c r="H18" i="24"/>
  <c r="D18" i="24"/>
  <c r="B18" i="24"/>
  <c r="Z17" i="24"/>
  <c r="T17" i="24"/>
  <c r="P17" i="24"/>
  <c r="X17" i="24" s="1"/>
  <c r="L17" i="24"/>
  <c r="N17" i="24" s="1"/>
  <c r="H17" i="24"/>
  <c r="D17" i="24"/>
  <c r="B17" i="24"/>
  <c r="Z16" i="24"/>
  <c r="T16" i="24"/>
  <c r="P16" i="24"/>
  <c r="X16" i="24" s="1"/>
  <c r="L16" i="24"/>
  <c r="H16" i="24"/>
  <c r="N16" i="24" s="1"/>
  <c r="D16" i="24"/>
  <c r="B16" i="24"/>
  <c r="T15" i="24"/>
  <c r="P15" i="24"/>
  <c r="X15" i="24" s="1"/>
  <c r="H15" i="24"/>
  <c r="D15" i="24"/>
  <c r="B15" i="24"/>
  <c r="T14" i="24"/>
  <c r="P14" i="24"/>
  <c r="H14" i="24"/>
  <c r="D14" i="24"/>
  <c r="B14" i="24"/>
  <c r="Z13" i="24"/>
  <c r="T13" i="24"/>
  <c r="P13" i="24"/>
  <c r="X13" i="24" s="1"/>
  <c r="N13" i="24"/>
  <c r="L13" i="24"/>
  <c r="H13" i="24"/>
  <c r="D13" i="24"/>
  <c r="B13" i="24"/>
  <c r="D12" i="24"/>
  <c r="F126" i="24" s="1"/>
  <c r="D4" i="24"/>
  <c r="X111" i="21"/>
  <c r="Z111" i="21" s="1"/>
  <c r="N111" i="21"/>
  <c r="L111" i="21"/>
  <c r="T107" i="21"/>
  <c r="Z107" i="21" s="1"/>
  <c r="P107" i="21"/>
  <c r="X107" i="21" s="1"/>
  <c r="N107" i="21"/>
  <c r="L107" i="21"/>
  <c r="H107" i="21"/>
  <c r="D107" i="21"/>
  <c r="X105" i="21"/>
  <c r="Z105" i="21" s="1"/>
  <c r="L105" i="21"/>
  <c r="N105" i="21" s="1"/>
  <c r="B105" i="21"/>
  <c r="X104" i="21"/>
  <c r="T104" i="21"/>
  <c r="Z104" i="21" s="1"/>
  <c r="P104" i="21"/>
  <c r="H104" i="21"/>
  <c r="D104" i="21"/>
  <c r="L104" i="21" s="1"/>
  <c r="N104" i="21" s="1"/>
  <c r="B104" i="21"/>
  <c r="Z103" i="21"/>
  <c r="X103" i="21"/>
  <c r="N103" i="21"/>
  <c r="L103" i="21"/>
  <c r="F103" i="21"/>
  <c r="B103" i="21"/>
  <c r="T102" i="21"/>
  <c r="Z102" i="21" s="1"/>
  <c r="P102" i="21"/>
  <c r="H102" i="21"/>
  <c r="N102" i="21" s="1"/>
  <c r="D102" i="21"/>
  <c r="L102" i="21" s="1"/>
  <c r="B102" i="21"/>
  <c r="Z101" i="21"/>
  <c r="X101" i="21"/>
  <c r="N101" i="21"/>
  <c r="L101" i="21"/>
  <c r="B101" i="21"/>
  <c r="Z100" i="21"/>
  <c r="T100" i="21"/>
  <c r="P100" i="21"/>
  <c r="X100" i="21" s="1"/>
  <c r="N100" i="21"/>
  <c r="H100" i="21"/>
  <c r="D100" i="21"/>
  <c r="L100" i="21" s="1"/>
  <c r="B100" i="21"/>
  <c r="X99" i="21"/>
  <c r="Z99" i="21" s="1"/>
  <c r="N99" i="21"/>
  <c r="L99" i="21"/>
  <c r="B99" i="21"/>
  <c r="T98" i="21"/>
  <c r="P98" i="21"/>
  <c r="X98" i="21" s="1"/>
  <c r="Z98" i="21" s="1"/>
  <c r="L98" i="21"/>
  <c r="H98" i="21"/>
  <c r="N98" i="21" s="1"/>
  <c r="D98" i="21"/>
  <c r="B98" i="21"/>
  <c r="X97" i="21"/>
  <c r="Z97" i="21" s="1"/>
  <c r="N97" i="21"/>
  <c r="L97" i="21"/>
  <c r="B97" i="21"/>
  <c r="Z96" i="21"/>
  <c r="X96" i="21"/>
  <c r="N96" i="21"/>
  <c r="L96" i="21"/>
  <c r="B96" i="21"/>
  <c r="Z95" i="21"/>
  <c r="X95" i="21"/>
  <c r="N95" i="21"/>
  <c r="L95" i="21"/>
  <c r="B95" i="21"/>
  <c r="X94" i="21"/>
  <c r="Z94" i="21" s="1"/>
  <c r="N94" i="21"/>
  <c r="L94" i="21"/>
  <c r="B94" i="21"/>
  <c r="X93" i="21"/>
  <c r="Z93" i="21" s="1"/>
  <c r="N93" i="21"/>
  <c r="L93" i="21"/>
  <c r="B93" i="21"/>
  <c r="Z92" i="21"/>
  <c r="X92" i="21"/>
  <c r="N92" i="21"/>
  <c r="L92" i="21"/>
  <c r="B92" i="21"/>
  <c r="Z91" i="21"/>
  <c r="X91" i="21"/>
  <c r="L91" i="21"/>
  <c r="N91" i="21" s="1"/>
  <c r="B91" i="21"/>
  <c r="X90" i="21"/>
  <c r="Z90" i="21" s="1"/>
  <c r="N90" i="21"/>
  <c r="L90" i="21"/>
  <c r="B90" i="21"/>
  <c r="X89" i="21"/>
  <c r="Z89" i="21" s="1"/>
  <c r="T89" i="21"/>
  <c r="P89" i="21"/>
  <c r="N89" i="21"/>
  <c r="H89" i="21"/>
  <c r="L89" i="21" s="1"/>
  <c r="D89" i="21"/>
  <c r="B89" i="21"/>
  <c r="Z88" i="21"/>
  <c r="X88" i="21"/>
  <c r="L88" i="21"/>
  <c r="N88" i="21" s="1"/>
  <c r="B88" i="21"/>
  <c r="X87" i="21"/>
  <c r="Z87" i="21" s="1"/>
  <c r="N87" i="21"/>
  <c r="L87" i="21"/>
  <c r="B87" i="21"/>
  <c r="T86" i="21"/>
  <c r="P86" i="21"/>
  <c r="X86" i="21" s="1"/>
  <c r="Z86" i="21" s="1"/>
  <c r="N86" i="21"/>
  <c r="H86" i="21"/>
  <c r="D86" i="21"/>
  <c r="L86" i="21" s="1"/>
  <c r="B86" i="21"/>
  <c r="X85" i="21"/>
  <c r="Z85" i="21" s="1"/>
  <c r="L85" i="21"/>
  <c r="N85" i="21" s="1"/>
  <c r="B85" i="21"/>
  <c r="X84" i="21"/>
  <c r="Z84" i="21" s="1"/>
  <c r="N84" i="21"/>
  <c r="L84" i="21"/>
  <c r="B84" i="21"/>
  <c r="X83" i="21"/>
  <c r="Z83" i="21" s="1"/>
  <c r="N83" i="21"/>
  <c r="L83" i="21"/>
  <c r="B83" i="21"/>
  <c r="X82" i="21"/>
  <c r="Z82" i="21" s="1"/>
  <c r="L82" i="21"/>
  <c r="N82" i="21" s="1"/>
  <c r="F82" i="21"/>
  <c r="B82" i="21"/>
  <c r="T81" i="21"/>
  <c r="Z81" i="21" s="1"/>
  <c r="P81" i="21"/>
  <c r="X81" i="21" s="1"/>
  <c r="L81" i="21"/>
  <c r="N81" i="21" s="1"/>
  <c r="H81" i="21"/>
  <c r="D81" i="21"/>
  <c r="B81" i="21"/>
  <c r="Z80" i="21"/>
  <c r="X80" i="21"/>
  <c r="N80" i="21"/>
  <c r="L80" i="21"/>
  <c r="B80" i="21"/>
  <c r="T79" i="21"/>
  <c r="X79" i="21" s="1"/>
  <c r="Z79" i="21" s="1"/>
  <c r="P79" i="21"/>
  <c r="N79" i="21"/>
  <c r="L79" i="21"/>
  <c r="H79" i="21"/>
  <c r="F79" i="21"/>
  <c r="D79" i="21"/>
  <c r="B79" i="21"/>
  <c r="Z78" i="21"/>
  <c r="X78" i="21"/>
  <c r="L78" i="21"/>
  <c r="N78" i="21" s="1"/>
  <c r="B78" i="21"/>
  <c r="Z77" i="21"/>
  <c r="X77" i="21"/>
  <c r="N77" i="21"/>
  <c r="L77" i="21"/>
  <c r="B77" i="21"/>
  <c r="Z76" i="21"/>
  <c r="X76" i="21"/>
  <c r="N76" i="21"/>
  <c r="L76" i="21"/>
  <c r="B76" i="21"/>
  <c r="T75" i="21"/>
  <c r="P75" i="21"/>
  <c r="N75" i="21"/>
  <c r="H75" i="21"/>
  <c r="D75" i="21"/>
  <c r="L75" i="21" s="1"/>
  <c r="B75" i="21"/>
  <c r="X74" i="21"/>
  <c r="Z74" i="21" s="1"/>
  <c r="L74" i="21"/>
  <c r="N74" i="21" s="1"/>
  <c r="F74" i="21"/>
  <c r="B74" i="21"/>
  <c r="T73" i="21"/>
  <c r="P73" i="21"/>
  <c r="X73" i="21" s="1"/>
  <c r="L73" i="21"/>
  <c r="N73" i="21" s="1"/>
  <c r="H73" i="21"/>
  <c r="F73" i="21"/>
  <c r="D73" i="21"/>
  <c r="B73" i="21"/>
  <c r="Z72" i="21"/>
  <c r="X72" i="21"/>
  <c r="N72" i="21"/>
  <c r="L72" i="21"/>
  <c r="F72" i="21"/>
  <c r="B72" i="21"/>
  <c r="T71" i="21"/>
  <c r="X71" i="21" s="1"/>
  <c r="Z71" i="21" s="1"/>
  <c r="P71" i="21"/>
  <c r="L71" i="21"/>
  <c r="N71" i="21" s="1"/>
  <c r="H71" i="21"/>
  <c r="F71" i="21"/>
  <c r="D71" i="21"/>
  <c r="B71" i="21"/>
  <c r="Z70" i="21"/>
  <c r="X70" i="21"/>
  <c r="L70" i="21"/>
  <c r="N70" i="21" s="1"/>
  <c r="B70" i="21"/>
  <c r="Z69" i="21"/>
  <c r="T69" i="21"/>
  <c r="P69" i="21"/>
  <c r="X69" i="21" s="1"/>
  <c r="H69" i="21"/>
  <c r="D69" i="21"/>
  <c r="L69" i="21" s="1"/>
  <c r="B69" i="21"/>
  <c r="X68" i="21"/>
  <c r="Z68" i="21" s="1"/>
  <c r="N68" i="21"/>
  <c r="L68" i="21"/>
  <c r="B68" i="21"/>
  <c r="X67" i="21"/>
  <c r="Z67" i="21" s="1"/>
  <c r="T67" i="21"/>
  <c r="P67" i="21"/>
  <c r="H67" i="21"/>
  <c r="D67" i="21"/>
  <c r="L67" i="21" s="1"/>
  <c r="N67" i="21" s="1"/>
  <c r="B67" i="21"/>
  <c r="X66" i="21"/>
  <c r="Z66" i="21" s="1"/>
  <c r="N66" i="21"/>
  <c r="L66" i="21"/>
  <c r="B66" i="21"/>
  <c r="X65" i="21"/>
  <c r="Z65" i="21" s="1"/>
  <c r="N65" i="21"/>
  <c r="L65" i="21"/>
  <c r="B65" i="21"/>
  <c r="T64" i="21"/>
  <c r="P64" i="21"/>
  <c r="L64" i="21"/>
  <c r="H64" i="21"/>
  <c r="D64" i="21"/>
  <c r="B64" i="21"/>
  <c r="X63" i="21"/>
  <c r="Z63" i="21" s="1"/>
  <c r="L63" i="21"/>
  <c r="N63" i="21" s="1"/>
  <c r="B63" i="21"/>
  <c r="T62" i="21"/>
  <c r="P62" i="21"/>
  <c r="X62" i="21" s="1"/>
  <c r="Z62" i="21" s="1"/>
  <c r="N62" i="21"/>
  <c r="H62" i="21"/>
  <c r="D62" i="21"/>
  <c r="L62" i="21" s="1"/>
  <c r="B62" i="21"/>
  <c r="X61" i="21"/>
  <c r="Z61" i="21" s="1"/>
  <c r="L61" i="21"/>
  <c r="N61" i="21" s="1"/>
  <c r="B61" i="21"/>
  <c r="X60" i="21"/>
  <c r="T60" i="21"/>
  <c r="Z60" i="21" s="1"/>
  <c r="P60" i="21"/>
  <c r="L60" i="21"/>
  <c r="N60" i="21" s="1"/>
  <c r="H60" i="21"/>
  <c r="D60" i="21"/>
  <c r="B60" i="21"/>
  <c r="Z59" i="21"/>
  <c r="X59" i="21"/>
  <c r="L59" i="21"/>
  <c r="N59" i="21" s="1"/>
  <c r="F59" i="21"/>
  <c r="B59" i="21"/>
  <c r="T58" i="21"/>
  <c r="P58" i="21"/>
  <c r="H58" i="21"/>
  <c r="D58" i="21"/>
  <c r="L58" i="21" s="1"/>
  <c r="B58" i="21"/>
  <c r="Z57" i="21"/>
  <c r="X57" i="21"/>
  <c r="L57" i="21"/>
  <c r="N57" i="21" s="1"/>
  <c r="B57" i="21"/>
  <c r="Z56" i="21"/>
  <c r="X56" i="21"/>
  <c r="L56" i="21"/>
  <c r="N56" i="21" s="1"/>
  <c r="B56" i="21"/>
  <c r="T55" i="21"/>
  <c r="P55" i="21"/>
  <c r="H55" i="21"/>
  <c r="D55" i="21"/>
  <c r="L55" i="21" s="1"/>
  <c r="N55" i="21" s="1"/>
  <c r="B55" i="21"/>
  <c r="X54" i="21"/>
  <c r="Z54" i="21" s="1"/>
  <c r="L54" i="21"/>
  <c r="N54" i="21" s="1"/>
  <c r="B54" i="21"/>
  <c r="T53" i="21"/>
  <c r="P53" i="21"/>
  <c r="X53" i="21" s="1"/>
  <c r="Z53" i="21" s="1"/>
  <c r="L53" i="21"/>
  <c r="N53" i="21" s="1"/>
  <c r="H53" i="21"/>
  <c r="D53" i="21"/>
  <c r="B53" i="21"/>
  <c r="Z52" i="21"/>
  <c r="X52" i="21"/>
  <c r="N52" i="21"/>
  <c r="L52" i="21"/>
  <c r="F52" i="21"/>
  <c r="B52" i="21"/>
  <c r="T51" i="21"/>
  <c r="X51" i="21" s="1"/>
  <c r="Z51" i="21" s="1"/>
  <c r="P51" i="21"/>
  <c r="L51" i="21"/>
  <c r="N51" i="21" s="1"/>
  <c r="H51" i="21"/>
  <c r="D51" i="21"/>
  <c r="B51" i="21"/>
  <c r="Z50" i="21"/>
  <c r="X50" i="21"/>
  <c r="L50" i="21"/>
  <c r="N50" i="21" s="1"/>
  <c r="B50" i="21"/>
  <c r="Z49" i="21"/>
  <c r="T49" i="21"/>
  <c r="P49" i="21"/>
  <c r="X49" i="21" s="1"/>
  <c r="H49" i="21"/>
  <c r="D49" i="21"/>
  <c r="L49" i="21" s="1"/>
  <c r="B49" i="21"/>
  <c r="X48" i="21"/>
  <c r="Z48" i="21" s="1"/>
  <c r="N48" i="21"/>
  <c r="L48" i="21"/>
  <c r="F48" i="21"/>
  <c r="B48" i="21"/>
  <c r="X47" i="21"/>
  <c r="Z47" i="21" s="1"/>
  <c r="N47" i="21"/>
  <c r="L47" i="21"/>
  <c r="B47" i="21"/>
  <c r="X46" i="21"/>
  <c r="Z46" i="21" s="1"/>
  <c r="L46" i="21"/>
  <c r="N46" i="21" s="1"/>
  <c r="B46" i="21"/>
  <c r="X45" i="21"/>
  <c r="Z45" i="21" s="1"/>
  <c r="L45" i="21"/>
  <c r="N45" i="21" s="1"/>
  <c r="B45" i="21"/>
  <c r="Z44" i="21"/>
  <c r="X44" i="21"/>
  <c r="N44" i="21"/>
  <c r="L44" i="21"/>
  <c r="B44" i="21"/>
  <c r="X43" i="21"/>
  <c r="Z43" i="21" s="1"/>
  <c r="N43" i="21"/>
  <c r="L43" i="21"/>
  <c r="B43" i="21"/>
  <c r="X42" i="21"/>
  <c r="Z42" i="21" s="1"/>
  <c r="T42" i="21"/>
  <c r="P42" i="21"/>
  <c r="L42" i="21"/>
  <c r="H42" i="21"/>
  <c r="D42" i="21"/>
  <c r="B42" i="21"/>
  <c r="X41" i="21"/>
  <c r="Z41" i="21" s="1"/>
  <c r="N41" i="21"/>
  <c r="L41" i="21"/>
  <c r="B41" i="21"/>
  <c r="Z40" i="21"/>
  <c r="X40" i="21"/>
  <c r="N40" i="21"/>
  <c r="L40" i="21"/>
  <c r="B40" i="21"/>
  <c r="Z39" i="21"/>
  <c r="X39" i="21"/>
  <c r="L39" i="21"/>
  <c r="N39" i="21" s="1"/>
  <c r="B39" i="21"/>
  <c r="X38" i="21"/>
  <c r="Z38" i="21" s="1"/>
  <c r="N38" i="21"/>
  <c r="L38" i="21"/>
  <c r="B38" i="21"/>
  <c r="Z37" i="21"/>
  <c r="X37" i="21"/>
  <c r="N37" i="21"/>
  <c r="L37" i="21"/>
  <c r="B37" i="21"/>
  <c r="Z36" i="21"/>
  <c r="X36" i="21"/>
  <c r="N36" i="21"/>
  <c r="L36" i="21"/>
  <c r="B36" i="21"/>
  <c r="Z35" i="21"/>
  <c r="X35" i="21"/>
  <c r="L35" i="21"/>
  <c r="N35" i="21" s="1"/>
  <c r="B35" i="21"/>
  <c r="X34" i="21"/>
  <c r="Z34" i="21" s="1"/>
  <c r="N34" i="21"/>
  <c r="L34" i="21"/>
  <c r="B34" i="21"/>
  <c r="X33" i="21"/>
  <c r="Z33" i="21" s="1"/>
  <c r="T33" i="21"/>
  <c r="P33" i="21"/>
  <c r="H33" i="21"/>
  <c r="L33" i="21" s="1"/>
  <c r="N33" i="21" s="1"/>
  <c r="D33" i="21"/>
  <c r="B33" i="21"/>
  <c r="T32" i="21"/>
  <c r="P32" i="21"/>
  <c r="H32" i="21"/>
  <c r="D32" i="21"/>
  <c r="L32" i="21" s="1"/>
  <c r="N32" i="21" s="1"/>
  <c r="Z28" i="21"/>
  <c r="X28" i="21"/>
  <c r="L28" i="21"/>
  <c r="N28" i="21" s="1"/>
  <c r="B28" i="21"/>
  <c r="X27" i="21"/>
  <c r="Z27" i="21" s="1"/>
  <c r="L27" i="21"/>
  <c r="N27" i="21" s="1"/>
  <c r="B27" i="21"/>
  <c r="T26" i="21"/>
  <c r="P26" i="21"/>
  <c r="X26" i="21" s="1"/>
  <c r="Z26" i="21" s="1"/>
  <c r="H26" i="21"/>
  <c r="D26" i="21"/>
  <c r="T24" i="21"/>
  <c r="P24" i="21"/>
  <c r="H24" i="21"/>
  <c r="N24" i="21" s="1"/>
  <c r="D24" i="21"/>
  <c r="B24" i="21"/>
  <c r="Z23" i="21"/>
  <c r="T23" i="21"/>
  <c r="P23" i="21"/>
  <c r="X23" i="21" s="1"/>
  <c r="L23" i="21"/>
  <c r="N23" i="21" s="1"/>
  <c r="H23" i="21"/>
  <c r="D23" i="21"/>
  <c r="B23" i="21"/>
  <c r="T22" i="21"/>
  <c r="P22" i="21"/>
  <c r="X22" i="21" s="1"/>
  <c r="Z22" i="21" s="1"/>
  <c r="L22" i="21"/>
  <c r="H22" i="21"/>
  <c r="N22" i="21" s="1"/>
  <c r="D22" i="21"/>
  <c r="B22" i="21"/>
  <c r="T21" i="21"/>
  <c r="P21" i="21"/>
  <c r="X21" i="21" s="1"/>
  <c r="H21" i="21"/>
  <c r="D21" i="21"/>
  <c r="B21" i="21"/>
  <c r="T20" i="21"/>
  <c r="P20" i="21"/>
  <c r="L20" i="21"/>
  <c r="H20" i="21"/>
  <c r="D20" i="21"/>
  <c r="B20" i="21"/>
  <c r="T19" i="21"/>
  <c r="Z19" i="21" s="1"/>
  <c r="P19" i="21"/>
  <c r="X19" i="21" s="1"/>
  <c r="N19" i="21"/>
  <c r="L19" i="21"/>
  <c r="H19" i="21"/>
  <c r="D19" i="21"/>
  <c r="B19" i="21"/>
  <c r="Z18" i="21"/>
  <c r="T18" i="21"/>
  <c r="P18" i="21"/>
  <c r="X18" i="21" s="1"/>
  <c r="L18" i="21"/>
  <c r="H18" i="21"/>
  <c r="D18" i="21"/>
  <c r="B18" i="21"/>
  <c r="T17" i="21"/>
  <c r="Z17" i="21" s="1"/>
  <c r="P17" i="21"/>
  <c r="H17" i="21"/>
  <c r="D17" i="21"/>
  <c r="B17" i="21"/>
  <c r="T16" i="21"/>
  <c r="P16" i="21"/>
  <c r="H16" i="21"/>
  <c r="D16" i="21"/>
  <c r="B16" i="21"/>
  <c r="T15" i="21"/>
  <c r="P15" i="21"/>
  <c r="L15" i="21"/>
  <c r="N15" i="21" s="1"/>
  <c r="H15" i="21"/>
  <c r="D15" i="21"/>
  <c r="B15" i="21"/>
  <c r="T14" i="21"/>
  <c r="P14" i="21"/>
  <c r="X14" i="21" s="1"/>
  <c r="Z14" i="21" s="1"/>
  <c r="L14" i="21"/>
  <c r="H14" i="21"/>
  <c r="N14" i="21" s="1"/>
  <c r="D14" i="21"/>
  <c r="D12" i="21" s="1"/>
  <c r="F96" i="21" s="1"/>
  <c r="B14" i="21"/>
  <c r="T13" i="21"/>
  <c r="P13" i="21"/>
  <c r="H13" i="21"/>
  <c r="D13" i="21"/>
  <c r="B13" i="21"/>
  <c r="D4" i="21"/>
  <c r="Z303" i="18"/>
  <c r="X303" i="18"/>
  <c r="L303" i="18"/>
  <c r="N303" i="18" s="1"/>
  <c r="X299" i="18"/>
  <c r="T299" i="18"/>
  <c r="Z299" i="18" s="1"/>
  <c r="P299" i="18"/>
  <c r="H299" i="18"/>
  <c r="N299" i="18" s="1"/>
  <c r="D299" i="18"/>
  <c r="L299" i="18" s="1"/>
  <c r="B299" i="18"/>
  <c r="X298" i="18"/>
  <c r="T298" i="18"/>
  <c r="P298" i="18"/>
  <c r="H298" i="18"/>
  <c r="D298" i="18"/>
  <c r="B298" i="18"/>
  <c r="T297" i="18"/>
  <c r="P297" i="18"/>
  <c r="X297" i="18" s="1"/>
  <c r="Z297" i="18" s="1"/>
  <c r="H297" i="18"/>
  <c r="N297" i="18" s="1"/>
  <c r="D297" i="18"/>
  <c r="B297" i="18"/>
  <c r="X296" i="18"/>
  <c r="T296" i="18"/>
  <c r="Z296" i="18" s="1"/>
  <c r="P296" i="18"/>
  <c r="H296" i="18"/>
  <c r="D296" i="18"/>
  <c r="B296" i="18"/>
  <c r="T295" i="18"/>
  <c r="X295" i="18" s="1"/>
  <c r="Z295" i="18" s="1"/>
  <c r="P295" i="18"/>
  <c r="L295" i="18"/>
  <c r="N295" i="18" s="1"/>
  <c r="H295" i="18"/>
  <c r="D295" i="18"/>
  <c r="B295" i="18"/>
  <c r="T294" i="18"/>
  <c r="P294" i="18"/>
  <c r="X294" i="18" s="1"/>
  <c r="Z294" i="18" s="1"/>
  <c r="H294" i="18"/>
  <c r="N294" i="18" s="1"/>
  <c r="D294" i="18"/>
  <c r="L294" i="18" s="1"/>
  <c r="B294" i="18"/>
  <c r="T293" i="18"/>
  <c r="P293" i="18"/>
  <c r="X293" i="18" s="1"/>
  <c r="L293" i="18"/>
  <c r="H293" i="18"/>
  <c r="N293" i="18" s="1"/>
  <c r="D293" i="18"/>
  <c r="B293" i="18"/>
  <c r="T292" i="18"/>
  <c r="P292" i="18"/>
  <c r="H292" i="18"/>
  <c r="N292" i="18" s="1"/>
  <c r="D292" i="18"/>
  <c r="B292" i="18"/>
  <c r="T291" i="18"/>
  <c r="P291" i="18"/>
  <c r="X291" i="18" s="1"/>
  <c r="N291" i="18"/>
  <c r="H291" i="18"/>
  <c r="D291" i="18"/>
  <c r="L291" i="18" s="1"/>
  <c r="B291" i="18"/>
  <c r="X290" i="18"/>
  <c r="Z290" i="18" s="1"/>
  <c r="T290" i="18"/>
  <c r="P290" i="18"/>
  <c r="L290" i="18"/>
  <c r="H290" i="18"/>
  <c r="N290" i="18" s="1"/>
  <c r="D290" i="18"/>
  <c r="B290" i="18"/>
  <c r="X289" i="18"/>
  <c r="Z289" i="18" s="1"/>
  <c r="T289" i="18"/>
  <c r="P289" i="18"/>
  <c r="H289" i="18"/>
  <c r="L289" i="18" s="1"/>
  <c r="N289" i="18" s="1"/>
  <c r="D289" i="18"/>
  <c r="B289" i="18"/>
  <c r="T288" i="18"/>
  <c r="P288" i="18"/>
  <c r="H288" i="18"/>
  <c r="D288" i="18"/>
  <c r="L288" i="18" s="1"/>
  <c r="N288" i="18" s="1"/>
  <c r="B288" i="18"/>
  <c r="X285" i="18"/>
  <c r="Z285" i="18" s="1"/>
  <c r="N285" i="18"/>
  <c r="L285" i="18"/>
  <c r="B285" i="18"/>
  <c r="X284" i="18"/>
  <c r="Z284" i="18" s="1"/>
  <c r="T284" i="18"/>
  <c r="P284" i="18"/>
  <c r="L284" i="18"/>
  <c r="H284" i="18"/>
  <c r="N284" i="18" s="1"/>
  <c r="D284" i="18"/>
  <c r="B284" i="18"/>
  <c r="Z283" i="18"/>
  <c r="X283" i="18"/>
  <c r="N283" i="18"/>
  <c r="L283" i="18"/>
  <c r="B283" i="18"/>
  <c r="Z282" i="18"/>
  <c r="X282" i="18"/>
  <c r="N282" i="18"/>
  <c r="L282" i="18"/>
  <c r="B282" i="18"/>
  <c r="Z281" i="18"/>
  <c r="X281" i="18"/>
  <c r="L281" i="18"/>
  <c r="N281" i="18" s="1"/>
  <c r="B281" i="18"/>
  <c r="T280" i="18"/>
  <c r="P280" i="18"/>
  <c r="H280" i="18"/>
  <c r="D280" i="18"/>
  <c r="L280" i="18" s="1"/>
  <c r="B280" i="18"/>
  <c r="Z279" i="18"/>
  <c r="X279" i="18"/>
  <c r="L279" i="18"/>
  <c r="N279" i="18" s="1"/>
  <c r="B279" i="18"/>
  <c r="T278" i="18"/>
  <c r="Z278" i="18" s="1"/>
  <c r="P278" i="18"/>
  <c r="X278" i="18" s="1"/>
  <c r="H278" i="18"/>
  <c r="D278" i="18"/>
  <c r="L278" i="18" s="1"/>
  <c r="N278" i="18" s="1"/>
  <c r="B278" i="18"/>
  <c r="X277" i="18"/>
  <c r="Z277" i="18" s="1"/>
  <c r="N277" i="18"/>
  <c r="L277" i="18"/>
  <c r="B277" i="18"/>
  <c r="X276" i="18"/>
  <c r="Z276" i="18" s="1"/>
  <c r="L276" i="18"/>
  <c r="N276" i="18" s="1"/>
  <c r="B276" i="18"/>
  <c r="T275" i="18"/>
  <c r="Z275" i="18" s="1"/>
  <c r="P275" i="18"/>
  <c r="X275" i="18" s="1"/>
  <c r="L275" i="18"/>
  <c r="N275" i="18" s="1"/>
  <c r="H275" i="18"/>
  <c r="D275" i="18"/>
  <c r="B275" i="18"/>
  <c r="Z274" i="18"/>
  <c r="X274" i="18"/>
  <c r="N274" i="18"/>
  <c r="L274" i="18"/>
  <c r="B274" i="18"/>
  <c r="Z273" i="18"/>
  <c r="X273" i="18"/>
  <c r="L273" i="18"/>
  <c r="N273" i="18" s="1"/>
  <c r="B273" i="18"/>
  <c r="X272" i="18"/>
  <c r="Z272" i="18" s="1"/>
  <c r="N272" i="18"/>
  <c r="L272" i="18"/>
  <c r="B272" i="18"/>
  <c r="Z271" i="18"/>
  <c r="X271" i="18"/>
  <c r="N271" i="18"/>
  <c r="L271" i="18"/>
  <c r="B271" i="18"/>
  <c r="Z270" i="18"/>
  <c r="X270" i="18"/>
  <c r="N270" i="18"/>
  <c r="L270" i="18"/>
  <c r="B270" i="18"/>
  <c r="Z269" i="18"/>
  <c r="X269" i="18"/>
  <c r="L269" i="18"/>
  <c r="N269" i="18" s="1"/>
  <c r="B269" i="18"/>
  <c r="Z268" i="18"/>
  <c r="X268" i="18"/>
  <c r="N268" i="18"/>
  <c r="L268" i="18"/>
  <c r="B268" i="18"/>
  <c r="Z267" i="18"/>
  <c r="X267" i="18"/>
  <c r="N267" i="18"/>
  <c r="L267" i="18"/>
  <c r="B267" i="18"/>
  <c r="T266" i="18"/>
  <c r="P266" i="18"/>
  <c r="L266" i="18"/>
  <c r="H266" i="18"/>
  <c r="D266" i="18"/>
  <c r="B266" i="18"/>
  <c r="X265" i="18"/>
  <c r="Z265" i="18" s="1"/>
  <c r="L265" i="18"/>
  <c r="N265" i="18" s="1"/>
  <c r="B265" i="18"/>
  <c r="Z264" i="18"/>
  <c r="X264" i="18"/>
  <c r="L264" i="18"/>
  <c r="N264" i="18" s="1"/>
  <c r="B264" i="18"/>
  <c r="Z263" i="18"/>
  <c r="T263" i="18"/>
  <c r="P263" i="18"/>
  <c r="X263" i="18" s="1"/>
  <c r="H263" i="18"/>
  <c r="D263" i="18"/>
  <c r="L263" i="18" s="1"/>
  <c r="B263" i="18"/>
  <c r="X262" i="18"/>
  <c r="Z262" i="18" s="1"/>
  <c r="N262" i="18"/>
  <c r="L262" i="18"/>
  <c r="B262" i="18"/>
  <c r="X261" i="18"/>
  <c r="Z261" i="18" s="1"/>
  <c r="N261" i="18"/>
  <c r="L261" i="18"/>
  <c r="B261" i="18"/>
  <c r="X260" i="18"/>
  <c r="Z260" i="18" s="1"/>
  <c r="L260" i="18"/>
  <c r="N260" i="18" s="1"/>
  <c r="B260" i="18"/>
  <c r="X259" i="18"/>
  <c r="Z259" i="18" s="1"/>
  <c r="N259" i="18"/>
  <c r="L259" i="18"/>
  <c r="B259" i="18"/>
  <c r="X258" i="18"/>
  <c r="T258" i="18"/>
  <c r="P258" i="18"/>
  <c r="H258" i="18"/>
  <c r="D258" i="18"/>
  <c r="L258" i="18" s="1"/>
  <c r="N258" i="18" s="1"/>
  <c r="B258" i="18"/>
  <c r="Z257" i="18"/>
  <c r="X257" i="18"/>
  <c r="L257" i="18"/>
  <c r="N257" i="18" s="1"/>
  <c r="B257" i="18"/>
  <c r="X256" i="18"/>
  <c r="Z256" i="18" s="1"/>
  <c r="N256" i="18"/>
  <c r="L256" i="18"/>
  <c r="B256" i="18"/>
  <c r="X255" i="18"/>
  <c r="Z255" i="18" s="1"/>
  <c r="N255" i="18"/>
  <c r="L255" i="18"/>
  <c r="B255" i="18"/>
  <c r="T254" i="18"/>
  <c r="P254" i="18"/>
  <c r="X254" i="18" s="1"/>
  <c r="L254" i="18"/>
  <c r="H254" i="18"/>
  <c r="D254" i="18"/>
  <c r="B254" i="18"/>
  <c r="X253" i="18"/>
  <c r="Z253" i="18" s="1"/>
  <c r="N253" i="18"/>
  <c r="L253" i="18"/>
  <c r="B253" i="18"/>
  <c r="Z252" i="18"/>
  <c r="X252" i="18"/>
  <c r="L252" i="18"/>
  <c r="N252" i="18" s="1"/>
  <c r="B252" i="18"/>
  <c r="Z251" i="18"/>
  <c r="X251" i="18"/>
  <c r="N251" i="18"/>
  <c r="L251" i="18"/>
  <c r="B251" i="18"/>
  <c r="Z250" i="18"/>
  <c r="X250" i="18"/>
  <c r="L250" i="18"/>
  <c r="N250" i="18" s="1"/>
  <c r="B250" i="18"/>
  <c r="T249" i="18"/>
  <c r="P249" i="18"/>
  <c r="N249" i="18"/>
  <c r="H249" i="18"/>
  <c r="D249" i="18"/>
  <c r="L249" i="18" s="1"/>
  <c r="B249" i="18"/>
  <c r="X248" i="18"/>
  <c r="Z248" i="18" s="1"/>
  <c r="L248" i="18"/>
  <c r="N248" i="18" s="1"/>
  <c r="B248" i="18"/>
  <c r="T247" i="18"/>
  <c r="P247" i="18"/>
  <c r="X247" i="18" s="1"/>
  <c r="Z247" i="18" s="1"/>
  <c r="L247" i="18"/>
  <c r="N247" i="18" s="1"/>
  <c r="H247" i="18"/>
  <c r="D247" i="18"/>
  <c r="B247" i="18"/>
  <c r="Z246" i="18"/>
  <c r="X246" i="18"/>
  <c r="N246" i="18"/>
  <c r="L246" i="18"/>
  <c r="B246" i="18"/>
  <c r="Z245" i="18"/>
  <c r="T245" i="18"/>
  <c r="X245" i="18" s="1"/>
  <c r="P245" i="18"/>
  <c r="N245" i="18"/>
  <c r="L245" i="18"/>
  <c r="H245" i="18"/>
  <c r="D245" i="18"/>
  <c r="B245" i="18"/>
  <c r="Z244" i="18"/>
  <c r="X244" i="18"/>
  <c r="L244" i="18"/>
  <c r="N244" i="18" s="1"/>
  <c r="B244" i="18"/>
  <c r="Z243" i="18"/>
  <c r="T243" i="18"/>
  <c r="P243" i="18"/>
  <c r="X243" i="18" s="1"/>
  <c r="H243" i="18"/>
  <c r="D243" i="18"/>
  <c r="L243" i="18" s="1"/>
  <c r="B243" i="18"/>
  <c r="X242" i="18"/>
  <c r="Z242" i="18" s="1"/>
  <c r="N242" i="18"/>
  <c r="L242" i="18"/>
  <c r="B242" i="18"/>
  <c r="X241" i="18"/>
  <c r="Z241" i="18" s="1"/>
  <c r="T241" i="18"/>
  <c r="P241" i="18"/>
  <c r="H241" i="18"/>
  <c r="D241" i="18"/>
  <c r="L241" i="18" s="1"/>
  <c r="N241" i="18" s="1"/>
  <c r="B241" i="18"/>
  <c r="X240" i="18"/>
  <c r="Z240" i="18" s="1"/>
  <c r="N240" i="18"/>
  <c r="L240" i="18"/>
  <c r="B240" i="18"/>
  <c r="X239" i="18"/>
  <c r="Z239" i="18" s="1"/>
  <c r="T239" i="18"/>
  <c r="P239" i="18"/>
  <c r="H239" i="18"/>
  <c r="L239" i="18" s="1"/>
  <c r="N239" i="18" s="1"/>
  <c r="D239" i="18"/>
  <c r="B239" i="18"/>
  <c r="Z238" i="18"/>
  <c r="X238" i="18"/>
  <c r="L238" i="18"/>
  <c r="N238" i="18" s="1"/>
  <c r="B238" i="18"/>
  <c r="X237" i="18"/>
  <c r="Z237" i="18" s="1"/>
  <c r="L237" i="18"/>
  <c r="N237" i="18" s="1"/>
  <c r="B237" i="18"/>
  <c r="T236" i="18"/>
  <c r="P236" i="18"/>
  <c r="X236" i="18" s="1"/>
  <c r="Z236" i="18" s="1"/>
  <c r="H236" i="18"/>
  <c r="D236" i="18"/>
  <c r="B236" i="18"/>
  <c r="X235" i="18"/>
  <c r="Z235" i="18" s="1"/>
  <c r="N235" i="18"/>
  <c r="L235" i="18"/>
  <c r="B235" i="18"/>
  <c r="X234" i="18"/>
  <c r="T234" i="18"/>
  <c r="Z234" i="18" s="1"/>
  <c r="P234" i="18"/>
  <c r="L234" i="18"/>
  <c r="H234" i="18"/>
  <c r="N234" i="18" s="1"/>
  <c r="D234" i="18"/>
  <c r="B234" i="18"/>
  <c r="Z233" i="18"/>
  <c r="X233" i="18"/>
  <c r="L233" i="18"/>
  <c r="N233" i="18" s="1"/>
  <c r="B233" i="18"/>
  <c r="T232" i="18"/>
  <c r="P232" i="18"/>
  <c r="H232" i="18"/>
  <c r="D232" i="18"/>
  <c r="B232" i="18"/>
  <c r="Z231" i="18"/>
  <c r="X231" i="18"/>
  <c r="L231" i="18"/>
  <c r="N231" i="18" s="1"/>
  <c r="B231" i="18"/>
  <c r="T230" i="18"/>
  <c r="Z230" i="18" s="1"/>
  <c r="P230" i="18"/>
  <c r="X230" i="18" s="1"/>
  <c r="H230" i="18"/>
  <c r="D230" i="18"/>
  <c r="L230" i="18" s="1"/>
  <c r="N230" i="18" s="1"/>
  <c r="B230" i="18"/>
  <c r="X229" i="18"/>
  <c r="Z229" i="18" s="1"/>
  <c r="N229" i="18"/>
  <c r="L229" i="18"/>
  <c r="B229" i="18"/>
  <c r="X228" i="18"/>
  <c r="Z228" i="18" s="1"/>
  <c r="L228" i="18"/>
  <c r="N228" i="18" s="1"/>
  <c r="B228" i="18"/>
  <c r="T227" i="18"/>
  <c r="Z227" i="18" s="1"/>
  <c r="P227" i="18"/>
  <c r="X227" i="18" s="1"/>
  <c r="L227" i="18"/>
  <c r="N227" i="18" s="1"/>
  <c r="H227" i="18"/>
  <c r="D227" i="18"/>
  <c r="B227" i="18"/>
  <c r="Z226" i="18"/>
  <c r="X226" i="18"/>
  <c r="N226" i="18"/>
  <c r="L226" i="18"/>
  <c r="B226" i="18"/>
  <c r="Z225" i="18"/>
  <c r="X225" i="18"/>
  <c r="L225" i="18"/>
  <c r="N225" i="18" s="1"/>
  <c r="B225" i="18"/>
  <c r="T224" i="18"/>
  <c r="P224" i="18"/>
  <c r="H224" i="18"/>
  <c r="D224" i="18"/>
  <c r="L224" i="18" s="1"/>
  <c r="B224" i="18"/>
  <c r="Z223" i="18"/>
  <c r="X223" i="18"/>
  <c r="L223" i="18"/>
  <c r="N223" i="18" s="1"/>
  <c r="B223" i="18"/>
  <c r="T222" i="18"/>
  <c r="P222" i="18"/>
  <c r="H222" i="18"/>
  <c r="D222" i="18"/>
  <c r="L222" i="18" s="1"/>
  <c r="N222" i="18" s="1"/>
  <c r="B222" i="18"/>
  <c r="Z221" i="18"/>
  <c r="X221" i="18"/>
  <c r="N221" i="18"/>
  <c r="L221" i="18"/>
  <c r="B221" i="18"/>
  <c r="X220" i="18"/>
  <c r="Z220" i="18" s="1"/>
  <c r="L220" i="18"/>
  <c r="N220" i="18" s="1"/>
  <c r="B220" i="18"/>
  <c r="T219" i="18"/>
  <c r="Z219" i="18" s="1"/>
  <c r="P219" i="18"/>
  <c r="X219" i="18" s="1"/>
  <c r="L219" i="18"/>
  <c r="N219" i="18" s="1"/>
  <c r="H219" i="18"/>
  <c r="D219" i="18"/>
  <c r="B219" i="18"/>
  <c r="Z218" i="18"/>
  <c r="X218" i="18"/>
  <c r="N218" i="18"/>
  <c r="L218" i="18"/>
  <c r="B218" i="18"/>
  <c r="Z217" i="18"/>
  <c r="T217" i="18"/>
  <c r="X217" i="18" s="1"/>
  <c r="P217" i="18"/>
  <c r="L217" i="18"/>
  <c r="N217" i="18" s="1"/>
  <c r="H217" i="18"/>
  <c r="D217" i="18"/>
  <c r="B217" i="18"/>
  <c r="Z216" i="18"/>
  <c r="X216" i="18"/>
  <c r="L216" i="18"/>
  <c r="N216" i="18" s="1"/>
  <c r="B216" i="18"/>
  <c r="Z215" i="18"/>
  <c r="X215" i="18"/>
  <c r="L215" i="18"/>
  <c r="N215" i="18" s="1"/>
  <c r="B215" i="18"/>
  <c r="Z214" i="18"/>
  <c r="X214" i="18"/>
  <c r="L214" i="18"/>
  <c r="N214" i="18" s="1"/>
  <c r="B214" i="18"/>
  <c r="X213" i="18"/>
  <c r="Z213" i="18" s="1"/>
  <c r="L213" i="18"/>
  <c r="N213" i="18" s="1"/>
  <c r="B213" i="18"/>
  <c r="Z212" i="18"/>
  <c r="X212" i="18"/>
  <c r="L212" i="18"/>
  <c r="N212" i="18" s="1"/>
  <c r="B212" i="18"/>
  <c r="Z211" i="18"/>
  <c r="X211" i="18"/>
  <c r="L211" i="18"/>
  <c r="N211" i="18" s="1"/>
  <c r="B211" i="18"/>
  <c r="Z210" i="18"/>
  <c r="X210" i="18"/>
  <c r="L210" i="18"/>
  <c r="N210" i="18" s="1"/>
  <c r="B210" i="18"/>
  <c r="T209" i="18"/>
  <c r="P209" i="18"/>
  <c r="X209" i="18" s="1"/>
  <c r="N209" i="18"/>
  <c r="H209" i="18"/>
  <c r="D209" i="18"/>
  <c r="L209" i="18" s="1"/>
  <c r="B209" i="18"/>
  <c r="X208" i="18"/>
  <c r="Z208" i="18" s="1"/>
  <c r="L208" i="18"/>
  <c r="N208" i="18" s="1"/>
  <c r="B208" i="18"/>
  <c r="X207" i="18"/>
  <c r="Z207" i="18" s="1"/>
  <c r="L207" i="18"/>
  <c r="N207" i="18" s="1"/>
  <c r="B207" i="18"/>
  <c r="X206" i="18"/>
  <c r="Z206" i="18" s="1"/>
  <c r="N206" i="18"/>
  <c r="L206" i="18"/>
  <c r="B206" i="18"/>
  <c r="X205" i="18"/>
  <c r="Z205" i="18" s="1"/>
  <c r="N205" i="18"/>
  <c r="L205" i="18"/>
  <c r="B205" i="18"/>
  <c r="X204" i="18"/>
  <c r="Z204" i="18" s="1"/>
  <c r="L204" i="18"/>
  <c r="N204" i="18" s="1"/>
  <c r="B204" i="18"/>
  <c r="X203" i="18"/>
  <c r="Z203" i="18" s="1"/>
  <c r="N203" i="18"/>
  <c r="L203" i="18"/>
  <c r="B203" i="18"/>
  <c r="X202" i="18"/>
  <c r="Z202" i="18" s="1"/>
  <c r="N202" i="18"/>
  <c r="L202" i="18"/>
  <c r="B202" i="18"/>
  <c r="X201" i="18"/>
  <c r="Z201" i="18" s="1"/>
  <c r="N201" i="18"/>
  <c r="L201" i="18"/>
  <c r="B201" i="18"/>
  <c r="X200" i="18"/>
  <c r="Z200" i="18" s="1"/>
  <c r="L200" i="18"/>
  <c r="N200" i="18" s="1"/>
  <c r="B200" i="18"/>
  <c r="T199" i="18"/>
  <c r="Z199" i="18" s="1"/>
  <c r="P199" i="18"/>
  <c r="X199" i="18" s="1"/>
  <c r="L199" i="18"/>
  <c r="N199" i="18" s="1"/>
  <c r="H199" i="18"/>
  <c r="D199" i="18"/>
  <c r="B199" i="18"/>
  <c r="T198" i="18"/>
  <c r="P198" i="18"/>
  <c r="L198" i="18"/>
  <c r="H198" i="18"/>
  <c r="D198" i="18"/>
  <c r="Z194" i="18"/>
  <c r="X194" i="18"/>
  <c r="N194" i="18"/>
  <c r="L194" i="18"/>
  <c r="B194" i="18"/>
  <c r="Z193" i="18"/>
  <c r="X193" i="18"/>
  <c r="N193" i="18"/>
  <c r="L193" i="18"/>
  <c r="B193" i="18"/>
  <c r="Z192" i="18"/>
  <c r="X192" i="18"/>
  <c r="N192" i="18"/>
  <c r="L192" i="18"/>
  <c r="B192" i="18"/>
  <c r="Z191" i="18"/>
  <c r="X191" i="18"/>
  <c r="N191" i="18"/>
  <c r="L191" i="18"/>
  <c r="B191" i="18"/>
  <c r="Z190" i="18"/>
  <c r="X190" i="18"/>
  <c r="N190" i="18"/>
  <c r="L190" i="18"/>
  <c r="B190" i="18"/>
  <c r="Z189" i="18"/>
  <c r="X189" i="18"/>
  <c r="N189" i="18"/>
  <c r="L189" i="18"/>
  <c r="B189" i="18"/>
  <c r="X188" i="18"/>
  <c r="Z188" i="18" s="1"/>
  <c r="N188" i="18"/>
  <c r="L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Z185" i="18"/>
  <c r="X185" i="18"/>
  <c r="L185" i="18"/>
  <c r="N185" i="18" s="1"/>
  <c r="B185" i="18"/>
  <c r="Z184" i="18"/>
  <c r="X184" i="18"/>
  <c r="N184" i="18"/>
  <c r="L184" i="18"/>
  <c r="B184" i="18"/>
  <c r="X183" i="18"/>
  <c r="Z183" i="18" s="1"/>
  <c r="N183" i="18"/>
  <c r="L183" i="18"/>
  <c r="B183" i="18"/>
  <c r="Z182" i="18"/>
  <c r="X182" i="18"/>
  <c r="L182" i="18"/>
  <c r="N182" i="18" s="1"/>
  <c r="B182" i="18"/>
  <c r="Z181" i="18"/>
  <c r="X181" i="18"/>
  <c r="L181" i="18"/>
  <c r="N181" i="18" s="1"/>
  <c r="B181" i="18"/>
  <c r="X180" i="18"/>
  <c r="Z180" i="18" s="1"/>
  <c r="L180" i="18"/>
  <c r="N180" i="18" s="1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X176" i="18"/>
  <c r="Z176" i="18" s="1"/>
  <c r="N176" i="18"/>
  <c r="L176" i="18"/>
  <c r="B176" i="18"/>
  <c r="X175" i="18"/>
  <c r="Z175" i="18" s="1"/>
  <c r="N175" i="18"/>
  <c r="L175" i="18"/>
  <c r="B175" i="18"/>
  <c r="Z174" i="18"/>
  <c r="X174" i="18"/>
  <c r="L174" i="18"/>
  <c r="N174" i="18" s="1"/>
  <c r="B174" i="18"/>
  <c r="Z173" i="18"/>
  <c r="X173" i="18"/>
  <c r="L173" i="18"/>
  <c r="N173" i="18" s="1"/>
  <c r="B173" i="18"/>
  <c r="Z172" i="18"/>
  <c r="X172" i="18"/>
  <c r="L172" i="18"/>
  <c r="N172" i="18" s="1"/>
  <c r="B172" i="18"/>
  <c r="X171" i="18"/>
  <c r="Z171" i="18" s="1"/>
  <c r="N171" i="18"/>
  <c r="L171" i="18"/>
  <c r="B171" i="18"/>
  <c r="Z170" i="18"/>
  <c r="X170" i="18"/>
  <c r="N170" i="18"/>
  <c r="L170" i="18"/>
  <c r="B170" i="18"/>
  <c r="Z169" i="18"/>
  <c r="X169" i="18"/>
  <c r="L169" i="18"/>
  <c r="N169" i="18" s="1"/>
  <c r="B169" i="18"/>
  <c r="Z168" i="18"/>
  <c r="X168" i="18"/>
  <c r="L168" i="18"/>
  <c r="N168" i="18" s="1"/>
  <c r="B168" i="18"/>
  <c r="X167" i="18"/>
  <c r="Z167" i="18" s="1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L164" i="18"/>
  <c r="N164" i="18" s="1"/>
  <c r="B164" i="18"/>
  <c r="Z163" i="18"/>
  <c r="X163" i="18"/>
  <c r="N163" i="18"/>
  <c r="L163" i="18"/>
  <c r="B163" i="18"/>
  <c r="Z162" i="18"/>
  <c r="X162" i="18"/>
  <c r="L162" i="18"/>
  <c r="N162" i="18" s="1"/>
  <c r="B162" i="18"/>
  <c r="Z161" i="18"/>
  <c r="X161" i="18"/>
  <c r="L161" i="18"/>
  <c r="N161" i="18" s="1"/>
  <c r="B161" i="18"/>
  <c r="X160" i="18"/>
  <c r="Z160" i="18" s="1"/>
  <c r="L160" i="18"/>
  <c r="N160" i="18" s="1"/>
  <c r="B160" i="18"/>
  <c r="Z159" i="18"/>
  <c r="X159" i="18"/>
  <c r="N159" i="18"/>
  <c r="L159" i="18"/>
  <c r="B159" i="18"/>
  <c r="Z158" i="18"/>
  <c r="X158" i="18"/>
  <c r="L158" i="18"/>
  <c r="N158" i="18" s="1"/>
  <c r="B158" i="18"/>
  <c r="Z157" i="18"/>
  <c r="X157" i="18"/>
  <c r="L157" i="18"/>
  <c r="N157" i="18" s="1"/>
  <c r="B157" i="18"/>
  <c r="X156" i="18"/>
  <c r="Z156" i="18" s="1"/>
  <c r="L156" i="18"/>
  <c r="N156" i="18" s="1"/>
  <c r="B156" i="18"/>
  <c r="X155" i="18"/>
  <c r="Z155" i="18" s="1"/>
  <c r="N155" i="18"/>
  <c r="L155" i="18"/>
  <c r="B155" i="18"/>
  <c r="Z154" i="18"/>
  <c r="X154" i="18"/>
  <c r="L154" i="18"/>
  <c r="N154" i="18" s="1"/>
  <c r="B154" i="18"/>
  <c r="Z153" i="18"/>
  <c r="X153" i="18"/>
  <c r="L153" i="18"/>
  <c r="N153" i="18" s="1"/>
  <c r="B153" i="18"/>
  <c r="X152" i="18"/>
  <c r="Z152" i="18" s="1"/>
  <c r="L152" i="18"/>
  <c r="N152" i="18" s="1"/>
  <c r="B152" i="18"/>
  <c r="X151" i="18"/>
  <c r="Z151" i="18" s="1"/>
  <c r="N151" i="18"/>
  <c r="L151" i="18"/>
  <c r="B151" i="18"/>
  <c r="Z150" i="18"/>
  <c r="X150" i="18"/>
  <c r="N150" i="18"/>
  <c r="L150" i="18"/>
  <c r="B150" i="18"/>
  <c r="Z149" i="18"/>
  <c r="X149" i="18"/>
  <c r="L149" i="18"/>
  <c r="N149" i="18" s="1"/>
  <c r="B149" i="18"/>
  <c r="Z148" i="18"/>
  <c r="X148" i="18"/>
  <c r="L148" i="18"/>
  <c r="N148" i="18" s="1"/>
  <c r="B148" i="18"/>
  <c r="X147" i="18"/>
  <c r="Z147" i="18" s="1"/>
  <c r="N147" i="18"/>
  <c r="L147" i="18"/>
  <c r="B147" i="18"/>
  <c r="Z146" i="18"/>
  <c r="X146" i="18"/>
  <c r="L146" i="18"/>
  <c r="N146" i="18" s="1"/>
  <c r="B146" i="18"/>
  <c r="Z145" i="18"/>
  <c r="X145" i="18"/>
  <c r="L145" i="18"/>
  <c r="N145" i="18" s="1"/>
  <c r="B145" i="18"/>
  <c r="X144" i="18"/>
  <c r="Z144" i="18" s="1"/>
  <c r="N144" i="18"/>
  <c r="L144" i="18"/>
  <c r="B144" i="18"/>
  <c r="X143" i="18"/>
  <c r="Z143" i="18" s="1"/>
  <c r="N143" i="18"/>
  <c r="L143" i="18"/>
  <c r="B143" i="18"/>
  <c r="Z142" i="18"/>
  <c r="X142" i="18"/>
  <c r="N142" i="18"/>
  <c r="L142" i="18"/>
  <c r="B142" i="18"/>
  <c r="X141" i="18"/>
  <c r="Z141" i="18" s="1"/>
  <c r="L141" i="18"/>
  <c r="N141" i="18" s="1"/>
  <c r="B141" i="18"/>
  <c r="Z140" i="18"/>
  <c r="X140" i="18"/>
  <c r="L140" i="18"/>
  <c r="N140" i="18" s="1"/>
  <c r="B140" i="18"/>
  <c r="X139" i="18"/>
  <c r="Z139" i="18" s="1"/>
  <c r="N139" i="18"/>
  <c r="L139" i="18"/>
  <c r="B139" i="18"/>
  <c r="Z138" i="18"/>
  <c r="X138" i="18"/>
  <c r="L138" i="18"/>
  <c r="N138" i="18" s="1"/>
  <c r="B138" i="18"/>
  <c r="X137" i="18"/>
  <c r="Z137" i="18" s="1"/>
  <c r="L137" i="18"/>
  <c r="N137" i="18" s="1"/>
  <c r="B137" i="18"/>
  <c r="X136" i="18"/>
  <c r="Z136" i="18" s="1"/>
  <c r="N136" i="18"/>
  <c r="L136" i="18"/>
  <c r="B136" i="18"/>
  <c r="T135" i="18"/>
  <c r="P135" i="18"/>
  <c r="X135" i="18" s="1"/>
  <c r="Z135" i="18" s="1"/>
  <c r="L135" i="18"/>
  <c r="N135" i="18" s="1"/>
  <c r="H135" i="18"/>
  <c r="D135" i="18"/>
  <c r="X133" i="18"/>
  <c r="Z133" i="18" s="1"/>
  <c r="T133" i="18"/>
  <c r="P133" i="18"/>
  <c r="N133" i="18"/>
  <c r="H133" i="18"/>
  <c r="D133" i="18"/>
  <c r="L133" i="18" s="1"/>
  <c r="B133" i="18"/>
  <c r="T132" i="18"/>
  <c r="P132" i="18"/>
  <c r="X132" i="18" s="1"/>
  <c r="L132" i="18"/>
  <c r="H132" i="18"/>
  <c r="N132" i="18" s="1"/>
  <c r="D132" i="18"/>
  <c r="B132" i="18"/>
  <c r="T131" i="18"/>
  <c r="X131" i="18" s="1"/>
  <c r="Z131" i="18" s="1"/>
  <c r="P131" i="18"/>
  <c r="L131" i="18"/>
  <c r="H131" i="18"/>
  <c r="D131" i="18"/>
  <c r="B131" i="18"/>
  <c r="Z130" i="18"/>
  <c r="X130" i="18"/>
  <c r="T130" i="18"/>
  <c r="P130" i="18"/>
  <c r="N130" i="18"/>
  <c r="L130" i="18"/>
  <c r="H130" i="18"/>
  <c r="D130" i="18"/>
  <c r="B130" i="18"/>
  <c r="Z129" i="18"/>
  <c r="T129" i="18"/>
  <c r="P129" i="18"/>
  <c r="X129" i="18" s="1"/>
  <c r="N129" i="18"/>
  <c r="H129" i="18"/>
  <c r="D129" i="18"/>
  <c r="L129" i="18" s="1"/>
  <c r="B129" i="18"/>
  <c r="T128" i="18"/>
  <c r="P128" i="18"/>
  <c r="X128" i="18" s="1"/>
  <c r="N128" i="18"/>
  <c r="H128" i="18"/>
  <c r="L128" i="18" s="1"/>
  <c r="D128" i="18"/>
  <c r="B128" i="18"/>
  <c r="T127" i="18"/>
  <c r="X127" i="18" s="1"/>
  <c r="Z127" i="18" s="1"/>
  <c r="P127" i="18"/>
  <c r="H127" i="18"/>
  <c r="D127" i="18"/>
  <c r="L127" i="18" s="1"/>
  <c r="B127" i="18"/>
  <c r="T126" i="18"/>
  <c r="P126" i="18"/>
  <c r="X126" i="18" s="1"/>
  <c r="Z126" i="18" s="1"/>
  <c r="N126" i="18"/>
  <c r="L126" i="18"/>
  <c r="H126" i="18"/>
  <c r="D126" i="18"/>
  <c r="B126" i="18"/>
  <c r="T125" i="18"/>
  <c r="Z125" i="18" s="1"/>
  <c r="P125" i="18"/>
  <c r="H125" i="18"/>
  <c r="N125" i="18" s="1"/>
  <c r="D125" i="18"/>
  <c r="B125" i="18"/>
  <c r="T124" i="18"/>
  <c r="Z124" i="18" s="1"/>
  <c r="P124" i="18"/>
  <c r="X124" i="18" s="1"/>
  <c r="H124" i="18"/>
  <c r="N124" i="18" s="1"/>
  <c r="D124" i="18"/>
  <c r="L124" i="18" s="1"/>
  <c r="B124" i="18"/>
  <c r="T123" i="18"/>
  <c r="P123" i="18"/>
  <c r="H123" i="18"/>
  <c r="N123" i="18" s="1"/>
  <c r="D123" i="18"/>
  <c r="L123" i="18" s="1"/>
  <c r="B123" i="18"/>
  <c r="T122" i="18"/>
  <c r="P122" i="18"/>
  <c r="N122" i="18"/>
  <c r="L122" i="18"/>
  <c r="H122" i="18"/>
  <c r="D122" i="18"/>
  <c r="B122" i="18"/>
  <c r="X121" i="18"/>
  <c r="Z121" i="18" s="1"/>
  <c r="T121" i="18"/>
  <c r="P121" i="18"/>
  <c r="N121" i="18"/>
  <c r="L121" i="18"/>
  <c r="H121" i="18"/>
  <c r="D121" i="18"/>
  <c r="B121" i="18"/>
  <c r="T120" i="18"/>
  <c r="Z120" i="18" s="1"/>
  <c r="P120" i="18"/>
  <c r="X120" i="18" s="1"/>
  <c r="H120" i="18"/>
  <c r="N120" i="18" s="1"/>
  <c r="D120" i="18"/>
  <c r="B120" i="18"/>
  <c r="X119" i="18"/>
  <c r="Z119" i="18" s="1"/>
  <c r="T119" i="18"/>
  <c r="P119" i="18"/>
  <c r="H119" i="18"/>
  <c r="D119" i="18"/>
  <c r="B119" i="18"/>
  <c r="X118" i="18"/>
  <c r="Z118" i="18" s="1"/>
  <c r="T118" i="18"/>
  <c r="P118" i="18"/>
  <c r="L118" i="18"/>
  <c r="N118" i="18" s="1"/>
  <c r="H118" i="18"/>
  <c r="D118" i="18"/>
  <c r="B118" i="18"/>
  <c r="Z117" i="18"/>
  <c r="X117" i="18"/>
  <c r="T117" i="18"/>
  <c r="P117" i="18"/>
  <c r="N117" i="18"/>
  <c r="H117" i="18"/>
  <c r="D117" i="18"/>
  <c r="L117" i="18" s="1"/>
  <c r="B117" i="18"/>
  <c r="T116" i="18"/>
  <c r="P116" i="18"/>
  <c r="N116" i="18"/>
  <c r="L116" i="18"/>
  <c r="H116" i="18"/>
  <c r="D116" i="18"/>
  <c r="B116" i="18"/>
  <c r="T115" i="18"/>
  <c r="Z115" i="18" s="1"/>
  <c r="P115" i="18"/>
  <c r="X115" i="18" s="1"/>
  <c r="H115" i="18"/>
  <c r="D115" i="18"/>
  <c r="B115" i="18"/>
  <c r="T114" i="18"/>
  <c r="P114" i="18"/>
  <c r="X114" i="18" s="1"/>
  <c r="Z114" i="18" s="1"/>
  <c r="H114" i="18"/>
  <c r="N114" i="18" s="1"/>
  <c r="D114" i="18"/>
  <c r="B114" i="18"/>
  <c r="T113" i="18"/>
  <c r="P113" i="18"/>
  <c r="H113" i="18"/>
  <c r="D113" i="18"/>
  <c r="B113" i="18"/>
  <c r="T112" i="18"/>
  <c r="P112" i="18"/>
  <c r="H112" i="18"/>
  <c r="D112" i="18"/>
  <c r="L112" i="18" s="1"/>
  <c r="B112" i="18"/>
  <c r="X111" i="18"/>
  <c r="Z111" i="18" s="1"/>
  <c r="T111" i="18"/>
  <c r="P111" i="18"/>
  <c r="H111" i="18"/>
  <c r="D111" i="18"/>
  <c r="B111" i="18"/>
  <c r="T110" i="18"/>
  <c r="P110" i="18"/>
  <c r="N110" i="18"/>
  <c r="L110" i="18"/>
  <c r="H110" i="18"/>
  <c r="D110" i="18"/>
  <c r="B110" i="18"/>
  <c r="Z109" i="18"/>
  <c r="T109" i="18"/>
  <c r="X109" i="18" s="1"/>
  <c r="P109" i="18"/>
  <c r="N109" i="18"/>
  <c r="L109" i="18"/>
  <c r="H109" i="18"/>
  <c r="D109" i="18"/>
  <c r="B109" i="18"/>
  <c r="T108" i="18"/>
  <c r="Z108" i="18" s="1"/>
  <c r="P108" i="18"/>
  <c r="X108" i="18" s="1"/>
  <c r="H108" i="18"/>
  <c r="L108" i="18" s="1"/>
  <c r="N108" i="18" s="1"/>
  <c r="D108" i="18"/>
  <c r="B108" i="18"/>
  <c r="T107" i="18"/>
  <c r="P107" i="18"/>
  <c r="X107" i="18" s="1"/>
  <c r="Z107" i="18" s="1"/>
  <c r="H107" i="18"/>
  <c r="D107" i="18"/>
  <c r="L107" i="18" s="1"/>
  <c r="B107" i="18"/>
  <c r="T106" i="18"/>
  <c r="P106" i="18"/>
  <c r="X106" i="18" s="1"/>
  <c r="Z106" i="18" s="1"/>
  <c r="H106" i="18"/>
  <c r="D106" i="18"/>
  <c r="L106" i="18" s="1"/>
  <c r="N106" i="18" s="1"/>
  <c r="B106" i="18"/>
  <c r="T105" i="18"/>
  <c r="P105" i="18"/>
  <c r="H105" i="18"/>
  <c r="D105" i="18"/>
  <c r="L105" i="18" s="1"/>
  <c r="B105" i="18"/>
  <c r="X104" i="18"/>
  <c r="Z104" i="18" s="1"/>
  <c r="T104" i="18"/>
  <c r="P104" i="18"/>
  <c r="L104" i="18"/>
  <c r="N104" i="18" s="1"/>
  <c r="H104" i="18"/>
  <c r="D104" i="18"/>
  <c r="B104" i="18"/>
  <c r="Z103" i="18"/>
  <c r="X103" i="18"/>
  <c r="T103" i="18"/>
  <c r="P103" i="18"/>
  <c r="N103" i="18"/>
  <c r="H103" i="18"/>
  <c r="D103" i="18"/>
  <c r="L103" i="18" s="1"/>
  <c r="B103" i="18"/>
  <c r="T102" i="18"/>
  <c r="P102" i="18"/>
  <c r="X102" i="18" s="1"/>
  <c r="Z102" i="18" s="1"/>
  <c r="H102" i="18"/>
  <c r="D102" i="18"/>
  <c r="L102" i="18" s="1"/>
  <c r="N102" i="18" s="1"/>
  <c r="B102" i="18"/>
  <c r="T101" i="18"/>
  <c r="P101" i="18"/>
  <c r="H101" i="18"/>
  <c r="D101" i="18"/>
  <c r="B101" i="18"/>
  <c r="X100" i="18"/>
  <c r="Z100" i="18" s="1"/>
  <c r="T100" i="18"/>
  <c r="P100" i="18"/>
  <c r="L100" i="18"/>
  <c r="N100" i="18" s="1"/>
  <c r="H100" i="18"/>
  <c r="D100" i="18"/>
  <c r="B100" i="18"/>
  <c r="X99" i="18"/>
  <c r="Z99" i="18" s="1"/>
  <c r="T99" i="18"/>
  <c r="P99" i="18"/>
  <c r="N99" i="18"/>
  <c r="H99" i="18"/>
  <c r="D99" i="18"/>
  <c r="L99" i="18" s="1"/>
  <c r="B99" i="18"/>
  <c r="T98" i="18"/>
  <c r="P98" i="18"/>
  <c r="X98" i="18" s="1"/>
  <c r="Z98" i="18" s="1"/>
  <c r="N98" i="18"/>
  <c r="H98" i="18"/>
  <c r="D98" i="18"/>
  <c r="L98" i="18" s="1"/>
  <c r="B98" i="18"/>
  <c r="T97" i="18"/>
  <c r="P97" i="18"/>
  <c r="H97" i="18"/>
  <c r="D97" i="18"/>
  <c r="L97" i="18" s="1"/>
  <c r="B97" i="18"/>
  <c r="X96" i="18"/>
  <c r="Z96" i="18" s="1"/>
  <c r="T96" i="18"/>
  <c r="P96" i="18"/>
  <c r="L96" i="18"/>
  <c r="N96" i="18" s="1"/>
  <c r="H96" i="18"/>
  <c r="D96" i="18"/>
  <c r="B96" i="18"/>
  <c r="Z95" i="18"/>
  <c r="X95" i="18"/>
  <c r="T95" i="18"/>
  <c r="P95" i="18"/>
  <c r="H95" i="18"/>
  <c r="D95" i="18"/>
  <c r="L95" i="18" s="1"/>
  <c r="N95" i="18" s="1"/>
  <c r="B95" i="18"/>
  <c r="T94" i="18"/>
  <c r="P94" i="18"/>
  <c r="X94" i="18" s="1"/>
  <c r="Z94" i="18" s="1"/>
  <c r="N94" i="18"/>
  <c r="H94" i="18"/>
  <c r="D94" i="18"/>
  <c r="L94" i="18" s="1"/>
  <c r="B94" i="18"/>
  <c r="T93" i="18"/>
  <c r="P93" i="18"/>
  <c r="H93" i="18"/>
  <c r="N93" i="18" s="1"/>
  <c r="D93" i="18"/>
  <c r="B93" i="18"/>
  <c r="X92" i="18"/>
  <c r="Z92" i="18" s="1"/>
  <c r="T92" i="18"/>
  <c r="P92" i="18"/>
  <c r="L92" i="18"/>
  <c r="N92" i="18" s="1"/>
  <c r="H92" i="18"/>
  <c r="D92" i="18"/>
  <c r="B92" i="18"/>
  <c r="Z91" i="18"/>
  <c r="X91" i="18"/>
  <c r="T91" i="18"/>
  <c r="P91" i="18"/>
  <c r="N91" i="18"/>
  <c r="H91" i="18"/>
  <c r="D91" i="18"/>
  <c r="L91" i="18" s="1"/>
  <c r="B91" i="18"/>
  <c r="T90" i="18"/>
  <c r="P90" i="18"/>
  <c r="X90" i="18" s="1"/>
  <c r="Z90" i="18" s="1"/>
  <c r="N90" i="18"/>
  <c r="H90" i="18"/>
  <c r="D90" i="18"/>
  <c r="L90" i="18" s="1"/>
  <c r="B90" i="18"/>
  <c r="T89" i="18"/>
  <c r="P89" i="18"/>
  <c r="H89" i="18"/>
  <c r="D89" i="18"/>
  <c r="B89" i="18"/>
  <c r="X88" i="18"/>
  <c r="Z88" i="18" s="1"/>
  <c r="T88" i="18"/>
  <c r="P88" i="18"/>
  <c r="N88" i="18"/>
  <c r="L88" i="18"/>
  <c r="H88" i="18"/>
  <c r="D88" i="18"/>
  <c r="B88" i="18"/>
  <c r="X87" i="18"/>
  <c r="Z87" i="18" s="1"/>
  <c r="T87" i="18"/>
  <c r="P87" i="18"/>
  <c r="H87" i="18"/>
  <c r="D87" i="18"/>
  <c r="L87" i="18" s="1"/>
  <c r="N87" i="18" s="1"/>
  <c r="B87" i="18"/>
  <c r="T86" i="18"/>
  <c r="P86" i="18"/>
  <c r="X86" i="18" s="1"/>
  <c r="Z86" i="18" s="1"/>
  <c r="H86" i="18"/>
  <c r="D86" i="18"/>
  <c r="L86" i="18" s="1"/>
  <c r="N86" i="18" s="1"/>
  <c r="B86" i="18"/>
  <c r="T85" i="18"/>
  <c r="P85" i="18"/>
  <c r="H85" i="18"/>
  <c r="D85" i="18"/>
  <c r="B85" i="18"/>
  <c r="X84" i="18"/>
  <c r="Z84" i="18" s="1"/>
  <c r="T84" i="18"/>
  <c r="P84" i="18"/>
  <c r="N84" i="18"/>
  <c r="L84" i="18"/>
  <c r="H84" i="18"/>
  <c r="D84" i="18"/>
  <c r="B84" i="18"/>
  <c r="X83" i="18"/>
  <c r="Z83" i="18" s="1"/>
  <c r="T83" i="18"/>
  <c r="P83" i="18"/>
  <c r="H83" i="18"/>
  <c r="D83" i="18"/>
  <c r="L83" i="18" s="1"/>
  <c r="N83" i="18" s="1"/>
  <c r="B83" i="18"/>
  <c r="T82" i="18"/>
  <c r="P82" i="18"/>
  <c r="X82" i="18" s="1"/>
  <c r="Z82" i="18" s="1"/>
  <c r="H82" i="18"/>
  <c r="D82" i="18"/>
  <c r="L82" i="18" s="1"/>
  <c r="N82" i="18" s="1"/>
  <c r="B82" i="18"/>
  <c r="T81" i="18"/>
  <c r="P81" i="18"/>
  <c r="H81" i="18"/>
  <c r="N81" i="18" s="1"/>
  <c r="D81" i="18"/>
  <c r="L81" i="18" s="1"/>
  <c r="B81" i="18"/>
  <c r="X80" i="18"/>
  <c r="Z80" i="18" s="1"/>
  <c r="T80" i="18"/>
  <c r="P80" i="18"/>
  <c r="L80" i="18"/>
  <c r="N80" i="18" s="1"/>
  <c r="H80" i="18"/>
  <c r="D80" i="18"/>
  <c r="B80" i="18"/>
  <c r="Z79" i="18"/>
  <c r="X79" i="18"/>
  <c r="T79" i="18"/>
  <c r="P79" i="18"/>
  <c r="H79" i="18"/>
  <c r="D79" i="18"/>
  <c r="L79" i="18" s="1"/>
  <c r="N79" i="18" s="1"/>
  <c r="B79" i="18"/>
  <c r="T78" i="18"/>
  <c r="P78" i="18"/>
  <c r="X78" i="18" s="1"/>
  <c r="Z78" i="18" s="1"/>
  <c r="H78" i="18"/>
  <c r="D78" i="18"/>
  <c r="L78" i="18" s="1"/>
  <c r="N78" i="18" s="1"/>
  <c r="B78" i="18"/>
  <c r="T77" i="18"/>
  <c r="P77" i="18"/>
  <c r="H77" i="18"/>
  <c r="D77" i="18"/>
  <c r="L77" i="18" s="1"/>
  <c r="B77" i="18"/>
  <c r="X76" i="18"/>
  <c r="Z76" i="18" s="1"/>
  <c r="T76" i="18"/>
  <c r="P76" i="18"/>
  <c r="L76" i="18"/>
  <c r="N76" i="18" s="1"/>
  <c r="H76" i="18"/>
  <c r="D76" i="18"/>
  <c r="B76" i="18"/>
  <c r="Z75" i="18"/>
  <c r="X75" i="18"/>
  <c r="T75" i="18"/>
  <c r="P75" i="18"/>
  <c r="H75" i="18"/>
  <c r="D75" i="18"/>
  <c r="L75" i="18" s="1"/>
  <c r="N75" i="18" s="1"/>
  <c r="B75" i="18"/>
  <c r="T74" i="18"/>
  <c r="P74" i="18"/>
  <c r="X74" i="18" s="1"/>
  <c r="Z74" i="18" s="1"/>
  <c r="N74" i="18"/>
  <c r="H74" i="18"/>
  <c r="D74" i="18"/>
  <c r="L74" i="18" s="1"/>
  <c r="B74" i="18"/>
  <c r="T73" i="18"/>
  <c r="Z73" i="18" s="1"/>
  <c r="P73" i="18"/>
  <c r="H73" i="18"/>
  <c r="N73" i="18" s="1"/>
  <c r="D73" i="18"/>
  <c r="L73" i="18" s="1"/>
  <c r="B73" i="18"/>
  <c r="X72" i="18"/>
  <c r="Z72" i="18" s="1"/>
  <c r="T72" i="18"/>
  <c r="P72" i="18"/>
  <c r="L72" i="18"/>
  <c r="N72" i="18" s="1"/>
  <c r="H72" i="18"/>
  <c r="D72" i="18"/>
  <c r="B72" i="18"/>
  <c r="X71" i="18"/>
  <c r="Z71" i="18" s="1"/>
  <c r="T71" i="18"/>
  <c r="P71" i="18"/>
  <c r="H71" i="18"/>
  <c r="D71" i="18"/>
  <c r="L71" i="18" s="1"/>
  <c r="N71" i="18" s="1"/>
  <c r="B71" i="18"/>
  <c r="T70" i="18"/>
  <c r="P70" i="18"/>
  <c r="X70" i="18" s="1"/>
  <c r="Z70" i="18" s="1"/>
  <c r="H70" i="18"/>
  <c r="D70" i="18"/>
  <c r="L70" i="18" s="1"/>
  <c r="N70" i="18" s="1"/>
  <c r="B70" i="18"/>
  <c r="T69" i="18"/>
  <c r="P69" i="18"/>
  <c r="H69" i="18"/>
  <c r="D69" i="18"/>
  <c r="B69" i="18"/>
  <c r="X68" i="18"/>
  <c r="Z68" i="18" s="1"/>
  <c r="T68" i="18"/>
  <c r="P68" i="18"/>
  <c r="L68" i="18"/>
  <c r="N68" i="18" s="1"/>
  <c r="H68" i="18"/>
  <c r="D68" i="18"/>
  <c r="B68" i="18"/>
  <c r="X67" i="18"/>
  <c r="Z67" i="18" s="1"/>
  <c r="T67" i="18"/>
  <c r="P67" i="18"/>
  <c r="N67" i="18"/>
  <c r="H67" i="18"/>
  <c r="D67" i="18"/>
  <c r="L67" i="18" s="1"/>
  <c r="B67" i="18"/>
  <c r="T66" i="18"/>
  <c r="P66" i="18"/>
  <c r="X66" i="18" s="1"/>
  <c r="Z66" i="18" s="1"/>
  <c r="H66" i="18"/>
  <c r="D66" i="18"/>
  <c r="L66" i="18" s="1"/>
  <c r="N66" i="18" s="1"/>
  <c r="B66" i="18"/>
  <c r="T65" i="18"/>
  <c r="P65" i="18"/>
  <c r="H65" i="18"/>
  <c r="D65" i="18"/>
  <c r="L65" i="18" s="1"/>
  <c r="B65" i="18"/>
  <c r="X64" i="18"/>
  <c r="Z64" i="18" s="1"/>
  <c r="T64" i="18"/>
  <c r="P64" i="18"/>
  <c r="L64" i="18"/>
  <c r="N64" i="18" s="1"/>
  <c r="H64" i="18"/>
  <c r="D64" i="18"/>
  <c r="B64" i="18"/>
  <c r="Z63" i="18"/>
  <c r="X63" i="18"/>
  <c r="T63" i="18"/>
  <c r="P63" i="18"/>
  <c r="H63" i="18"/>
  <c r="D63" i="18"/>
  <c r="L63" i="18" s="1"/>
  <c r="N63" i="18" s="1"/>
  <c r="B63" i="18"/>
  <c r="T62" i="18"/>
  <c r="P62" i="18"/>
  <c r="X62" i="18" s="1"/>
  <c r="Z62" i="18" s="1"/>
  <c r="H62" i="18"/>
  <c r="D62" i="18"/>
  <c r="L62" i="18" s="1"/>
  <c r="N62" i="18" s="1"/>
  <c r="B62" i="18"/>
  <c r="T61" i="18"/>
  <c r="P61" i="18"/>
  <c r="H61" i="18"/>
  <c r="D61" i="18"/>
  <c r="B61" i="18"/>
  <c r="X60" i="18"/>
  <c r="T60" i="18"/>
  <c r="Z60" i="18" s="1"/>
  <c r="P60" i="18"/>
  <c r="L60" i="18"/>
  <c r="N60" i="18" s="1"/>
  <c r="H60" i="18"/>
  <c r="D60" i="18"/>
  <c r="B60" i="18"/>
  <c r="X59" i="18"/>
  <c r="Z59" i="18" s="1"/>
  <c r="T59" i="18"/>
  <c r="P59" i="18"/>
  <c r="N59" i="18"/>
  <c r="H59" i="18"/>
  <c r="D59" i="18"/>
  <c r="L59" i="18" s="1"/>
  <c r="B59" i="18"/>
  <c r="Z58" i="18"/>
  <c r="T58" i="18"/>
  <c r="P58" i="18"/>
  <c r="X58" i="18" s="1"/>
  <c r="N58" i="18"/>
  <c r="H58" i="18"/>
  <c r="D58" i="18"/>
  <c r="L58" i="18" s="1"/>
  <c r="B58" i="18"/>
  <c r="T57" i="18"/>
  <c r="P57" i="18"/>
  <c r="H57" i="18"/>
  <c r="N57" i="18" s="1"/>
  <c r="D57" i="18"/>
  <c r="L57" i="18" s="1"/>
  <c r="B57" i="18"/>
  <c r="X56" i="18"/>
  <c r="T56" i="18"/>
  <c r="Z56" i="18" s="1"/>
  <c r="P56" i="18"/>
  <c r="L56" i="18"/>
  <c r="N56" i="18" s="1"/>
  <c r="H56" i="18"/>
  <c r="D56" i="18"/>
  <c r="B56" i="18"/>
  <c r="X55" i="18"/>
  <c r="Z55" i="18" s="1"/>
  <c r="T55" i="18"/>
  <c r="P55" i="18"/>
  <c r="H55" i="18"/>
  <c r="D55" i="18"/>
  <c r="L55" i="18" s="1"/>
  <c r="N55" i="18" s="1"/>
  <c r="B55" i="18"/>
  <c r="T54" i="18"/>
  <c r="P54" i="18"/>
  <c r="X54" i="18" s="1"/>
  <c r="Z54" i="18" s="1"/>
  <c r="H54" i="18"/>
  <c r="D54" i="18"/>
  <c r="L54" i="18" s="1"/>
  <c r="N54" i="18" s="1"/>
  <c r="B54" i="18"/>
  <c r="T53" i="18"/>
  <c r="P53" i="18"/>
  <c r="H53" i="18"/>
  <c r="D53" i="18"/>
  <c r="B53" i="18"/>
  <c r="X52" i="18"/>
  <c r="T52" i="18"/>
  <c r="Z52" i="18" s="1"/>
  <c r="P52" i="18"/>
  <c r="L52" i="18"/>
  <c r="N52" i="18" s="1"/>
  <c r="H52" i="18"/>
  <c r="D52" i="18"/>
  <c r="B52" i="18"/>
  <c r="Z51" i="18"/>
  <c r="X51" i="18"/>
  <c r="T51" i="18"/>
  <c r="P51" i="18"/>
  <c r="H51" i="18"/>
  <c r="D51" i="18"/>
  <c r="L51" i="18" s="1"/>
  <c r="N51" i="18" s="1"/>
  <c r="B51" i="18"/>
  <c r="T50" i="18"/>
  <c r="P50" i="18"/>
  <c r="X50" i="18" s="1"/>
  <c r="Z50" i="18" s="1"/>
  <c r="N50" i="18"/>
  <c r="H50" i="18"/>
  <c r="D50" i="18"/>
  <c r="L50" i="18" s="1"/>
  <c r="B50" i="18"/>
  <c r="T49" i="18"/>
  <c r="P49" i="18"/>
  <c r="H49" i="18"/>
  <c r="D49" i="18"/>
  <c r="B49" i="18"/>
  <c r="X48" i="18"/>
  <c r="T48" i="18"/>
  <c r="Z48" i="18" s="1"/>
  <c r="P48" i="18"/>
  <c r="L48" i="18"/>
  <c r="N48" i="18" s="1"/>
  <c r="H48" i="18"/>
  <c r="D48" i="18"/>
  <c r="B48" i="18"/>
  <c r="X47" i="18"/>
  <c r="Z47" i="18" s="1"/>
  <c r="T47" i="18"/>
  <c r="P47" i="18"/>
  <c r="H47" i="18"/>
  <c r="D47" i="18"/>
  <c r="L47" i="18" s="1"/>
  <c r="N47" i="18" s="1"/>
  <c r="B47" i="18"/>
  <c r="T46" i="18"/>
  <c r="P46" i="18"/>
  <c r="X46" i="18" s="1"/>
  <c r="Z46" i="18" s="1"/>
  <c r="N46" i="18"/>
  <c r="H46" i="18"/>
  <c r="D46" i="18"/>
  <c r="L46" i="18" s="1"/>
  <c r="B46" i="18"/>
  <c r="T45" i="18"/>
  <c r="P45" i="18"/>
  <c r="H45" i="18"/>
  <c r="N45" i="18" s="1"/>
  <c r="D45" i="18"/>
  <c r="L45" i="18" s="1"/>
  <c r="B45" i="18"/>
  <c r="X44" i="18"/>
  <c r="T44" i="18"/>
  <c r="Z44" i="18" s="1"/>
  <c r="P44" i="18"/>
  <c r="N44" i="18"/>
  <c r="L44" i="18"/>
  <c r="H44" i="18"/>
  <c r="D44" i="18"/>
  <c r="B44" i="18"/>
  <c r="Z43" i="18"/>
  <c r="X43" i="18"/>
  <c r="T43" i="18"/>
  <c r="P43" i="18"/>
  <c r="H43" i="18"/>
  <c r="D43" i="18"/>
  <c r="L43" i="18" s="1"/>
  <c r="N43" i="18" s="1"/>
  <c r="B43" i="18"/>
  <c r="T42" i="18"/>
  <c r="P42" i="18"/>
  <c r="X42" i="18" s="1"/>
  <c r="Z42" i="18" s="1"/>
  <c r="N42" i="18"/>
  <c r="H42" i="18"/>
  <c r="D42" i="18"/>
  <c r="L42" i="18" s="1"/>
  <c r="B42" i="18"/>
  <c r="T41" i="18"/>
  <c r="P41" i="18"/>
  <c r="H41" i="18"/>
  <c r="D41" i="18"/>
  <c r="L41" i="18" s="1"/>
  <c r="B41" i="18"/>
  <c r="X40" i="18"/>
  <c r="T40" i="18"/>
  <c r="Z40" i="18" s="1"/>
  <c r="P40" i="18"/>
  <c r="L40" i="18"/>
  <c r="N40" i="18" s="1"/>
  <c r="H40" i="18"/>
  <c r="D40" i="18"/>
  <c r="B40" i="18"/>
  <c r="X39" i="18"/>
  <c r="Z39" i="18" s="1"/>
  <c r="T39" i="18"/>
  <c r="P39" i="18"/>
  <c r="H39" i="18"/>
  <c r="D39" i="18"/>
  <c r="L39" i="18" s="1"/>
  <c r="N39" i="18" s="1"/>
  <c r="B39" i="18"/>
  <c r="T38" i="18"/>
  <c r="P38" i="18"/>
  <c r="X38" i="18" s="1"/>
  <c r="H38" i="18"/>
  <c r="D38" i="18"/>
  <c r="L38" i="18" s="1"/>
  <c r="N38" i="18" s="1"/>
  <c r="B38" i="18"/>
  <c r="T37" i="18"/>
  <c r="P37" i="18"/>
  <c r="H37" i="18"/>
  <c r="D37" i="18"/>
  <c r="B37" i="18"/>
  <c r="X36" i="18"/>
  <c r="T36" i="18"/>
  <c r="Z36" i="18" s="1"/>
  <c r="P36" i="18"/>
  <c r="L36" i="18"/>
  <c r="N36" i="18" s="1"/>
  <c r="H36" i="18"/>
  <c r="D36" i="18"/>
  <c r="B36" i="18"/>
  <c r="X35" i="18"/>
  <c r="Z35" i="18" s="1"/>
  <c r="T35" i="18"/>
  <c r="P35" i="18"/>
  <c r="H35" i="18"/>
  <c r="D35" i="18"/>
  <c r="L35" i="18" s="1"/>
  <c r="N35" i="18" s="1"/>
  <c r="B35" i="18"/>
  <c r="T34" i="18"/>
  <c r="Z34" i="18" s="1"/>
  <c r="P34" i="18"/>
  <c r="X34" i="18" s="1"/>
  <c r="N34" i="18"/>
  <c r="H34" i="18"/>
  <c r="D34" i="18"/>
  <c r="L34" i="18" s="1"/>
  <c r="B34" i="18"/>
  <c r="T33" i="18"/>
  <c r="P33" i="18"/>
  <c r="H33" i="18"/>
  <c r="D33" i="18"/>
  <c r="L33" i="18" s="1"/>
  <c r="B33" i="18"/>
  <c r="X32" i="18"/>
  <c r="T32" i="18"/>
  <c r="Z32" i="18" s="1"/>
  <c r="P32" i="18"/>
  <c r="L32" i="18"/>
  <c r="N32" i="18" s="1"/>
  <c r="H32" i="18"/>
  <c r="D32" i="18"/>
  <c r="B32" i="18"/>
  <c r="X31" i="18"/>
  <c r="Z31" i="18" s="1"/>
  <c r="T31" i="18"/>
  <c r="P31" i="18"/>
  <c r="H31" i="18"/>
  <c r="D31" i="18"/>
  <c r="L31" i="18" s="1"/>
  <c r="N31" i="18" s="1"/>
  <c r="B31" i="18"/>
  <c r="T30" i="18"/>
  <c r="P30" i="18"/>
  <c r="X30" i="18" s="1"/>
  <c r="H30" i="18"/>
  <c r="D30" i="18"/>
  <c r="L30" i="18" s="1"/>
  <c r="N30" i="18" s="1"/>
  <c r="B30" i="18"/>
  <c r="T29" i="18"/>
  <c r="P29" i="18"/>
  <c r="H29" i="18"/>
  <c r="D29" i="18"/>
  <c r="L29" i="18" s="1"/>
  <c r="B29" i="18"/>
  <c r="X28" i="18"/>
  <c r="T28" i="18"/>
  <c r="Z28" i="18" s="1"/>
  <c r="P28" i="18"/>
  <c r="L28" i="18"/>
  <c r="N28" i="18" s="1"/>
  <c r="H28" i="18"/>
  <c r="D28" i="18"/>
  <c r="B28" i="18"/>
  <c r="Z27" i="18"/>
  <c r="X27" i="18"/>
  <c r="T27" i="18"/>
  <c r="P27" i="18"/>
  <c r="H27" i="18"/>
  <c r="D27" i="18"/>
  <c r="L27" i="18" s="1"/>
  <c r="N27" i="18" s="1"/>
  <c r="B27" i="18"/>
  <c r="T26" i="18"/>
  <c r="Z26" i="18" s="1"/>
  <c r="P26" i="18"/>
  <c r="X26" i="18" s="1"/>
  <c r="H26" i="18"/>
  <c r="D26" i="18"/>
  <c r="L26" i="18" s="1"/>
  <c r="N26" i="18" s="1"/>
  <c r="B26" i="18"/>
  <c r="T25" i="18"/>
  <c r="P25" i="18"/>
  <c r="H25" i="18"/>
  <c r="D25" i="18"/>
  <c r="B25" i="18"/>
  <c r="X24" i="18"/>
  <c r="T24" i="18"/>
  <c r="Z24" i="18" s="1"/>
  <c r="P24" i="18"/>
  <c r="L24" i="18"/>
  <c r="N24" i="18" s="1"/>
  <c r="H24" i="18"/>
  <c r="D24" i="18"/>
  <c r="B24" i="18"/>
  <c r="X23" i="18"/>
  <c r="Z23" i="18" s="1"/>
  <c r="T23" i="18"/>
  <c r="P23" i="18"/>
  <c r="H23" i="18"/>
  <c r="D23" i="18"/>
  <c r="L23" i="18" s="1"/>
  <c r="N23" i="18" s="1"/>
  <c r="B23" i="18"/>
  <c r="T22" i="18"/>
  <c r="Z22" i="18" s="1"/>
  <c r="P22" i="18"/>
  <c r="X22" i="18" s="1"/>
  <c r="H22" i="18"/>
  <c r="D22" i="18"/>
  <c r="L22" i="18" s="1"/>
  <c r="N22" i="18" s="1"/>
  <c r="B22" i="18"/>
  <c r="T21" i="18"/>
  <c r="P21" i="18"/>
  <c r="H21" i="18"/>
  <c r="D21" i="18"/>
  <c r="L21" i="18" s="1"/>
  <c r="B21" i="18"/>
  <c r="X20" i="18"/>
  <c r="T20" i="18"/>
  <c r="Z20" i="18" s="1"/>
  <c r="P20" i="18"/>
  <c r="L20" i="18"/>
  <c r="N20" i="18" s="1"/>
  <c r="H20" i="18"/>
  <c r="D20" i="18"/>
  <c r="B20" i="18"/>
  <c r="X19" i="18"/>
  <c r="Z19" i="18" s="1"/>
  <c r="T19" i="18"/>
  <c r="P19" i="18"/>
  <c r="H19" i="18"/>
  <c r="D19" i="18"/>
  <c r="L19" i="18" s="1"/>
  <c r="N19" i="18" s="1"/>
  <c r="B19" i="18"/>
  <c r="T18" i="18"/>
  <c r="P18" i="18"/>
  <c r="X18" i="18" s="1"/>
  <c r="N18" i="18"/>
  <c r="H18" i="18"/>
  <c r="D18" i="18"/>
  <c r="L18" i="18" s="1"/>
  <c r="B18" i="18"/>
  <c r="T17" i="18"/>
  <c r="P17" i="18"/>
  <c r="H17" i="18"/>
  <c r="D17" i="18"/>
  <c r="B17" i="18"/>
  <c r="X16" i="18"/>
  <c r="T16" i="18"/>
  <c r="Z16" i="18" s="1"/>
  <c r="P16" i="18"/>
  <c r="L16" i="18"/>
  <c r="N16" i="18" s="1"/>
  <c r="H16" i="18"/>
  <c r="D16" i="18"/>
  <c r="B16" i="18"/>
  <c r="Z15" i="18"/>
  <c r="X15" i="18"/>
  <c r="T15" i="18"/>
  <c r="P15" i="18"/>
  <c r="H15" i="18"/>
  <c r="D15" i="18"/>
  <c r="L15" i="18" s="1"/>
  <c r="N15" i="18" s="1"/>
  <c r="B15" i="18"/>
  <c r="T14" i="18"/>
  <c r="P14" i="18"/>
  <c r="N14" i="18"/>
  <c r="H14" i="18"/>
  <c r="D14" i="18"/>
  <c r="L14" i="18" s="1"/>
  <c r="B14" i="18"/>
  <c r="T13" i="18"/>
  <c r="P13" i="18"/>
  <c r="H13" i="18"/>
  <c r="D13" i="18"/>
  <c r="B13" i="18"/>
  <c r="D4" i="18"/>
  <c r="Z274" i="15"/>
  <c r="X274" i="15"/>
  <c r="L274" i="15"/>
  <c r="N274" i="15" s="1"/>
  <c r="T270" i="15"/>
  <c r="P270" i="15"/>
  <c r="H270" i="15"/>
  <c r="N270" i="15" s="1"/>
  <c r="D270" i="15"/>
  <c r="B270" i="15"/>
  <c r="X269" i="15"/>
  <c r="Z269" i="15" s="1"/>
  <c r="T269" i="15"/>
  <c r="P269" i="15"/>
  <c r="H269" i="15"/>
  <c r="D269" i="15"/>
  <c r="L269" i="15" s="1"/>
  <c r="B269" i="15"/>
  <c r="X268" i="15"/>
  <c r="Z268" i="15" s="1"/>
  <c r="T268" i="15"/>
  <c r="P268" i="15"/>
  <c r="N268" i="15"/>
  <c r="L268" i="15"/>
  <c r="H268" i="15"/>
  <c r="D268" i="15"/>
  <c r="B268" i="15"/>
  <c r="Z267" i="15"/>
  <c r="T267" i="15"/>
  <c r="P267" i="15"/>
  <c r="X267" i="15" s="1"/>
  <c r="H267" i="15"/>
  <c r="D267" i="15"/>
  <c r="L267" i="15" s="1"/>
  <c r="N267" i="15" s="1"/>
  <c r="B267" i="15"/>
  <c r="T266" i="15"/>
  <c r="Z266" i="15" s="1"/>
  <c r="P266" i="15"/>
  <c r="X266" i="15" s="1"/>
  <c r="H266" i="15"/>
  <c r="D266" i="15"/>
  <c r="L266" i="15" s="1"/>
  <c r="N266" i="15" s="1"/>
  <c r="B266" i="15"/>
  <c r="T265" i="15"/>
  <c r="P265" i="15"/>
  <c r="X265" i="15" s="1"/>
  <c r="H265" i="15"/>
  <c r="D265" i="15"/>
  <c r="B265" i="15"/>
  <c r="T264" i="15"/>
  <c r="P264" i="15"/>
  <c r="H264" i="15"/>
  <c r="D264" i="15"/>
  <c r="B264" i="15"/>
  <c r="T263" i="15"/>
  <c r="P263" i="15"/>
  <c r="X263" i="15" s="1"/>
  <c r="N263" i="15"/>
  <c r="L263" i="15"/>
  <c r="H263" i="15"/>
  <c r="D263" i="15"/>
  <c r="B263" i="15"/>
  <c r="X262" i="15"/>
  <c r="Z262" i="15" s="1"/>
  <c r="T262" i="15"/>
  <c r="P262" i="15"/>
  <c r="L262" i="15"/>
  <c r="N262" i="15" s="1"/>
  <c r="H262" i="15"/>
  <c r="D262" i="15"/>
  <c r="B262" i="15"/>
  <c r="P261" i="15"/>
  <c r="X259" i="15"/>
  <c r="Z259" i="15" s="1"/>
  <c r="L259" i="15"/>
  <c r="N259" i="15" s="1"/>
  <c r="B259" i="15"/>
  <c r="T258" i="15"/>
  <c r="P258" i="15"/>
  <c r="H258" i="15"/>
  <c r="D258" i="15"/>
  <c r="B258" i="15"/>
  <c r="Z257" i="15"/>
  <c r="X257" i="15"/>
  <c r="L257" i="15"/>
  <c r="N257" i="15" s="1"/>
  <c r="B257" i="15"/>
  <c r="X256" i="15"/>
  <c r="Z256" i="15" s="1"/>
  <c r="N256" i="15"/>
  <c r="L256" i="15"/>
  <c r="B256" i="15"/>
  <c r="X255" i="15"/>
  <c r="Z255" i="15" s="1"/>
  <c r="L255" i="15"/>
  <c r="N255" i="15" s="1"/>
  <c r="B255" i="15"/>
  <c r="T254" i="15"/>
  <c r="P254" i="15"/>
  <c r="X254" i="15" s="1"/>
  <c r="Z254" i="15" s="1"/>
  <c r="H254" i="15"/>
  <c r="N254" i="15" s="1"/>
  <c r="D254" i="15"/>
  <c r="L254" i="15" s="1"/>
  <c r="B254" i="15"/>
  <c r="X253" i="15"/>
  <c r="Z253" i="15" s="1"/>
  <c r="N253" i="15"/>
  <c r="L253" i="15"/>
  <c r="B253" i="15"/>
  <c r="X252" i="15"/>
  <c r="Z252" i="15" s="1"/>
  <c r="T252" i="15"/>
  <c r="P252" i="15"/>
  <c r="L252" i="15"/>
  <c r="N252" i="15" s="1"/>
  <c r="H252" i="15"/>
  <c r="D252" i="15"/>
  <c r="B252" i="15"/>
  <c r="X251" i="15"/>
  <c r="Z251" i="15" s="1"/>
  <c r="L251" i="15"/>
  <c r="N251" i="15" s="1"/>
  <c r="B251" i="15"/>
  <c r="X250" i="15"/>
  <c r="Z250" i="15" s="1"/>
  <c r="N250" i="15"/>
  <c r="L250" i="15"/>
  <c r="B250" i="15"/>
  <c r="Z249" i="15"/>
  <c r="T249" i="15"/>
  <c r="P249" i="15"/>
  <c r="X249" i="15" s="1"/>
  <c r="H249" i="15"/>
  <c r="D249" i="15"/>
  <c r="L249" i="15" s="1"/>
  <c r="N249" i="15" s="1"/>
  <c r="B249" i="15"/>
  <c r="X248" i="15"/>
  <c r="Z248" i="15" s="1"/>
  <c r="N248" i="15"/>
  <c r="L248" i="15"/>
  <c r="B248" i="15"/>
  <c r="X247" i="15"/>
  <c r="Z247" i="15" s="1"/>
  <c r="L247" i="15"/>
  <c r="N247" i="15" s="1"/>
  <c r="B247" i="15"/>
  <c r="Z246" i="15"/>
  <c r="X246" i="15"/>
  <c r="L246" i="15"/>
  <c r="N246" i="15" s="1"/>
  <c r="B246" i="15"/>
  <c r="Z245" i="15"/>
  <c r="X245" i="15"/>
  <c r="L245" i="15"/>
  <c r="N245" i="15" s="1"/>
  <c r="B245" i="15"/>
  <c r="X244" i="15"/>
  <c r="Z244" i="15" s="1"/>
  <c r="L244" i="15"/>
  <c r="N244" i="15" s="1"/>
  <c r="B244" i="15"/>
  <c r="X243" i="15"/>
  <c r="Z243" i="15" s="1"/>
  <c r="L243" i="15"/>
  <c r="N243" i="15" s="1"/>
  <c r="B243" i="15"/>
  <c r="Z242" i="15"/>
  <c r="X242" i="15"/>
  <c r="N242" i="15"/>
  <c r="L242" i="15"/>
  <c r="B242" i="15"/>
  <c r="Z241" i="15"/>
  <c r="X241" i="15"/>
  <c r="N241" i="15"/>
  <c r="L241" i="15"/>
  <c r="B241" i="15"/>
  <c r="T240" i="15"/>
  <c r="Z240" i="15" s="1"/>
  <c r="P240" i="15"/>
  <c r="X240" i="15" s="1"/>
  <c r="H240" i="15"/>
  <c r="D240" i="15"/>
  <c r="L240" i="15" s="1"/>
  <c r="N240" i="15" s="1"/>
  <c r="B240" i="15"/>
  <c r="X239" i="15"/>
  <c r="Z239" i="15" s="1"/>
  <c r="L239" i="15"/>
  <c r="N239" i="15" s="1"/>
  <c r="B239" i="15"/>
  <c r="X238" i="15"/>
  <c r="Z238" i="15" s="1"/>
  <c r="N238" i="15"/>
  <c r="L238" i="15"/>
  <c r="B238" i="15"/>
  <c r="T237" i="15"/>
  <c r="P237" i="15"/>
  <c r="H237" i="15"/>
  <c r="D237" i="15"/>
  <c r="L237" i="15" s="1"/>
  <c r="B237" i="15"/>
  <c r="Z236" i="15"/>
  <c r="X236" i="15"/>
  <c r="L236" i="15"/>
  <c r="N236" i="15" s="1"/>
  <c r="B236" i="15"/>
  <c r="X235" i="15"/>
  <c r="Z235" i="15" s="1"/>
  <c r="L235" i="15"/>
  <c r="N235" i="15" s="1"/>
  <c r="B235" i="15"/>
  <c r="Z234" i="15"/>
  <c r="X234" i="15"/>
  <c r="N234" i="15"/>
  <c r="L234" i="15"/>
  <c r="B234" i="15"/>
  <c r="Z233" i="15"/>
  <c r="X233" i="15"/>
  <c r="N233" i="15"/>
  <c r="L233" i="15"/>
  <c r="B233" i="15"/>
  <c r="T232" i="15"/>
  <c r="P232" i="15"/>
  <c r="H232" i="15"/>
  <c r="D232" i="15"/>
  <c r="B232" i="15"/>
  <c r="X231" i="15"/>
  <c r="Z231" i="15" s="1"/>
  <c r="L231" i="15"/>
  <c r="N231" i="15" s="1"/>
  <c r="B231" i="15"/>
  <c r="Z230" i="15"/>
  <c r="X230" i="15"/>
  <c r="N230" i="15"/>
  <c r="L230" i="15"/>
  <c r="B230" i="15"/>
  <c r="Z229" i="15"/>
  <c r="X229" i="15"/>
  <c r="N229" i="15"/>
  <c r="L229" i="15"/>
  <c r="B229" i="15"/>
  <c r="T228" i="15"/>
  <c r="Z228" i="15" s="1"/>
  <c r="P228" i="15"/>
  <c r="X228" i="15" s="1"/>
  <c r="N228" i="15"/>
  <c r="H228" i="15"/>
  <c r="D228" i="15"/>
  <c r="L228" i="15" s="1"/>
  <c r="B228" i="15"/>
  <c r="X227" i="15"/>
  <c r="Z227" i="15" s="1"/>
  <c r="L227" i="15"/>
  <c r="N227" i="15" s="1"/>
  <c r="B227" i="15"/>
  <c r="Z226" i="15"/>
  <c r="X226" i="15"/>
  <c r="N226" i="15"/>
  <c r="L226" i="15"/>
  <c r="B226" i="15"/>
  <c r="X225" i="15"/>
  <c r="Z225" i="15" s="1"/>
  <c r="N225" i="15"/>
  <c r="L225" i="15"/>
  <c r="B225" i="15"/>
  <c r="X224" i="15"/>
  <c r="Z224" i="15" s="1"/>
  <c r="N224" i="15"/>
  <c r="L224" i="15"/>
  <c r="B224" i="15"/>
  <c r="T223" i="15"/>
  <c r="Z223" i="15" s="1"/>
  <c r="P223" i="15"/>
  <c r="X223" i="15" s="1"/>
  <c r="H223" i="15"/>
  <c r="D223" i="15"/>
  <c r="B223" i="15"/>
  <c r="Z222" i="15"/>
  <c r="X222" i="15"/>
  <c r="N222" i="15"/>
  <c r="L222" i="15"/>
  <c r="B222" i="15"/>
  <c r="Z221" i="15"/>
  <c r="T221" i="15"/>
  <c r="X221" i="15" s="1"/>
  <c r="P221" i="15"/>
  <c r="H221" i="15"/>
  <c r="D221" i="15"/>
  <c r="L221" i="15" s="1"/>
  <c r="N221" i="15" s="1"/>
  <c r="B221" i="15"/>
  <c r="Z220" i="15"/>
  <c r="X220" i="15"/>
  <c r="N220" i="15"/>
  <c r="L220" i="15"/>
  <c r="B220" i="15"/>
  <c r="X219" i="15"/>
  <c r="Z219" i="15" s="1"/>
  <c r="T219" i="15"/>
  <c r="P219" i="15"/>
  <c r="H219" i="15"/>
  <c r="N219" i="15" s="1"/>
  <c r="D219" i="15"/>
  <c r="B219" i="15"/>
  <c r="Z218" i="15"/>
  <c r="X218" i="15"/>
  <c r="N218" i="15"/>
  <c r="L218" i="15"/>
  <c r="B218" i="15"/>
  <c r="T217" i="15"/>
  <c r="P217" i="15"/>
  <c r="H217" i="15"/>
  <c r="D217" i="15"/>
  <c r="L217" i="15" s="1"/>
  <c r="B217" i="15"/>
  <c r="Z216" i="15"/>
  <c r="X216" i="15"/>
  <c r="N216" i="15"/>
  <c r="L216" i="15"/>
  <c r="B216" i="15"/>
  <c r="T215" i="15"/>
  <c r="P215" i="15"/>
  <c r="X215" i="15" s="1"/>
  <c r="Z215" i="15" s="1"/>
  <c r="N215" i="15"/>
  <c r="H215" i="15"/>
  <c r="L215" i="15" s="1"/>
  <c r="D215" i="15"/>
  <c r="B215" i="15"/>
  <c r="Z214" i="15"/>
  <c r="X214" i="15"/>
  <c r="L214" i="15"/>
  <c r="N214" i="15" s="1"/>
  <c r="B214" i="15"/>
  <c r="T213" i="15"/>
  <c r="P213" i="15"/>
  <c r="X213" i="15" s="1"/>
  <c r="L213" i="15"/>
  <c r="N213" i="15" s="1"/>
  <c r="H213" i="15"/>
  <c r="D213" i="15"/>
  <c r="B213" i="15"/>
  <c r="X212" i="15"/>
  <c r="Z212" i="15" s="1"/>
  <c r="N212" i="15"/>
  <c r="L212" i="15"/>
  <c r="B212" i="15"/>
  <c r="X211" i="15"/>
  <c r="Z211" i="15" s="1"/>
  <c r="L211" i="15"/>
  <c r="N211" i="15" s="1"/>
  <c r="B211" i="15"/>
  <c r="X210" i="15"/>
  <c r="Z210" i="15" s="1"/>
  <c r="T210" i="15"/>
  <c r="P210" i="15"/>
  <c r="L210" i="15"/>
  <c r="N210" i="15" s="1"/>
  <c r="H210" i="15"/>
  <c r="D210" i="15"/>
  <c r="B210" i="15"/>
  <c r="Z209" i="15"/>
  <c r="X209" i="15"/>
  <c r="N209" i="15"/>
  <c r="L209" i="15"/>
  <c r="B209" i="15"/>
  <c r="T208" i="15"/>
  <c r="P208" i="15"/>
  <c r="H208" i="15"/>
  <c r="D208" i="15"/>
  <c r="B208" i="15"/>
  <c r="X207" i="15"/>
  <c r="Z207" i="15" s="1"/>
  <c r="L207" i="15"/>
  <c r="N207" i="15" s="1"/>
  <c r="B207" i="15"/>
  <c r="T206" i="15"/>
  <c r="P206" i="15"/>
  <c r="X206" i="15" s="1"/>
  <c r="Z206" i="15" s="1"/>
  <c r="H206" i="15"/>
  <c r="N206" i="15" s="1"/>
  <c r="D206" i="15"/>
  <c r="L206" i="15" s="1"/>
  <c r="B206" i="15"/>
  <c r="X205" i="15"/>
  <c r="Z205" i="15" s="1"/>
  <c r="N205" i="15"/>
  <c r="L205" i="15"/>
  <c r="B205" i="15"/>
  <c r="X204" i="15"/>
  <c r="Z204" i="15" s="1"/>
  <c r="T204" i="15"/>
  <c r="P204" i="15"/>
  <c r="N204" i="15"/>
  <c r="L204" i="15"/>
  <c r="H204" i="15"/>
  <c r="D204" i="15"/>
  <c r="B204" i="15"/>
  <c r="X203" i="15"/>
  <c r="Z203" i="15" s="1"/>
  <c r="L203" i="15"/>
  <c r="N203" i="15" s="1"/>
  <c r="B203" i="15"/>
  <c r="Z202" i="15"/>
  <c r="X202" i="15"/>
  <c r="N202" i="15"/>
  <c r="L202" i="15"/>
  <c r="B202" i="15"/>
  <c r="T201" i="15"/>
  <c r="X201" i="15" s="1"/>
  <c r="Z201" i="15" s="1"/>
  <c r="P201" i="15"/>
  <c r="H201" i="15"/>
  <c r="D201" i="15"/>
  <c r="L201" i="15" s="1"/>
  <c r="N201" i="15" s="1"/>
  <c r="B201" i="15"/>
  <c r="Z200" i="15"/>
  <c r="X200" i="15"/>
  <c r="L200" i="15"/>
  <c r="N200" i="15" s="1"/>
  <c r="B200" i="15"/>
  <c r="X199" i="15"/>
  <c r="Z199" i="15" s="1"/>
  <c r="L199" i="15"/>
  <c r="N199" i="15" s="1"/>
  <c r="B199" i="15"/>
  <c r="T198" i="15"/>
  <c r="P198" i="15"/>
  <c r="X198" i="15" s="1"/>
  <c r="Z198" i="15" s="1"/>
  <c r="H198" i="15"/>
  <c r="D198" i="15"/>
  <c r="L198" i="15" s="1"/>
  <c r="B198" i="15"/>
  <c r="X197" i="15"/>
  <c r="Z197" i="15" s="1"/>
  <c r="N197" i="15"/>
  <c r="L197" i="15"/>
  <c r="B197" i="15"/>
  <c r="X196" i="15"/>
  <c r="Z196" i="15" s="1"/>
  <c r="T196" i="15"/>
  <c r="P196" i="15"/>
  <c r="L196" i="15"/>
  <c r="N196" i="15" s="1"/>
  <c r="H196" i="15"/>
  <c r="D196" i="15"/>
  <c r="B196" i="15"/>
  <c r="Z195" i="15"/>
  <c r="X195" i="15"/>
  <c r="N195" i="15"/>
  <c r="L195" i="15"/>
  <c r="B195" i="15"/>
  <c r="Z194" i="15"/>
  <c r="X194" i="15"/>
  <c r="N194" i="15"/>
  <c r="L194" i="15"/>
  <c r="B194" i="15"/>
  <c r="T193" i="15"/>
  <c r="P193" i="15"/>
  <c r="X193" i="15" s="1"/>
  <c r="Z193" i="15" s="1"/>
  <c r="H193" i="15"/>
  <c r="D193" i="15"/>
  <c r="L193" i="15" s="1"/>
  <c r="N193" i="15" s="1"/>
  <c r="B193" i="15"/>
  <c r="X192" i="15"/>
  <c r="Z192" i="15" s="1"/>
  <c r="L192" i="15"/>
  <c r="N192" i="15" s="1"/>
  <c r="B192" i="15"/>
  <c r="X191" i="15"/>
  <c r="Z191" i="15" s="1"/>
  <c r="T191" i="15"/>
  <c r="P191" i="15"/>
  <c r="H191" i="15"/>
  <c r="D191" i="15"/>
  <c r="B191" i="15"/>
  <c r="X190" i="15"/>
  <c r="Z190" i="15" s="1"/>
  <c r="N190" i="15"/>
  <c r="L190" i="15"/>
  <c r="B190" i="15"/>
  <c r="X189" i="15"/>
  <c r="Z189" i="15" s="1"/>
  <c r="N189" i="15"/>
  <c r="L189" i="15"/>
  <c r="B189" i="15"/>
  <c r="X188" i="15"/>
  <c r="Z188" i="15" s="1"/>
  <c r="N188" i="15"/>
  <c r="L188" i="15"/>
  <c r="B188" i="15"/>
  <c r="Z187" i="15"/>
  <c r="X187" i="15"/>
  <c r="L187" i="15"/>
  <c r="N187" i="15" s="1"/>
  <c r="B187" i="15"/>
  <c r="Z186" i="15"/>
  <c r="X186" i="15"/>
  <c r="N186" i="15"/>
  <c r="L186" i="15"/>
  <c r="B186" i="15"/>
  <c r="X185" i="15"/>
  <c r="Z185" i="15" s="1"/>
  <c r="N185" i="15"/>
  <c r="L185" i="15"/>
  <c r="B185" i="15"/>
  <c r="X184" i="15"/>
  <c r="Z184" i="15" s="1"/>
  <c r="N184" i="15"/>
  <c r="L184" i="15"/>
  <c r="B184" i="15"/>
  <c r="T183" i="15"/>
  <c r="P183" i="15"/>
  <c r="X183" i="15" s="1"/>
  <c r="H183" i="15"/>
  <c r="D183" i="15"/>
  <c r="B183" i="15"/>
  <c r="Z182" i="15"/>
  <c r="X182" i="15"/>
  <c r="N182" i="15"/>
  <c r="L182" i="15"/>
  <c r="B182" i="15"/>
  <c r="Z181" i="15"/>
  <c r="X181" i="15"/>
  <c r="L181" i="15"/>
  <c r="N181" i="15" s="1"/>
  <c r="B181" i="15"/>
  <c r="Z180" i="15"/>
  <c r="X180" i="15"/>
  <c r="L180" i="15"/>
  <c r="N180" i="15" s="1"/>
  <c r="B180" i="15"/>
  <c r="X179" i="15"/>
  <c r="Z179" i="15" s="1"/>
  <c r="L179" i="15"/>
  <c r="N179" i="15" s="1"/>
  <c r="B179" i="15"/>
  <c r="Z178" i="15"/>
  <c r="X178" i="15"/>
  <c r="N178" i="15"/>
  <c r="L178" i="15"/>
  <c r="B178" i="15"/>
  <c r="Z177" i="15"/>
  <c r="X177" i="15"/>
  <c r="L177" i="15"/>
  <c r="N177" i="15" s="1"/>
  <c r="B177" i="15"/>
  <c r="Z176" i="15"/>
  <c r="X176" i="15"/>
  <c r="L176" i="15"/>
  <c r="N176" i="15" s="1"/>
  <c r="B176" i="15"/>
  <c r="X175" i="15"/>
  <c r="Z175" i="15" s="1"/>
  <c r="L175" i="15"/>
  <c r="N175" i="15" s="1"/>
  <c r="B175" i="15"/>
  <c r="Z174" i="15"/>
  <c r="X174" i="15"/>
  <c r="N174" i="15"/>
  <c r="L174" i="15"/>
  <c r="B174" i="15"/>
  <c r="T173" i="15"/>
  <c r="P173" i="15"/>
  <c r="X173" i="15" s="1"/>
  <c r="Z173" i="15" s="1"/>
  <c r="L173" i="15"/>
  <c r="N173" i="15" s="1"/>
  <c r="H173" i="15"/>
  <c r="D173" i="15"/>
  <c r="B173" i="15"/>
  <c r="T172" i="15"/>
  <c r="P172" i="15"/>
  <c r="X172" i="15" s="1"/>
  <c r="N172" i="15"/>
  <c r="H172" i="15"/>
  <c r="D172" i="15"/>
  <c r="L172" i="15" s="1"/>
  <c r="X168" i="15"/>
  <c r="Z168" i="15" s="1"/>
  <c r="L168" i="15"/>
  <c r="N168" i="15" s="1"/>
  <c r="B168" i="15"/>
  <c r="X167" i="15"/>
  <c r="Z167" i="15" s="1"/>
  <c r="N167" i="15"/>
  <c r="L167" i="15"/>
  <c r="B167" i="15"/>
  <c r="Z166" i="15"/>
  <c r="X166" i="15"/>
  <c r="N166" i="15"/>
  <c r="L166" i="15"/>
  <c r="B166" i="15"/>
  <c r="X165" i="15"/>
  <c r="Z165" i="15" s="1"/>
  <c r="N165" i="15"/>
  <c r="L165" i="15"/>
  <c r="B165" i="15"/>
  <c r="X164" i="15"/>
  <c r="Z164" i="15" s="1"/>
  <c r="L164" i="15"/>
  <c r="N164" i="15" s="1"/>
  <c r="B164" i="15"/>
  <c r="X163" i="15"/>
  <c r="Z163" i="15" s="1"/>
  <c r="N163" i="15"/>
  <c r="L163" i="15"/>
  <c r="B163" i="15"/>
  <c r="Z162" i="15"/>
  <c r="X162" i="15"/>
  <c r="N162" i="15"/>
  <c r="L162" i="15"/>
  <c r="B162" i="15"/>
  <c r="X161" i="15"/>
  <c r="Z161" i="15" s="1"/>
  <c r="L161" i="15"/>
  <c r="N161" i="15" s="1"/>
  <c r="B161" i="15"/>
  <c r="X160" i="15"/>
  <c r="Z160" i="15" s="1"/>
  <c r="L160" i="15"/>
  <c r="N160" i="15" s="1"/>
  <c r="B160" i="15"/>
  <c r="X159" i="15"/>
  <c r="Z159" i="15" s="1"/>
  <c r="N159" i="15"/>
  <c r="L159" i="15"/>
  <c r="B159" i="15"/>
  <c r="Z158" i="15"/>
  <c r="X158" i="15"/>
  <c r="L158" i="15"/>
  <c r="N158" i="15" s="1"/>
  <c r="B158" i="15"/>
  <c r="Z157" i="15"/>
  <c r="X157" i="15"/>
  <c r="N157" i="15"/>
  <c r="L157" i="15"/>
  <c r="B157" i="15"/>
  <c r="X156" i="15"/>
  <c r="Z156" i="15" s="1"/>
  <c r="N156" i="15"/>
  <c r="L156" i="15"/>
  <c r="B156" i="15"/>
  <c r="X155" i="15"/>
  <c r="Z155" i="15" s="1"/>
  <c r="N155" i="15"/>
  <c r="L155" i="15"/>
  <c r="B155" i="15"/>
  <c r="Z154" i="15"/>
  <c r="X154" i="15"/>
  <c r="N154" i="15"/>
  <c r="L154" i="15"/>
  <c r="B154" i="15"/>
  <c r="X153" i="15"/>
  <c r="Z153" i="15" s="1"/>
  <c r="L153" i="15"/>
  <c r="N153" i="15" s="1"/>
  <c r="B153" i="15"/>
  <c r="X152" i="15"/>
  <c r="Z152" i="15" s="1"/>
  <c r="L152" i="15"/>
  <c r="N152" i="15" s="1"/>
  <c r="B152" i="15"/>
  <c r="X151" i="15"/>
  <c r="Z151" i="15" s="1"/>
  <c r="N151" i="15"/>
  <c r="L151" i="15"/>
  <c r="B151" i="15"/>
  <c r="Z150" i="15"/>
  <c r="X150" i="15"/>
  <c r="L150" i="15"/>
  <c r="N150" i="15" s="1"/>
  <c r="B150" i="15"/>
  <c r="Z149" i="15"/>
  <c r="X149" i="15"/>
  <c r="N149" i="15"/>
  <c r="L149" i="15"/>
  <c r="B149" i="15"/>
  <c r="X148" i="15"/>
  <c r="Z148" i="15" s="1"/>
  <c r="L148" i="15"/>
  <c r="N148" i="15" s="1"/>
  <c r="B148" i="15"/>
  <c r="X147" i="15"/>
  <c r="Z147" i="15" s="1"/>
  <c r="N147" i="15"/>
  <c r="L147" i="15"/>
  <c r="B147" i="15"/>
  <c r="Z146" i="15"/>
  <c r="X146" i="15"/>
  <c r="L146" i="15"/>
  <c r="N146" i="15" s="1"/>
  <c r="B146" i="15"/>
  <c r="X145" i="15"/>
  <c r="Z145" i="15" s="1"/>
  <c r="N145" i="15"/>
  <c r="L145" i="15"/>
  <c r="B145" i="15"/>
  <c r="X144" i="15"/>
  <c r="Z144" i="15" s="1"/>
  <c r="L144" i="15"/>
  <c r="N144" i="15" s="1"/>
  <c r="B144" i="15"/>
  <c r="X143" i="15"/>
  <c r="Z143" i="15" s="1"/>
  <c r="N143" i="15"/>
  <c r="L143" i="15"/>
  <c r="B143" i="15"/>
  <c r="Z142" i="15"/>
  <c r="X142" i="15"/>
  <c r="L142" i="15"/>
  <c r="N142" i="15" s="1"/>
  <c r="B142" i="15"/>
  <c r="X141" i="15"/>
  <c r="Z141" i="15" s="1"/>
  <c r="L141" i="15"/>
  <c r="N141" i="15" s="1"/>
  <c r="B141" i="15"/>
  <c r="X140" i="15"/>
  <c r="Z140" i="15" s="1"/>
  <c r="L140" i="15"/>
  <c r="N140" i="15" s="1"/>
  <c r="B140" i="15"/>
  <c r="X139" i="15"/>
  <c r="Z139" i="15" s="1"/>
  <c r="L139" i="15"/>
  <c r="N139" i="15" s="1"/>
  <c r="B139" i="15"/>
  <c r="Z138" i="15"/>
  <c r="X138" i="15"/>
  <c r="N138" i="15"/>
  <c r="L138" i="15"/>
  <c r="B138" i="15"/>
  <c r="X137" i="15"/>
  <c r="Z137" i="15" s="1"/>
  <c r="L137" i="15"/>
  <c r="N137" i="15" s="1"/>
  <c r="B137" i="15"/>
  <c r="X136" i="15"/>
  <c r="Z136" i="15" s="1"/>
  <c r="L136" i="15"/>
  <c r="N136" i="15" s="1"/>
  <c r="B136" i="15"/>
  <c r="X135" i="15"/>
  <c r="Z135" i="15" s="1"/>
  <c r="L135" i="15"/>
  <c r="N135" i="15" s="1"/>
  <c r="B135" i="15"/>
  <c r="Z134" i="15"/>
  <c r="X134" i="15"/>
  <c r="N134" i="15"/>
  <c r="L134" i="15"/>
  <c r="B134" i="15"/>
  <c r="X133" i="15"/>
  <c r="Z133" i="15" s="1"/>
  <c r="L133" i="15"/>
  <c r="N133" i="15" s="1"/>
  <c r="B133" i="15"/>
  <c r="X132" i="15"/>
  <c r="Z132" i="15" s="1"/>
  <c r="L132" i="15"/>
  <c r="N132" i="15" s="1"/>
  <c r="B132" i="15"/>
  <c r="X131" i="15"/>
  <c r="Z131" i="15" s="1"/>
  <c r="L131" i="15"/>
  <c r="N131" i="15" s="1"/>
  <c r="B131" i="15"/>
  <c r="Z130" i="15"/>
  <c r="X130" i="15"/>
  <c r="N130" i="15"/>
  <c r="L130" i="15"/>
  <c r="B130" i="15"/>
  <c r="X129" i="15"/>
  <c r="Z129" i="15" s="1"/>
  <c r="L129" i="15"/>
  <c r="N129" i="15" s="1"/>
  <c r="B129" i="15"/>
  <c r="X128" i="15"/>
  <c r="Z128" i="15" s="1"/>
  <c r="L128" i="15"/>
  <c r="N128" i="15" s="1"/>
  <c r="B128" i="15"/>
  <c r="X127" i="15"/>
  <c r="Z127" i="15" s="1"/>
  <c r="L127" i="15"/>
  <c r="N127" i="15" s="1"/>
  <c r="B127" i="15"/>
  <c r="Z126" i="15"/>
  <c r="X126" i="15"/>
  <c r="N126" i="15"/>
  <c r="L126" i="15"/>
  <c r="B126" i="15"/>
  <c r="X125" i="15"/>
  <c r="Z125" i="15" s="1"/>
  <c r="L125" i="15"/>
  <c r="N125" i="15" s="1"/>
  <c r="B125" i="15"/>
  <c r="X124" i="15"/>
  <c r="Z124" i="15" s="1"/>
  <c r="L124" i="15"/>
  <c r="N124" i="15" s="1"/>
  <c r="B124" i="15"/>
  <c r="X123" i="15"/>
  <c r="Z123" i="15" s="1"/>
  <c r="L123" i="15"/>
  <c r="N123" i="15" s="1"/>
  <c r="B123" i="15"/>
  <c r="Z122" i="15"/>
  <c r="X122" i="15"/>
  <c r="N122" i="15"/>
  <c r="L122" i="15"/>
  <c r="B122" i="15"/>
  <c r="X121" i="15"/>
  <c r="Z121" i="15" s="1"/>
  <c r="N121" i="15"/>
  <c r="L121" i="15"/>
  <c r="B121" i="15"/>
  <c r="X120" i="15"/>
  <c r="Z120" i="15" s="1"/>
  <c r="L120" i="15"/>
  <c r="N120" i="15" s="1"/>
  <c r="B120" i="15"/>
  <c r="X119" i="15"/>
  <c r="Z119" i="15" s="1"/>
  <c r="L119" i="15"/>
  <c r="N119" i="15" s="1"/>
  <c r="B119" i="15"/>
  <c r="Z118" i="15"/>
  <c r="X118" i="15"/>
  <c r="N118" i="15"/>
  <c r="L118" i="15"/>
  <c r="B118" i="15"/>
  <c r="T117" i="15"/>
  <c r="P117" i="15"/>
  <c r="L117" i="15"/>
  <c r="N117" i="15" s="1"/>
  <c r="H117" i="15"/>
  <c r="D117" i="15"/>
  <c r="T115" i="15"/>
  <c r="Z115" i="15" s="1"/>
  <c r="P115" i="15"/>
  <c r="X115" i="15" s="1"/>
  <c r="H115" i="15"/>
  <c r="N115" i="15" s="1"/>
  <c r="D115" i="15"/>
  <c r="L115" i="15" s="1"/>
  <c r="B115" i="15"/>
  <c r="T114" i="15"/>
  <c r="Z114" i="15" s="1"/>
  <c r="P114" i="15"/>
  <c r="H114" i="15"/>
  <c r="N114" i="15" s="1"/>
  <c r="D114" i="15"/>
  <c r="B114" i="15"/>
  <c r="T113" i="15"/>
  <c r="P113" i="15"/>
  <c r="N113" i="15"/>
  <c r="L113" i="15"/>
  <c r="H113" i="15"/>
  <c r="D113" i="15"/>
  <c r="B113" i="15"/>
  <c r="Z112" i="15"/>
  <c r="T112" i="15"/>
  <c r="P112" i="15"/>
  <c r="X112" i="15" s="1"/>
  <c r="L112" i="15"/>
  <c r="N112" i="15" s="1"/>
  <c r="H112" i="15"/>
  <c r="D112" i="15"/>
  <c r="B112" i="15"/>
  <c r="T111" i="15"/>
  <c r="P111" i="15"/>
  <c r="X111" i="15" s="1"/>
  <c r="H111" i="15"/>
  <c r="D111" i="15"/>
  <c r="L111" i="15" s="1"/>
  <c r="B111" i="15"/>
  <c r="T110" i="15"/>
  <c r="Z110" i="15" s="1"/>
  <c r="P110" i="15"/>
  <c r="H110" i="15"/>
  <c r="N110" i="15" s="1"/>
  <c r="D110" i="15"/>
  <c r="B110" i="15"/>
  <c r="X109" i="15"/>
  <c r="T109" i="15"/>
  <c r="Z109" i="15" s="1"/>
  <c r="P109" i="15"/>
  <c r="N109" i="15"/>
  <c r="L109" i="15"/>
  <c r="H109" i="15"/>
  <c r="D109" i="15"/>
  <c r="B109" i="15"/>
  <c r="T108" i="15"/>
  <c r="P108" i="15"/>
  <c r="X108" i="15" s="1"/>
  <c r="Z108" i="15" s="1"/>
  <c r="N108" i="15"/>
  <c r="L108" i="15"/>
  <c r="H108" i="15"/>
  <c r="D108" i="15"/>
  <c r="B108" i="15"/>
  <c r="T107" i="15"/>
  <c r="P107" i="15"/>
  <c r="H107" i="15"/>
  <c r="N107" i="15" s="1"/>
  <c r="D107" i="15"/>
  <c r="L107" i="15" s="1"/>
  <c r="B107" i="15"/>
  <c r="T106" i="15"/>
  <c r="P106" i="15"/>
  <c r="L106" i="15"/>
  <c r="H106" i="15"/>
  <c r="N106" i="15" s="1"/>
  <c r="D106" i="15"/>
  <c r="B106" i="15"/>
  <c r="T105" i="15"/>
  <c r="P105" i="15"/>
  <c r="N105" i="15"/>
  <c r="L105" i="15"/>
  <c r="H105" i="15"/>
  <c r="D105" i="15"/>
  <c r="B105" i="15"/>
  <c r="Z104" i="15"/>
  <c r="T104" i="15"/>
  <c r="P104" i="15"/>
  <c r="X104" i="15" s="1"/>
  <c r="N104" i="15"/>
  <c r="L104" i="15"/>
  <c r="H104" i="15"/>
  <c r="D104" i="15"/>
  <c r="B104" i="15"/>
  <c r="T103" i="15"/>
  <c r="P103" i="15"/>
  <c r="H103" i="15"/>
  <c r="D103" i="15"/>
  <c r="L103" i="15" s="1"/>
  <c r="B103" i="15"/>
  <c r="T102" i="15"/>
  <c r="P102" i="15"/>
  <c r="L102" i="15"/>
  <c r="H102" i="15"/>
  <c r="N102" i="15" s="1"/>
  <c r="D102" i="15"/>
  <c r="B102" i="15"/>
  <c r="X101" i="15"/>
  <c r="T101" i="15"/>
  <c r="P101" i="15"/>
  <c r="L101" i="15"/>
  <c r="N101" i="15" s="1"/>
  <c r="H101" i="15"/>
  <c r="D101" i="15"/>
  <c r="B101" i="15"/>
  <c r="Z100" i="15"/>
  <c r="T100" i="15"/>
  <c r="P100" i="15"/>
  <c r="X100" i="15" s="1"/>
  <c r="N100" i="15"/>
  <c r="L100" i="15"/>
  <c r="H100" i="15"/>
  <c r="D100" i="15"/>
  <c r="B100" i="15"/>
  <c r="T99" i="15"/>
  <c r="P99" i="15"/>
  <c r="X99" i="15" s="1"/>
  <c r="H99" i="15"/>
  <c r="N99" i="15" s="1"/>
  <c r="D99" i="15"/>
  <c r="L99" i="15" s="1"/>
  <c r="B99" i="15"/>
  <c r="T98" i="15"/>
  <c r="P98" i="15"/>
  <c r="L98" i="15"/>
  <c r="H98" i="15"/>
  <c r="D98" i="15"/>
  <c r="B98" i="15"/>
  <c r="T97" i="15"/>
  <c r="P97" i="15"/>
  <c r="N97" i="15"/>
  <c r="L97" i="15"/>
  <c r="H97" i="15"/>
  <c r="D97" i="15"/>
  <c r="B97" i="15"/>
  <c r="Z96" i="15"/>
  <c r="T96" i="15"/>
  <c r="P96" i="15"/>
  <c r="X96" i="15" s="1"/>
  <c r="N96" i="15"/>
  <c r="L96" i="15"/>
  <c r="H96" i="15"/>
  <c r="D96" i="15"/>
  <c r="B96" i="15"/>
  <c r="T95" i="15"/>
  <c r="P95" i="15"/>
  <c r="H95" i="15"/>
  <c r="N95" i="15" s="1"/>
  <c r="D95" i="15"/>
  <c r="L95" i="15" s="1"/>
  <c r="B95" i="15"/>
  <c r="T94" i="15"/>
  <c r="P94" i="15"/>
  <c r="L94" i="15"/>
  <c r="H94" i="15"/>
  <c r="N94" i="15" s="1"/>
  <c r="D94" i="15"/>
  <c r="B94" i="15"/>
  <c r="X93" i="15"/>
  <c r="T93" i="15"/>
  <c r="P93" i="15"/>
  <c r="L93" i="15"/>
  <c r="N93" i="15" s="1"/>
  <c r="H93" i="15"/>
  <c r="D93" i="15"/>
  <c r="B93" i="15"/>
  <c r="T92" i="15"/>
  <c r="P92" i="15"/>
  <c r="L92" i="15"/>
  <c r="N92" i="15" s="1"/>
  <c r="H92" i="15"/>
  <c r="D92" i="15"/>
  <c r="B92" i="15"/>
  <c r="T91" i="15"/>
  <c r="P91" i="15"/>
  <c r="L91" i="15"/>
  <c r="H91" i="15"/>
  <c r="D91" i="15"/>
  <c r="B91" i="15"/>
  <c r="T90" i="15"/>
  <c r="P90" i="15"/>
  <c r="H90" i="15"/>
  <c r="N90" i="15" s="1"/>
  <c r="D90" i="15"/>
  <c r="B90" i="15"/>
  <c r="X89" i="15"/>
  <c r="T89" i="15"/>
  <c r="P89" i="15"/>
  <c r="N89" i="15"/>
  <c r="L89" i="15"/>
  <c r="H89" i="15"/>
  <c r="D89" i="15"/>
  <c r="B89" i="15"/>
  <c r="T88" i="15"/>
  <c r="P88" i="15"/>
  <c r="L88" i="15"/>
  <c r="N88" i="15" s="1"/>
  <c r="H88" i="15"/>
  <c r="D88" i="15"/>
  <c r="B88" i="15"/>
  <c r="T87" i="15"/>
  <c r="P87" i="15"/>
  <c r="H87" i="15"/>
  <c r="D87" i="15"/>
  <c r="L87" i="15" s="1"/>
  <c r="B87" i="15"/>
  <c r="T86" i="15"/>
  <c r="P86" i="15"/>
  <c r="L86" i="15"/>
  <c r="H86" i="15"/>
  <c r="D86" i="15"/>
  <c r="B86" i="15"/>
  <c r="X85" i="15"/>
  <c r="T85" i="15"/>
  <c r="P85" i="15"/>
  <c r="N85" i="15"/>
  <c r="L85" i="15"/>
  <c r="H85" i="15"/>
  <c r="D85" i="15"/>
  <c r="B85" i="15"/>
  <c r="T84" i="15"/>
  <c r="P84" i="15"/>
  <c r="X84" i="15" s="1"/>
  <c r="Z84" i="15" s="1"/>
  <c r="N84" i="15"/>
  <c r="L84" i="15"/>
  <c r="H84" i="15"/>
  <c r="D84" i="15"/>
  <c r="B84" i="15"/>
  <c r="T83" i="15"/>
  <c r="P83" i="15"/>
  <c r="X83" i="15" s="1"/>
  <c r="H83" i="15"/>
  <c r="D83" i="15"/>
  <c r="L83" i="15" s="1"/>
  <c r="B83" i="15"/>
  <c r="T82" i="15"/>
  <c r="P82" i="15"/>
  <c r="L82" i="15"/>
  <c r="H82" i="15"/>
  <c r="N82" i="15" s="1"/>
  <c r="D82" i="15"/>
  <c r="B82" i="15"/>
  <c r="T81" i="15"/>
  <c r="P81" i="15"/>
  <c r="N81" i="15"/>
  <c r="L81" i="15"/>
  <c r="H81" i="15"/>
  <c r="D81" i="15"/>
  <c r="B81" i="15"/>
  <c r="T80" i="15"/>
  <c r="P80" i="15"/>
  <c r="L80" i="15"/>
  <c r="N80" i="15" s="1"/>
  <c r="H80" i="15"/>
  <c r="D80" i="15"/>
  <c r="B80" i="15"/>
  <c r="T79" i="15"/>
  <c r="P79" i="15"/>
  <c r="L79" i="15"/>
  <c r="H79" i="15"/>
  <c r="N79" i="15" s="1"/>
  <c r="D79" i="15"/>
  <c r="B79" i="15"/>
  <c r="T78" i="15"/>
  <c r="P78" i="15"/>
  <c r="H78" i="15"/>
  <c r="D78" i="15"/>
  <c r="B78" i="15"/>
  <c r="X77" i="15"/>
  <c r="T77" i="15"/>
  <c r="P77" i="15"/>
  <c r="L77" i="15"/>
  <c r="N77" i="15" s="1"/>
  <c r="H77" i="15"/>
  <c r="D77" i="15"/>
  <c r="B77" i="15"/>
  <c r="T76" i="15"/>
  <c r="Z76" i="15" s="1"/>
  <c r="P76" i="15"/>
  <c r="X76" i="15" s="1"/>
  <c r="L76" i="15"/>
  <c r="N76" i="15" s="1"/>
  <c r="H76" i="15"/>
  <c r="D76" i="15"/>
  <c r="B76" i="15"/>
  <c r="T75" i="15"/>
  <c r="P75" i="15"/>
  <c r="H75" i="15"/>
  <c r="N75" i="15" s="1"/>
  <c r="D75" i="15"/>
  <c r="L75" i="15" s="1"/>
  <c r="B75" i="15"/>
  <c r="T74" i="15"/>
  <c r="P74" i="15"/>
  <c r="H74" i="15"/>
  <c r="D74" i="15"/>
  <c r="B74" i="15"/>
  <c r="X73" i="15"/>
  <c r="T73" i="15"/>
  <c r="P73" i="15"/>
  <c r="L73" i="15"/>
  <c r="N73" i="15" s="1"/>
  <c r="H73" i="15"/>
  <c r="D73" i="15"/>
  <c r="B73" i="15"/>
  <c r="T72" i="15"/>
  <c r="P72" i="15"/>
  <c r="X72" i="15" s="1"/>
  <c r="L72" i="15"/>
  <c r="N72" i="15" s="1"/>
  <c r="H72" i="15"/>
  <c r="D72" i="15"/>
  <c r="B72" i="15"/>
  <c r="T71" i="15"/>
  <c r="P71" i="15"/>
  <c r="X71" i="15" s="1"/>
  <c r="L71" i="15"/>
  <c r="H71" i="15"/>
  <c r="N71" i="15" s="1"/>
  <c r="D71" i="15"/>
  <c r="B71" i="15"/>
  <c r="T70" i="15"/>
  <c r="Z70" i="15" s="1"/>
  <c r="P70" i="15"/>
  <c r="L70" i="15"/>
  <c r="H70" i="15"/>
  <c r="N70" i="15" s="1"/>
  <c r="D70" i="15"/>
  <c r="B70" i="15"/>
  <c r="T69" i="15"/>
  <c r="P69" i="15"/>
  <c r="L69" i="15"/>
  <c r="N69" i="15" s="1"/>
  <c r="H69" i="15"/>
  <c r="D69" i="15"/>
  <c r="B69" i="15"/>
  <c r="T68" i="15"/>
  <c r="P68" i="15"/>
  <c r="N68" i="15"/>
  <c r="L68" i="15"/>
  <c r="H68" i="15"/>
  <c r="D68" i="15"/>
  <c r="B68" i="15"/>
  <c r="T67" i="15"/>
  <c r="P67" i="15"/>
  <c r="L67" i="15"/>
  <c r="H67" i="15"/>
  <c r="N67" i="15" s="1"/>
  <c r="D67" i="15"/>
  <c r="B67" i="15"/>
  <c r="T66" i="15"/>
  <c r="P66" i="15"/>
  <c r="L66" i="15"/>
  <c r="H66" i="15"/>
  <c r="D66" i="15"/>
  <c r="B66" i="15"/>
  <c r="X65" i="15"/>
  <c r="T65" i="15"/>
  <c r="P65" i="15"/>
  <c r="L65" i="15"/>
  <c r="N65" i="15" s="1"/>
  <c r="H65" i="15"/>
  <c r="D65" i="15"/>
  <c r="B65" i="15"/>
  <c r="T64" i="15"/>
  <c r="P64" i="15"/>
  <c r="N64" i="15"/>
  <c r="L64" i="15"/>
  <c r="H64" i="15"/>
  <c r="D64" i="15"/>
  <c r="B64" i="15"/>
  <c r="T63" i="15"/>
  <c r="P63" i="15"/>
  <c r="L63" i="15"/>
  <c r="H63" i="15"/>
  <c r="D63" i="15"/>
  <c r="B63" i="15"/>
  <c r="T62" i="15"/>
  <c r="P62" i="15"/>
  <c r="H62" i="15"/>
  <c r="D62" i="15"/>
  <c r="B62" i="15"/>
  <c r="X61" i="15"/>
  <c r="T61" i="15"/>
  <c r="P61" i="15"/>
  <c r="L61" i="15"/>
  <c r="N61" i="15" s="1"/>
  <c r="H61" i="15"/>
  <c r="D61" i="15"/>
  <c r="B61" i="15"/>
  <c r="T60" i="15"/>
  <c r="Z60" i="15" s="1"/>
  <c r="P60" i="15"/>
  <c r="X60" i="15" s="1"/>
  <c r="L60" i="15"/>
  <c r="N60" i="15" s="1"/>
  <c r="H60" i="15"/>
  <c r="D60" i="15"/>
  <c r="B60" i="15"/>
  <c r="T59" i="15"/>
  <c r="P59" i="15"/>
  <c r="H59" i="15"/>
  <c r="D59" i="15"/>
  <c r="L59" i="15" s="1"/>
  <c r="B59" i="15"/>
  <c r="T58" i="15"/>
  <c r="P58" i="15"/>
  <c r="H58" i="15"/>
  <c r="D58" i="15"/>
  <c r="B58" i="15"/>
  <c r="X57" i="15"/>
  <c r="T57" i="15"/>
  <c r="P57" i="15"/>
  <c r="L57" i="15"/>
  <c r="N57" i="15" s="1"/>
  <c r="H57" i="15"/>
  <c r="D57" i="15"/>
  <c r="B57" i="15"/>
  <c r="T56" i="15"/>
  <c r="P56" i="15"/>
  <c r="X56" i="15" s="1"/>
  <c r="N56" i="15"/>
  <c r="L56" i="15"/>
  <c r="H56" i="15"/>
  <c r="D56" i="15"/>
  <c r="B56" i="15"/>
  <c r="T55" i="15"/>
  <c r="Z55" i="15" s="1"/>
  <c r="P55" i="15"/>
  <c r="X55" i="15" s="1"/>
  <c r="L55" i="15"/>
  <c r="H55" i="15"/>
  <c r="N55" i="15" s="1"/>
  <c r="D55" i="15"/>
  <c r="B55" i="15"/>
  <c r="T54" i="15"/>
  <c r="P54" i="15"/>
  <c r="L54" i="15"/>
  <c r="H54" i="15"/>
  <c r="N54" i="15" s="1"/>
  <c r="D54" i="15"/>
  <c r="B54" i="15"/>
  <c r="T53" i="15"/>
  <c r="P53" i="15"/>
  <c r="L53" i="15"/>
  <c r="N53" i="15" s="1"/>
  <c r="H53" i="15"/>
  <c r="D53" i="15"/>
  <c r="B53" i="15"/>
  <c r="T52" i="15"/>
  <c r="P52" i="15"/>
  <c r="N52" i="15"/>
  <c r="L52" i="15"/>
  <c r="H52" i="15"/>
  <c r="D52" i="15"/>
  <c r="B52" i="15"/>
  <c r="T51" i="15"/>
  <c r="P51" i="15"/>
  <c r="L51" i="15"/>
  <c r="H51" i="15"/>
  <c r="N51" i="15" s="1"/>
  <c r="D51" i="15"/>
  <c r="B51" i="15"/>
  <c r="T50" i="15"/>
  <c r="P50" i="15"/>
  <c r="L50" i="15"/>
  <c r="H50" i="15"/>
  <c r="D50" i="15"/>
  <c r="B50" i="15"/>
  <c r="X49" i="15"/>
  <c r="T49" i="15"/>
  <c r="P49" i="15"/>
  <c r="L49" i="15"/>
  <c r="N49" i="15" s="1"/>
  <c r="H49" i="15"/>
  <c r="D49" i="15"/>
  <c r="B49" i="15"/>
  <c r="T48" i="15"/>
  <c r="P48" i="15"/>
  <c r="L48" i="15"/>
  <c r="N48" i="15" s="1"/>
  <c r="H48" i="15"/>
  <c r="D48" i="15"/>
  <c r="B48" i="15"/>
  <c r="T47" i="15"/>
  <c r="P47" i="15"/>
  <c r="L47" i="15"/>
  <c r="H47" i="15"/>
  <c r="D47" i="15"/>
  <c r="B47" i="15"/>
  <c r="T46" i="15"/>
  <c r="P46" i="15"/>
  <c r="H46" i="15"/>
  <c r="D46" i="15"/>
  <c r="B46" i="15"/>
  <c r="X45" i="15"/>
  <c r="T45" i="15"/>
  <c r="Z45" i="15" s="1"/>
  <c r="P45" i="15"/>
  <c r="L45" i="15"/>
  <c r="N45" i="15" s="1"/>
  <c r="H45" i="15"/>
  <c r="D45" i="15"/>
  <c r="B45" i="15"/>
  <c r="T44" i="15"/>
  <c r="Z44" i="15" s="1"/>
  <c r="P44" i="15"/>
  <c r="X44" i="15" s="1"/>
  <c r="L44" i="15"/>
  <c r="N44" i="15" s="1"/>
  <c r="H44" i="15"/>
  <c r="D44" i="15"/>
  <c r="B44" i="15"/>
  <c r="T43" i="15"/>
  <c r="P43" i="15"/>
  <c r="H43" i="15"/>
  <c r="D43" i="15"/>
  <c r="L43" i="15" s="1"/>
  <c r="B43" i="15"/>
  <c r="T42" i="15"/>
  <c r="P42" i="15"/>
  <c r="H42" i="15"/>
  <c r="D42" i="15"/>
  <c r="B42" i="15"/>
  <c r="X41" i="15"/>
  <c r="T41" i="15"/>
  <c r="P41" i="15"/>
  <c r="L41" i="15"/>
  <c r="N41" i="15" s="1"/>
  <c r="H41" i="15"/>
  <c r="D41" i="15"/>
  <c r="B41" i="15"/>
  <c r="T40" i="15"/>
  <c r="P40" i="15"/>
  <c r="X40" i="15" s="1"/>
  <c r="L40" i="15"/>
  <c r="N40" i="15" s="1"/>
  <c r="H40" i="15"/>
  <c r="D40" i="15"/>
  <c r="B40" i="15"/>
  <c r="T39" i="15"/>
  <c r="P39" i="15"/>
  <c r="X39" i="15" s="1"/>
  <c r="L39" i="15"/>
  <c r="H39" i="15"/>
  <c r="N39" i="15" s="1"/>
  <c r="D39" i="15"/>
  <c r="B39" i="15"/>
  <c r="T38" i="15"/>
  <c r="P38" i="15"/>
  <c r="L38" i="15"/>
  <c r="H38" i="15"/>
  <c r="D38" i="15"/>
  <c r="B38" i="15"/>
  <c r="T37" i="15"/>
  <c r="P37" i="15"/>
  <c r="L37" i="15"/>
  <c r="N37" i="15" s="1"/>
  <c r="H37" i="15"/>
  <c r="D37" i="15"/>
  <c r="B37" i="15"/>
  <c r="T36" i="15"/>
  <c r="P36" i="15"/>
  <c r="N36" i="15"/>
  <c r="L36" i="15"/>
  <c r="H36" i="15"/>
  <c r="D36" i="15"/>
  <c r="B36" i="15"/>
  <c r="T35" i="15"/>
  <c r="P35" i="15"/>
  <c r="L35" i="15"/>
  <c r="H35" i="15"/>
  <c r="N35" i="15" s="1"/>
  <c r="D35" i="15"/>
  <c r="B35" i="15"/>
  <c r="T34" i="15"/>
  <c r="P34" i="15"/>
  <c r="L34" i="15"/>
  <c r="H34" i="15"/>
  <c r="D34" i="15"/>
  <c r="B34" i="15"/>
  <c r="X33" i="15"/>
  <c r="T33" i="15"/>
  <c r="P33" i="15"/>
  <c r="L33" i="15"/>
  <c r="N33" i="15" s="1"/>
  <c r="H33" i="15"/>
  <c r="D33" i="15"/>
  <c r="B33" i="15"/>
  <c r="T32" i="15"/>
  <c r="P32" i="15"/>
  <c r="L32" i="15"/>
  <c r="N32" i="15" s="1"/>
  <c r="H32" i="15"/>
  <c r="D32" i="15"/>
  <c r="B32" i="15"/>
  <c r="T31" i="15"/>
  <c r="P31" i="15"/>
  <c r="L31" i="15"/>
  <c r="H31" i="15"/>
  <c r="D31" i="15"/>
  <c r="B31" i="15"/>
  <c r="T30" i="15"/>
  <c r="P30" i="15"/>
  <c r="H30" i="15"/>
  <c r="D30" i="15"/>
  <c r="B30" i="15"/>
  <c r="X29" i="15"/>
  <c r="T29" i="15"/>
  <c r="P29" i="15"/>
  <c r="L29" i="15"/>
  <c r="N29" i="15" s="1"/>
  <c r="H29" i="15"/>
  <c r="D29" i="15"/>
  <c r="B29" i="15"/>
  <c r="T28" i="15"/>
  <c r="Z28" i="15" s="1"/>
  <c r="P28" i="15"/>
  <c r="X28" i="15" s="1"/>
  <c r="L28" i="15"/>
  <c r="N28" i="15" s="1"/>
  <c r="H28" i="15"/>
  <c r="D28" i="15"/>
  <c r="B28" i="15"/>
  <c r="T27" i="15"/>
  <c r="P27" i="15"/>
  <c r="H27" i="15"/>
  <c r="D27" i="15"/>
  <c r="L27" i="15" s="1"/>
  <c r="B27" i="15"/>
  <c r="T26" i="15"/>
  <c r="P26" i="15"/>
  <c r="H26" i="15"/>
  <c r="D26" i="15"/>
  <c r="B26" i="15"/>
  <c r="X25" i="15"/>
  <c r="T25" i="15"/>
  <c r="P25" i="15"/>
  <c r="L25" i="15"/>
  <c r="N25" i="15" s="1"/>
  <c r="H25" i="15"/>
  <c r="D25" i="15"/>
  <c r="B25" i="15"/>
  <c r="T24" i="15"/>
  <c r="P24" i="15"/>
  <c r="X24" i="15" s="1"/>
  <c r="L24" i="15"/>
  <c r="N24" i="15" s="1"/>
  <c r="H24" i="15"/>
  <c r="D24" i="15"/>
  <c r="B24" i="15"/>
  <c r="T23" i="15"/>
  <c r="P23" i="15"/>
  <c r="X23" i="15" s="1"/>
  <c r="L23" i="15"/>
  <c r="H23" i="15"/>
  <c r="N23" i="15" s="1"/>
  <c r="D23" i="15"/>
  <c r="B23" i="15"/>
  <c r="T22" i="15"/>
  <c r="P22" i="15"/>
  <c r="L22" i="15"/>
  <c r="H22" i="15"/>
  <c r="D22" i="15"/>
  <c r="B22" i="15"/>
  <c r="T21" i="15"/>
  <c r="P21" i="15"/>
  <c r="L21" i="15"/>
  <c r="N21" i="15" s="1"/>
  <c r="H21" i="15"/>
  <c r="D21" i="15"/>
  <c r="B21" i="15"/>
  <c r="T20" i="15"/>
  <c r="P20" i="15"/>
  <c r="N20" i="15"/>
  <c r="L20" i="15"/>
  <c r="H20" i="15"/>
  <c r="D20" i="15"/>
  <c r="B20" i="15"/>
  <c r="T19" i="15"/>
  <c r="P19" i="15"/>
  <c r="L19" i="15"/>
  <c r="H19" i="15"/>
  <c r="N19" i="15" s="1"/>
  <c r="D19" i="15"/>
  <c r="B19" i="15"/>
  <c r="T18" i="15"/>
  <c r="P18" i="15"/>
  <c r="L18" i="15"/>
  <c r="H18" i="15"/>
  <c r="N18" i="15" s="1"/>
  <c r="D18" i="15"/>
  <c r="B18" i="15"/>
  <c r="X17" i="15"/>
  <c r="T17" i="15"/>
  <c r="P17" i="15"/>
  <c r="L17" i="15"/>
  <c r="N17" i="15" s="1"/>
  <c r="H17" i="15"/>
  <c r="D17" i="15"/>
  <c r="B17" i="15"/>
  <c r="T16" i="15"/>
  <c r="P16" i="15"/>
  <c r="L16" i="15"/>
  <c r="N16" i="15" s="1"/>
  <c r="H16" i="15"/>
  <c r="D16" i="15"/>
  <c r="B16" i="15"/>
  <c r="T15" i="15"/>
  <c r="P15" i="15"/>
  <c r="L15" i="15"/>
  <c r="H15" i="15"/>
  <c r="D15" i="15"/>
  <c r="B15" i="15"/>
  <c r="T14" i="15"/>
  <c r="P14" i="15"/>
  <c r="H14" i="15"/>
  <c r="D14" i="15"/>
  <c r="B14" i="15"/>
  <c r="X13" i="15"/>
  <c r="T13" i="15"/>
  <c r="P13" i="15"/>
  <c r="L13" i="15"/>
  <c r="N13" i="15" s="1"/>
  <c r="H13" i="15"/>
  <c r="D13" i="15"/>
  <c r="B13" i="15"/>
  <c r="D4" i="15"/>
  <c r="Z283" i="12"/>
  <c r="X283" i="12"/>
  <c r="R283" i="12"/>
  <c r="L283" i="12"/>
  <c r="N283" i="12" s="1"/>
  <c r="T279" i="12"/>
  <c r="P279" i="12"/>
  <c r="L279" i="12"/>
  <c r="H279" i="12"/>
  <c r="N279" i="12" s="1"/>
  <c r="D279" i="12"/>
  <c r="B279" i="12"/>
  <c r="Z278" i="12"/>
  <c r="T278" i="12"/>
  <c r="X278" i="12" s="1"/>
  <c r="P278" i="12"/>
  <c r="H278" i="12"/>
  <c r="D278" i="12"/>
  <c r="B278" i="12"/>
  <c r="T277" i="12"/>
  <c r="P277" i="12"/>
  <c r="X277" i="12" s="1"/>
  <c r="N277" i="12"/>
  <c r="H277" i="12"/>
  <c r="D277" i="12"/>
  <c r="L277" i="12" s="1"/>
  <c r="B277" i="12"/>
  <c r="Z276" i="12"/>
  <c r="X276" i="12"/>
  <c r="T276" i="12"/>
  <c r="P276" i="12"/>
  <c r="L276" i="12"/>
  <c r="N276" i="12" s="1"/>
  <c r="H276" i="12"/>
  <c r="D276" i="12"/>
  <c r="B276" i="12"/>
  <c r="T275" i="12"/>
  <c r="P275" i="12"/>
  <c r="X275" i="12" s="1"/>
  <c r="H275" i="12"/>
  <c r="D275" i="12"/>
  <c r="L275" i="12" s="1"/>
  <c r="N275" i="12" s="1"/>
  <c r="B275" i="12"/>
  <c r="Z274" i="12"/>
  <c r="T274" i="12"/>
  <c r="P274" i="12"/>
  <c r="X274" i="12" s="1"/>
  <c r="L274" i="12"/>
  <c r="H274" i="12"/>
  <c r="N274" i="12" s="1"/>
  <c r="D274" i="12"/>
  <c r="B274" i="12"/>
  <c r="T273" i="12"/>
  <c r="P273" i="12"/>
  <c r="H273" i="12"/>
  <c r="N273" i="12" s="1"/>
  <c r="D273" i="12"/>
  <c r="L273" i="12" s="1"/>
  <c r="B273" i="12"/>
  <c r="T272" i="12"/>
  <c r="P272" i="12"/>
  <c r="X272" i="12" s="1"/>
  <c r="Z272" i="12" s="1"/>
  <c r="N272" i="12"/>
  <c r="H272" i="12"/>
  <c r="L272" i="12" s="1"/>
  <c r="D272" i="12"/>
  <c r="B272" i="12"/>
  <c r="X271" i="12"/>
  <c r="Z271" i="12" s="1"/>
  <c r="T271" i="12"/>
  <c r="R271" i="12"/>
  <c r="P271" i="12"/>
  <c r="L271" i="12"/>
  <c r="H271" i="12"/>
  <c r="D271" i="12"/>
  <c r="B271" i="12"/>
  <c r="Z268" i="12"/>
  <c r="X268" i="12"/>
  <c r="N268" i="12"/>
  <c r="L268" i="12"/>
  <c r="B268" i="12"/>
  <c r="T267" i="12"/>
  <c r="P267" i="12"/>
  <c r="N267" i="12"/>
  <c r="L267" i="12"/>
  <c r="H267" i="12"/>
  <c r="D267" i="12"/>
  <c r="B267" i="12"/>
  <c r="Z266" i="12"/>
  <c r="X266" i="12"/>
  <c r="L266" i="12"/>
  <c r="N266" i="12" s="1"/>
  <c r="B266" i="12"/>
  <c r="Z265" i="12"/>
  <c r="X265" i="12"/>
  <c r="N265" i="12"/>
  <c r="L265" i="12"/>
  <c r="B265" i="12"/>
  <c r="Z264" i="12"/>
  <c r="X264" i="12"/>
  <c r="R264" i="12"/>
  <c r="N264" i="12"/>
  <c r="L264" i="12"/>
  <c r="B264" i="12"/>
  <c r="T263" i="12"/>
  <c r="P263" i="12"/>
  <c r="H263" i="12"/>
  <c r="D263" i="12"/>
  <c r="L263" i="12" s="1"/>
  <c r="N263" i="12" s="1"/>
  <c r="B263" i="12"/>
  <c r="X262" i="12"/>
  <c r="Z262" i="12" s="1"/>
  <c r="L262" i="12"/>
  <c r="N262" i="12" s="1"/>
  <c r="B262" i="12"/>
  <c r="T261" i="12"/>
  <c r="R261" i="12"/>
  <c r="P261" i="12"/>
  <c r="X261" i="12" s="1"/>
  <c r="Z261" i="12" s="1"/>
  <c r="L261" i="12"/>
  <c r="H261" i="12"/>
  <c r="D261" i="12"/>
  <c r="B261" i="12"/>
  <c r="Z260" i="12"/>
  <c r="X260" i="12"/>
  <c r="N260" i="12"/>
  <c r="L260" i="12"/>
  <c r="B260" i="12"/>
  <c r="X259" i="12"/>
  <c r="Z259" i="12" s="1"/>
  <c r="N259" i="12"/>
  <c r="L259" i="12"/>
  <c r="B259" i="12"/>
  <c r="X258" i="12"/>
  <c r="Z258" i="12" s="1"/>
  <c r="T258" i="12"/>
  <c r="P258" i="12"/>
  <c r="H258" i="12"/>
  <c r="D258" i="12"/>
  <c r="B258" i="12"/>
  <c r="X257" i="12"/>
  <c r="Z257" i="12" s="1"/>
  <c r="N257" i="12"/>
  <c r="L257" i="12"/>
  <c r="B257" i="12"/>
  <c r="X256" i="12"/>
  <c r="Z256" i="12" s="1"/>
  <c r="N256" i="12"/>
  <c r="L256" i="12"/>
  <c r="B256" i="12"/>
  <c r="Z255" i="12"/>
  <c r="X255" i="12"/>
  <c r="N255" i="12"/>
  <c r="L255" i="12"/>
  <c r="B255" i="12"/>
  <c r="Z254" i="12"/>
  <c r="X254" i="12"/>
  <c r="L254" i="12"/>
  <c r="N254" i="12" s="1"/>
  <c r="B254" i="12"/>
  <c r="X253" i="12"/>
  <c r="Z253" i="12" s="1"/>
  <c r="L253" i="12"/>
  <c r="N253" i="12" s="1"/>
  <c r="B253" i="12"/>
  <c r="Z252" i="12"/>
  <c r="X252" i="12"/>
  <c r="N252" i="12"/>
  <c r="L252" i="12"/>
  <c r="B252" i="12"/>
  <c r="Z251" i="12"/>
  <c r="X251" i="12"/>
  <c r="L251" i="12"/>
  <c r="N251" i="12" s="1"/>
  <c r="B251" i="12"/>
  <c r="Z250" i="12"/>
  <c r="X250" i="12"/>
  <c r="R250" i="12"/>
  <c r="N250" i="12"/>
  <c r="L250" i="12"/>
  <c r="B250" i="12"/>
  <c r="X249" i="12"/>
  <c r="Z249" i="12" s="1"/>
  <c r="N249" i="12"/>
  <c r="L249" i="12"/>
  <c r="B249" i="12"/>
  <c r="Z248" i="12"/>
  <c r="X248" i="12"/>
  <c r="T248" i="12"/>
  <c r="P248" i="12"/>
  <c r="H248" i="12"/>
  <c r="D248" i="12"/>
  <c r="B248" i="12"/>
  <c r="Z247" i="12"/>
  <c r="X247" i="12"/>
  <c r="L247" i="12"/>
  <c r="N247" i="12" s="1"/>
  <c r="B247" i="12"/>
  <c r="X246" i="12"/>
  <c r="Z246" i="12" s="1"/>
  <c r="N246" i="12"/>
  <c r="L246" i="12"/>
  <c r="B246" i="12"/>
  <c r="X245" i="12"/>
  <c r="Z245" i="12" s="1"/>
  <c r="T245" i="12"/>
  <c r="P245" i="12"/>
  <c r="N245" i="12"/>
  <c r="H245" i="12"/>
  <c r="D245" i="12"/>
  <c r="L245" i="12" s="1"/>
  <c r="B245" i="12"/>
  <c r="X244" i="12"/>
  <c r="Z244" i="12" s="1"/>
  <c r="N244" i="12"/>
  <c r="L244" i="12"/>
  <c r="B244" i="12"/>
  <c r="X243" i="12"/>
  <c r="Z243" i="12" s="1"/>
  <c r="N243" i="12"/>
  <c r="L243" i="12"/>
  <c r="B243" i="12"/>
  <c r="X242" i="12"/>
  <c r="Z242" i="12" s="1"/>
  <c r="L242" i="12"/>
  <c r="N242" i="12" s="1"/>
  <c r="B242" i="12"/>
  <c r="X241" i="12"/>
  <c r="Z241" i="12" s="1"/>
  <c r="L241" i="12"/>
  <c r="N241" i="12" s="1"/>
  <c r="B241" i="12"/>
  <c r="Z240" i="12"/>
  <c r="X240" i="12"/>
  <c r="N240" i="12"/>
  <c r="L240" i="12"/>
  <c r="B240" i="12"/>
  <c r="T239" i="12"/>
  <c r="P239" i="12"/>
  <c r="H239" i="12"/>
  <c r="D239" i="12"/>
  <c r="L239" i="12" s="1"/>
  <c r="N239" i="12" s="1"/>
  <c r="B239" i="12"/>
  <c r="X238" i="12"/>
  <c r="Z238" i="12" s="1"/>
  <c r="L238" i="12"/>
  <c r="N238" i="12" s="1"/>
  <c r="B238" i="12"/>
  <c r="X237" i="12"/>
  <c r="Z237" i="12" s="1"/>
  <c r="N237" i="12"/>
  <c r="L237" i="12"/>
  <c r="B237" i="12"/>
  <c r="X236" i="12"/>
  <c r="Z236" i="12" s="1"/>
  <c r="N236" i="12"/>
  <c r="L236" i="12"/>
  <c r="B236" i="12"/>
  <c r="T235" i="12"/>
  <c r="P235" i="12"/>
  <c r="X235" i="12" s="1"/>
  <c r="N235" i="12"/>
  <c r="L235" i="12"/>
  <c r="H235" i="12"/>
  <c r="D235" i="12"/>
  <c r="B235" i="12"/>
  <c r="X234" i="12"/>
  <c r="Z234" i="12" s="1"/>
  <c r="N234" i="12"/>
  <c r="L234" i="12"/>
  <c r="B234" i="12"/>
  <c r="Z233" i="12"/>
  <c r="X233" i="12"/>
  <c r="L233" i="12"/>
  <c r="N233" i="12" s="1"/>
  <c r="B233" i="12"/>
  <c r="X232" i="12"/>
  <c r="Z232" i="12" s="1"/>
  <c r="N232" i="12"/>
  <c r="L232" i="12"/>
  <c r="B232" i="12"/>
  <c r="X231" i="12"/>
  <c r="Z231" i="12" s="1"/>
  <c r="N231" i="12"/>
  <c r="L231" i="12"/>
  <c r="B231" i="12"/>
  <c r="T230" i="12"/>
  <c r="P230" i="12"/>
  <c r="X230" i="12" s="1"/>
  <c r="Z230" i="12" s="1"/>
  <c r="L230" i="12"/>
  <c r="H230" i="12"/>
  <c r="N230" i="12" s="1"/>
  <c r="D230" i="12"/>
  <c r="B230" i="12"/>
  <c r="X229" i="12"/>
  <c r="Z229" i="12" s="1"/>
  <c r="N229" i="12"/>
  <c r="L229" i="12"/>
  <c r="B229" i="12"/>
  <c r="T228" i="12"/>
  <c r="P228" i="12"/>
  <c r="X228" i="12" s="1"/>
  <c r="H228" i="12"/>
  <c r="D228" i="12"/>
  <c r="B228" i="12"/>
  <c r="X227" i="12"/>
  <c r="Z227" i="12" s="1"/>
  <c r="N227" i="12"/>
  <c r="L227" i="12"/>
  <c r="B227" i="12"/>
  <c r="T226" i="12"/>
  <c r="P226" i="12"/>
  <c r="X226" i="12" s="1"/>
  <c r="Z226" i="12" s="1"/>
  <c r="H226" i="12"/>
  <c r="N226" i="12" s="1"/>
  <c r="D226" i="12"/>
  <c r="B226" i="12"/>
  <c r="Z225" i="12"/>
  <c r="X225" i="12"/>
  <c r="L225" i="12"/>
  <c r="N225" i="12" s="1"/>
  <c r="B225" i="12"/>
  <c r="X224" i="12"/>
  <c r="T224" i="12"/>
  <c r="P224" i="12"/>
  <c r="H224" i="12"/>
  <c r="D224" i="12"/>
  <c r="L224" i="12" s="1"/>
  <c r="N224" i="12" s="1"/>
  <c r="B224" i="12"/>
  <c r="Z223" i="12"/>
  <c r="X223" i="12"/>
  <c r="L223" i="12"/>
  <c r="N223" i="12" s="1"/>
  <c r="B223" i="12"/>
  <c r="X222" i="12"/>
  <c r="T222" i="12"/>
  <c r="P222" i="12"/>
  <c r="H222" i="12"/>
  <c r="N222" i="12" s="1"/>
  <c r="D222" i="12"/>
  <c r="L222" i="12" s="1"/>
  <c r="B222" i="12"/>
  <c r="Z221" i="12"/>
  <c r="X221" i="12"/>
  <c r="N221" i="12"/>
  <c r="L221" i="12"/>
  <c r="B221" i="12"/>
  <c r="T220" i="12"/>
  <c r="P220" i="12"/>
  <c r="H220" i="12"/>
  <c r="D220" i="12"/>
  <c r="L220" i="12" s="1"/>
  <c r="N220" i="12" s="1"/>
  <c r="B220" i="12"/>
  <c r="X219" i="12"/>
  <c r="Z219" i="12" s="1"/>
  <c r="N219" i="12"/>
  <c r="L219" i="12"/>
  <c r="B219" i="12"/>
  <c r="T218" i="12"/>
  <c r="P218" i="12"/>
  <c r="X218" i="12" s="1"/>
  <c r="Z218" i="12" s="1"/>
  <c r="L218" i="12"/>
  <c r="H218" i="12"/>
  <c r="D218" i="12"/>
  <c r="B218" i="12"/>
  <c r="X217" i="12"/>
  <c r="Z217" i="12" s="1"/>
  <c r="N217" i="12"/>
  <c r="L217" i="12"/>
  <c r="B217" i="12"/>
  <c r="Z216" i="12"/>
  <c r="X216" i="12"/>
  <c r="N216" i="12"/>
  <c r="L216" i="12"/>
  <c r="B216" i="12"/>
  <c r="Z215" i="12"/>
  <c r="X215" i="12"/>
  <c r="T215" i="12"/>
  <c r="P215" i="12"/>
  <c r="L215" i="12"/>
  <c r="N215" i="12" s="1"/>
  <c r="H215" i="12"/>
  <c r="D215" i="12"/>
  <c r="B215" i="12"/>
  <c r="Z214" i="12"/>
  <c r="X214" i="12"/>
  <c r="L214" i="12"/>
  <c r="N214" i="12" s="1"/>
  <c r="B214" i="12"/>
  <c r="T213" i="12"/>
  <c r="P213" i="12"/>
  <c r="X213" i="12" s="1"/>
  <c r="Z213" i="12" s="1"/>
  <c r="H213" i="12"/>
  <c r="D213" i="12"/>
  <c r="B213" i="12"/>
  <c r="X212" i="12"/>
  <c r="Z212" i="12" s="1"/>
  <c r="N212" i="12"/>
  <c r="L212" i="12"/>
  <c r="B212" i="12"/>
  <c r="T211" i="12"/>
  <c r="P211" i="12"/>
  <c r="X211" i="12" s="1"/>
  <c r="Z211" i="12" s="1"/>
  <c r="H211" i="12"/>
  <c r="D211" i="12"/>
  <c r="L211" i="12" s="1"/>
  <c r="N211" i="12" s="1"/>
  <c r="B211" i="12"/>
  <c r="X210" i="12"/>
  <c r="Z210" i="12" s="1"/>
  <c r="N210" i="12"/>
  <c r="L210" i="12"/>
  <c r="B210" i="12"/>
  <c r="X209" i="12"/>
  <c r="Z209" i="12" s="1"/>
  <c r="T209" i="12"/>
  <c r="P209" i="12"/>
  <c r="N209" i="12"/>
  <c r="L209" i="12"/>
  <c r="H209" i="12"/>
  <c r="D209" i="12"/>
  <c r="B209" i="12"/>
  <c r="Z208" i="12"/>
  <c r="X208" i="12"/>
  <c r="L208" i="12"/>
  <c r="N208" i="12" s="1"/>
  <c r="B208" i="12"/>
  <c r="X207" i="12"/>
  <c r="Z207" i="12" s="1"/>
  <c r="L207" i="12"/>
  <c r="N207" i="12" s="1"/>
  <c r="B207" i="12"/>
  <c r="T206" i="12"/>
  <c r="P206" i="12"/>
  <c r="X206" i="12" s="1"/>
  <c r="Z206" i="12" s="1"/>
  <c r="H206" i="12"/>
  <c r="D206" i="12"/>
  <c r="L206" i="12" s="1"/>
  <c r="B206" i="12"/>
  <c r="Z205" i="12"/>
  <c r="X205" i="12"/>
  <c r="L205" i="12"/>
  <c r="N205" i="12" s="1"/>
  <c r="B205" i="12"/>
  <c r="X204" i="12"/>
  <c r="Z204" i="12" s="1"/>
  <c r="N204" i="12"/>
  <c r="L204" i="12"/>
  <c r="B204" i="12"/>
  <c r="T203" i="12"/>
  <c r="R203" i="12"/>
  <c r="P203" i="12"/>
  <c r="X203" i="12" s="1"/>
  <c r="Z203" i="12" s="1"/>
  <c r="H203" i="12"/>
  <c r="D203" i="12"/>
  <c r="L203" i="12" s="1"/>
  <c r="N203" i="12" s="1"/>
  <c r="B203" i="12"/>
  <c r="X202" i="12"/>
  <c r="Z202" i="12" s="1"/>
  <c r="N202" i="12"/>
  <c r="L202" i="12"/>
  <c r="B202" i="12"/>
  <c r="X201" i="12"/>
  <c r="Z201" i="12" s="1"/>
  <c r="T201" i="12"/>
  <c r="R201" i="12"/>
  <c r="P201" i="12"/>
  <c r="N201" i="12"/>
  <c r="L201" i="12"/>
  <c r="H201" i="12"/>
  <c r="D201" i="12"/>
  <c r="B201" i="12"/>
  <c r="Z200" i="12"/>
  <c r="X200" i="12"/>
  <c r="N200" i="12"/>
  <c r="L200" i="12"/>
  <c r="B200" i="12"/>
  <c r="X199" i="12"/>
  <c r="Z199" i="12" s="1"/>
  <c r="L199" i="12"/>
  <c r="N199" i="12" s="1"/>
  <c r="B199" i="12"/>
  <c r="T198" i="12"/>
  <c r="P198" i="12"/>
  <c r="X198" i="12" s="1"/>
  <c r="Z198" i="12" s="1"/>
  <c r="H198" i="12"/>
  <c r="D198" i="12"/>
  <c r="B198" i="12"/>
  <c r="Z197" i="12"/>
  <c r="X197" i="12"/>
  <c r="L197" i="12"/>
  <c r="N197" i="12" s="1"/>
  <c r="B197" i="12"/>
  <c r="X196" i="12"/>
  <c r="T196" i="12"/>
  <c r="P196" i="12"/>
  <c r="H196" i="12"/>
  <c r="D196" i="12"/>
  <c r="L196" i="12" s="1"/>
  <c r="N196" i="12" s="1"/>
  <c r="B196" i="12"/>
  <c r="Z195" i="12"/>
  <c r="X195" i="12"/>
  <c r="L195" i="12"/>
  <c r="N195" i="12" s="1"/>
  <c r="B195" i="12"/>
  <c r="X194" i="12"/>
  <c r="Z194" i="12" s="1"/>
  <c r="N194" i="12"/>
  <c r="L194" i="12"/>
  <c r="B194" i="12"/>
  <c r="X193" i="12"/>
  <c r="Z193" i="12" s="1"/>
  <c r="N193" i="12"/>
  <c r="L193" i="12"/>
  <c r="B193" i="12"/>
  <c r="Z192" i="12"/>
  <c r="X192" i="12"/>
  <c r="N192" i="12"/>
  <c r="L192" i="12"/>
  <c r="B192" i="12"/>
  <c r="Z191" i="12"/>
  <c r="X191" i="12"/>
  <c r="L191" i="12"/>
  <c r="N191" i="12" s="1"/>
  <c r="B191" i="12"/>
  <c r="X190" i="12"/>
  <c r="Z190" i="12" s="1"/>
  <c r="N190" i="12"/>
  <c r="L190" i="12"/>
  <c r="B190" i="12"/>
  <c r="X189" i="12"/>
  <c r="Z189" i="12" s="1"/>
  <c r="N189" i="12"/>
  <c r="L189" i="12"/>
  <c r="B189" i="12"/>
  <c r="T188" i="12"/>
  <c r="P188" i="12"/>
  <c r="X188" i="12" s="1"/>
  <c r="H188" i="12"/>
  <c r="D188" i="12"/>
  <c r="B188" i="12"/>
  <c r="X187" i="12"/>
  <c r="Z187" i="12" s="1"/>
  <c r="L187" i="12"/>
  <c r="N187" i="12" s="1"/>
  <c r="B187" i="12"/>
  <c r="Z186" i="12"/>
  <c r="X186" i="12"/>
  <c r="L186" i="12"/>
  <c r="N186" i="12" s="1"/>
  <c r="B186" i="12"/>
  <c r="Z185" i="12"/>
  <c r="X185" i="12"/>
  <c r="N185" i="12"/>
  <c r="L185" i="12"/>
  <c r="B185" i="12"/>
  <c r="Z184" i="12"/>
  <c r="X184" i="12"/>
  <c r="L184" i="12"/>
  <c r="N184" i="12" s="1"/>
  <c r="B184" i="12"/>
  <c r="X183" i="12"/>
  <c r="Z183" i="12" s="1"/>
  <c r="L183" i="12"/>
  <c r="N183" i="12" s="1"/>
  <c r="B183" i="12"/>
  <c r="Z182" i="12"/>
  <c r="X182" i="12"/>
  <c r="L182" i="12"/>
  <c r="N182" i="12" s="1"/>
  <c r="B182" i="12"/>
  <c r="Z181" i="12"/>
  <c r="X181" i="12"/>
  <c r="N181" i="12"/>
  <c r="L181" i="12"/>
  <c r="B181" i="12"/>
  <c r="Z180" i="12"/>
  <c r="X180" i="12"/>
  <c r="L180" i="12"/>
  <c r="N180" i="12" s="1"/>
  <c r="B180" i="12"/>
  <c r="X179" i="12"/>
  <c r="Z179" i="12" s="1"/>
  <c r="L179" i="12"/>
  <c r="N179" i="12" s="1"/>
  <c r="B179" i="12"/>
  <c r="T178" i="12"/>
  <c r="P178" i="12"/>
  <c r="X178" i="12" s="1"/>
  <c r="Z178" i="12" s="1"/>
  <c r="H178" i="12"/>
  <c r="D178" i="12"/>
  <c r="L178" i="12" s="1"/>
  <c r="B178" i="12"/>
  <c r="T177" i="12"/>
  <c r="P177" i="12"/>
  <c r="X177" i="12" s="1"/>
  <c r="H177" i="12"/>
  <c r="D177" i="12"/>
  <c r="L177" i="12" s="1"/>
  <c r="N177" i="12" s="1"/>
  <c r="Z173" i="12"/>
  <c r="X173" i="12"/>
  <c r="L173" i="12"/>
  <c r="N173" i="12" s="1"/>
  <c r="B173" i="12"/>
  <c r="X172" i="12"/>
  <c r="Z172" i="12" s="1"/>
  <c r="N172" i="12"/>
  <c r="L172" i="12"/>
  <c r="B172" i="12"/>
  <c r="X171" i="12"/>
  <c r="Z171" i="12" s="1"/>
  <c r="N171" i="12"/>
  <c r="L171" i="12"/>
  <c r="B171" i="12"/>
  <c r="X170" i="12"/>
  <c r="Z170" i="12" s="1"/>
  <c r="N170" i="12"/>
  <c r="L170" i="12"/>
  <c r="B170" i="12"/>
  <c r="Z169" i="12"/>
  <c r="X169" i="12"/>
  <c r="L169" i="12"/>
  <c r="N169" i="12" s="1"/>
  <c r="B169" i="12"/>
  <c r="X168" i="12"/>
  <c r="Z168" i="12" s="1"/>
  <c r="N168" i="12"/>
  <c r="L168" i="12"/>
  <c r="B168" i="12"/>
  <c r="X167" i="12"/>
  <c r="Z167" i="12" s="1"/>
  <c r="N167" i="12"/>
  <c r="L167" i="12"/>
  <c r="B167" i="12"/>
  <c r="X166" i="12"/>
  <c r="Z166" i="12" s="1"/>
  <c r="L166" i="12"/>
  <c r="N166" i="12" s="1"/>
  <c r="B166" i="12"/>
  <c r="Z165" i="12"/>
  <c r="X165" i="12"/>
  <c r="L165" i="12"/>
  <c r="N165" i="12" s="1"/>
  <c r="B165" i="12"/>
  <c r="X164" i="12"/>
  <c r="Z164" i="12" s="1"/>
  <c r="N164" i="12"/>
  <c r="L164" i="12"/>
  <c r="B164" i="12"/>
  <c r="X163" i="12"/>
  <c r="Z163" i="12" s="1"/>
  <c r="N163" i="12"/>
  <c r="L163" i="12"/>
  <c r="B163" i="12"/>
  <c r="Z162" i="12"/>
  <c r="X162" i="12"/>
  <c r="N162" i="12"/>
  <c r="L162" i="12"/>
  <c r="B162" i="12"/>
  <c r="Z161" i="12"/>
  <c r="X161" i="12"/>
  <c r="N161" i="12"/>
  <c r="L161" i="12"/>
  <c r="B161" i="12"/>
  <c r="X160" i="12"/>
  <c r="Z160" i="12" s="1"/>
  <c r="N160" i="12"/>
  <c r="L160" i="12"/>
  <c r="B160" i="12"/>
  <c r="X159" i="12"/>
  <c r="Z159" i="12" s="1"/>
  <c r="N159" i="12"/>
  <c r="L159" i="12"/>
  <c r="B159" i="12"/>
  <c r="X158" i="12"/>
  <c r="Z158" i="12" s="1"/>
  <c r="L158" i="12"/>
  <c r="N158" i="12" s="1"/>
  <c r="B158" i="12"/>
  <c r="Z157" i="12"/>
  <c r="X157" i="12"/>
  <c r="L157" i="12"/>
  <c r="N157" i="12" s="1"/>
  <c r="B157" i="12"/>
  <c r="X156" i="12"/>
  <c r="Z156" i="12" s="1"/>
  <c r="N156" i="12"/>
  <c r="L156" i="12"/>
  <c r="B156" i="12"/>
  <c r="X155" i="12"/>
  <c r="Z155" i="12" s="1"/>
  <c r="N155" i="12"/>
  <c r="L155" i="12"/>
  <c r="B155" i="12"/>
  <c r="Z154" i="12"/>
  <c r="X154" i="12"/>
  <c r="N154" i="12"/>
  <c r="L154" i="12"/>
  <c r="B154" i="12"/>
  <c r="Z153" i="12"/>
  <c r="X153" i="12"/>
  <c r="L153" i="12"/>
  <c r="N153" i="12" s="1"/>
  <c r="B153" i="12"/>
  <c r="X152" i="12"/>
  <c r="Z152" i="12" s="1"/>
  <c r="N152" i="12"/>
  <c r="L152" i="12"/>
  <c r="B152" i="12"/>
  <c r="X151" i="12"/>
  <c r="Z151" i="12" s="1"/>
  <c r="N151" i="12"/>
  <c r="L151" i="12"/>
  <c r="B151" i="12"/>
  <c r="X150" i="12"/>
  <c r="Z150" i="12" s="1"/>
  <c r="N150" i="12"/>
  <c r="L150" i="12"/>
  <c r="B150" i="12"/>
  <c r="Z149" i="12"/>
  <c r="X149" i="12"/>
  <c r="L149" i="12"/>
  <c r="N149" i="12" s="1"/>
  <c r="B149" i="12"/>
  <c r="X148" i="12"/>
  <c r="Z148" i="12" s="1"/>
  <c r="N148" i="12"/>
  <c r="L148" i="12"/>
  <c r="B148" i="12"/>
  <c r="X147" i="12"/>
  <c r="Z147" i="12" s="1"/>
  <c r="N147" i="12"/>
  <c r="L147" i="12"/>
  <c r="B147" i="12"/>
  <c r="X146" i="12"/>
  <c r="Z146" i="12" s="1"/>
  <c r="L146" i="12"/>
  <c r="N146" i="12" s="1"/>
  <c r="B146" i="12"/>
  <c r="Z145" i="12"/>
  <c r="X145" i="12"/>
  <c r="L145" i="12"/>
  <c r="N145" i="12" s="1"/>
  <c r="B145" i="12"/>
  <c r="X144" i="12"/>
  <c r="Z144" i="12" s="1"/>
  <c r="N144" i="12"/>
  <c r="L144" i="12"/>
  <c r="B144" i="12"/>
  <c r="X143" i="12"/>
  <c r="Z143" i="12" s="1"/>
  <c r="N143" i="12"/>
  <c r="L143" i="12"/>
  <c r="B143" i="12"/>
  <c r="X142" i="12"/>
  <c r="Z142" i="12" s="1"/>
  <c r="L142" i="12"/>
  <c r="N142" i="12" s="1"/>
  <c r="B142" i="12"/>
  <c r="Z141" i="12"/>
  <c r="X141" i="12"/>
  <c r="L141" i="12"/>
  <c r="N141" i="12" s="1"/>
  <c r="B141" i="12"/>
  <c r="X140" i="12"/>
  <c r="Z140" i="12" s="1"/>
  <c r="N140" i="12"/>
  <c r="L140" i="12"/>
  <c r="B140" i="12"/>
  <c r="X139" i="12"/>
  <c r="Z139" i="12" s="1"/>
  <c r="N139" i="12"/>
  <c r="L139" i="12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X136" i="12"/>
  <c r="Z136" i="12" s="1"/>
  <c r="L136" i="12"/>
  <c r="N136" i="12" s="1"/>
  <c r="B136" i="12"/>
  <c r="X135" i="12"/>
  <c r="Z135" i="12" s="1"/>
  <c r="N135" i="12"/>
  <c r="L135" i="12"/>
  <c r="B135" i="12"/>
  <c r="X134" i="12"/>
  <c r="Z134" i="12" s="1"/>
  <c r="L134" i="12"/>
  <c r="N134" i="12" s="1"/>
  <c r="B134" i="12"/>
  <c r="Z133" i="12"/>
  <c r="X133" i="12"/>
  <c r="L133" i="12"/>
  <c r="N133" i="12" s="1"/>
  <c r="B133" i="12"/>
  <c r="X132" i="12"/>
  <c r="Z132" i="12" s="1"/>
  <c r="L132" i="12"/>
  <c r="N132" i="12" s="1"/>
  <c r="B132" i="12"/>
  <c r="X131" i="12"/>
  <c r="Z131" i="12" s="1"/>
  <c r="N131" i="12"/>
  <c r="L131" i="12"/>
  <c r="B131" i="12"/>
  <c r="X130" i="12"/>
  <c r="Z130" i="12" s="1"/>
  <c r="L130" i="12"/>
  <c r="N130" i="12" s="1"/>
  <c r="B130" i="12"/>
  <c r="Z129" i="12"/>
  <c r="X129" i="12"/>
  <c r="N129" i="12"/>
  <c r="L129" i="12"/>
  <c r="B129" i="12"/>
  <c r="X128" i="12"/>
  <c r="Z128" i="12" s="1"/>
  <c r="L128" i="12"/>
  <c r="N128" i="12" s="1"/>
  <c r="B128" i="12"/>
  <c r="X127" i="12"/>
  <c r="Z127" i="12" s="1"/>
  <c r="N127" i="12"/>
  <c r="L127" i="12"/>
  <c r="B127" i="12"/>
  <c r="X126" i="12"/>
  <c r="Z126" i="12" s="1"/>
  <c r="L126" i="12"/>
  <c r="N126" i="12" s="1"/>
  <c r="B126" i="12"/>
  <c r="Z125" i="12"/>
  <c r="X125" i="12"/>
  <c r="L125" i="12"/>
  <c r="N125" i="12" s="1"/>
  <c r="B125" i="12"/>
  <c r="X124" i="12"/>
  <c r="Z124" i="12" s="1"/>
  <c r="N124" i="12"/>
  <c r="L124" i="12"/>
  <c r="B124" i="12"/>
  <c r="X123" i="12"/>
  <c r="Z123" i="12" s="1"/>
  <c r="N123" i="12"/>
  <c r="L123" i="12"/>
  <c r="B123" i="12"/>
  <c r="X122" i="12"/>
  <c r="Z122" i="12" s="1"/>
  <c r="L122" i="12"/>
  <c r="N122" i="12" s="1"/>
  <c r="B122" i="12"/>
  <c r="Z121" i="12"/>
  <c r="X121" i="12"/>
  <c r="N121" i="12"/>
  <c r="L121" i="12"/>
  <c r="B121" i="12"/>
  <c r="X120" i="12"/>
  <c r="T120" i="12"/>
  <c r="Z120" i="12" s="1"/>
  <c r="P120" i="12"/>
  <c r="H120" i="12"/>
  <c r="D120" i="12"/>
  <c r="L120" i="12" s="1"/>
  <c r="N120" i="12" s="1"/>
  <c r="X118" i="12"/>
  <c r="T118" i="12"/>
  <c r="Z118" i="12" s="1"/>
  <c r="P118" i="12"/>
  <c r="H118" i="12"/>
  <c r="N118" i="12" s="1"/>
  <c r="D118" i="12"/>
  <c r="L118" i="12" s="1"/>
  <c r="B118" i="12"/>
  <c r="T117" i="12"/>
  <c r="P117" i="12"/>
  <c r="N117" i="12"/>
  <c r="L117" i="12"/>
  <c r="H117" i="12"/>
  <c r="D117" i="12"/>
  <c r="B117" i="12"/>
  <c r="T116" i="12"/>
  <c r="P116" i="12"/>
  <c r="N116" i="12"/>
  <c r="L116" i="12"/>
  <c r="H116" i="12"/>
  <c r="D116" i="12"/>
  <c r="B116" i="12"/>
  <c r="T115" i="12"/>
  <c r="P115" i="12"/>
  <c r="X115" i="12" s="1"/>
  <c r="Z115" i="12" s="1"/>
  <c r="L115" i="12"/>
  <c r="N115" i="12" s="1"/>
  <c r="H115" i="12"/>
  <c r="D115" i="12"/>
  <c r="B115" i="12"/>
  <c r="X114" i="12"/>
  <c r="T114" i="12"/>
  <c r="P114" i="12"/>
  <c r="H114" i="12"/>
  <c r="N114" i="12" s="1"/>
  <c r="D114" i="12"/>
  <c r="L114" i="12" s="1"/>
  <c r="B114" i="12"/>
  <c r="T113" i="12"/>
  <c r="P113" i="12"/>
  <c r="N113" i="12"/>
  <c r="L113" i="12"/>
  <c r="H113" i="12"/>
  <c r="D113" i="12"/>
  <c r="B113" i="12"/>
  <c r="T112" i="12"/>
  <c r="P112" i="12"/>
  <c r="N112" i="12"/>
  <c r="H112" i="12"/>
  <c r="D112" i="12"/>
  <c r="L112" i="12" s="1"/>
  <c r="B112" i="12"/>
  <c r="T111" i="12"/>
  <c r="P111" i="12"/>
  <c r="X111" i="12" s="1"/>
  <c r="Z111" i="12" s="1"/>
  <c r="N111" i="12"/>
  <c r="L111" i="12"/>
  <c r="H111" i="12"/>
  <c r="D111" i="12"/>
  <c r="B111" i="12"/>
  <c r="X110" i="12"/>
  <c r="T110" i="12"/>
  <c r="P110" i="12"/>
  <c r="H110" i="12"/>
  <c r="D110" i="12"/>
  <c r="L110" i="12" s="1"/>
  <c r="B110" i="12"/>
  <c r="T109" i="12"/>
  <c r="P109" i="12"/>
  <c r="N109" i="12"/>
  <c r="L109" i="12"/>
  <c r="H109" i="12"/>
  <c r="D109" i="12"/>
  <c r="B109" i="12"/>
  <c r="T108" i="12"/>
  <c r="P108" i="12"/>
  <c r="N108" i="12"/>
  <c r="L108" i="12"/>
  <c r="H108" i="12"/>
  <c r="D108" i="12"/>
  <c r="B108" i="12"/>
  <c r="T107" i="12"/>
  <c r="P107" i="12"/>
  <c r="X107" i="12" s="1"/>
  <c r="Z107" i="12" s="1"/>
  <c r="L107" i="12"/>
  <c r="N107" i="12" s="1"/>
  <c r="H107" i="12"/>
  <c r="D107" i="12"/>
  <c r="B107" i="12"/>
  <c r="X106" i="12"/>
  <c r="T106" i="12"/>
  <c r="P106" i="12"/>
  <c r="H106" i="12"/>
  <c r="N106" i="12" s="1"/>
  <c r="D106" i="12"/>
  <c r="L106" i="12" s="1"/>
  <c r="B106" i="12"/>
  <c r="T105" i="12"/>
  <c r="P105" i="12"/>
  <c r="N105" i="12"/>
  <c r="L105" i="12"/>
  <c r="H105" i="12"/>
  <c r="D105" i="12"/>
  <c r="B105" i="12"/>
  <c r="T104" i="12"/>
  <c r="P104" i="12"/>
  <c r="H104" i="12"/>
  <c r="D104" i="12"/>
  <c r="L104" i="12" s="1"/>
  <c r="N104" i="12" s="1"/>
  <c r="B104" i="12"/>
  <c r="T103" i="12"/>
  <c r="P103" i="12"/>
  <c r="X103" i="12" s="1"/>
  <c r="Z103" i="12" s="1"/>
  <c r="L103" i="12"/>
  <c r="N103" i="12" s="1"/>
  <c r="H103" i="12"/>
  <c r="D103" i="12"/>
  <c r="B103" i="12"/>
  <c r="X102" i="12"/>
  <c r="T102" i="12"/>
  <c r="Z102" i="12" s="1"/>
  <c r="P102" i="12"/>
  <c r="H102" i="12"/>
  <c r="N102" i="12" s="1"/>
  <c r="D102" i="12"/>
  <c r="L102" i="12" s="1"/>
  <c r="B102" i="12"/>
  <c r="T101" i="12"/>
  <c r="P101" i="12"/>
  <c r="N101" i="12"/>
  <c r="L101" i="12"/>
  <c r="H101" i="12"/>
  <c r="D101" i="12"/>
  <c r="B101" i="12"/>
  <c r="T100" i="12"/>
  <c r="P100" i="12"/>
  <c r="N100" i="12"/>
  <c r="H100" i="12"/>
  <c r="D100" i="12"/>
  <c r="L100" i="12" s="1"/>
  <c r="B100" i="12"/>
  <c r="T99" i="12"/>
  <c r="P99" i="12"/>
  <c r="X99" i="12" s="1"/>
  <c r="Z99" i="12" s="1"/>
  <c r="L99" i="12"/>
  <c r="N99" i="12" s="1"/>
  <c r="H99" i="12"/>
  <c r="D99" i="12"/>
  <c r="B99" i="12"/>
  <c r="X98" i="12"/>
  <c r="T98" i="12"/>
  <c r="P98" i="12"/>
  <c r="H98" i="12"/>
  <c r="D98" i="12"/>
  <c r="L98" i="12" s="1"/>
  <c r="B98" i="12"/>
  <c r="T97" i="12"/>
  <c r="P97" i="12"/>
  <c r="N97" i="12"/>
  <c r="L97" i="12"/>
  <c r="H97" i="12"/>
  <c r="D97" i="12"/>
  <c r="B97" i="12"/>
  <c r="T96" i="12"/>
  <c r="P96" i="12"/>
  <c r="L96" i="12"/>
  <c r="N96" i="12" s="1"/>
  <c r="H96" i="12"/>
  <c r="D96" i="12"/>
  <c r="B96" i="12"/>
  <c r="T95" i="12"/>
  <c r="P95" i="12"/>
  <c r="X95" i="12" s="1"/>
  <c r="Z95" i="12" s="1"/>
  <c r="L95" i="12"/>
  <c r="N95" i="12" s="1"/>
  <c r="H95" i="12"/>
  <c r="D95" i="12"/>
  <c r="B95" i="12"/>
  <c r="X94" i="12"/>
  <c r="T94" i="12"/>
  <c r="Z94" i="12" s="1"/>
  <c r="P94" i="12"/>
  <c r="H94" i="12"/>
  <c r="N94" i="12" s="1"/>
  <c r="D94" i="12"/>
  <c r="L94" i="12" s="1"/>
  <c r="B94" i="12"/>
  <c r="T93" i="12"/>
  <c r="P93" i="12"/>
  <c r="N93" i="12"/>
  <c r="L93" i="12"/>
  <c r="H93" i="12"/>
  <c r="D93" i="12"/>
  <c r="B93" i="12"/>
  <c r="T92" i="12"/>
  <c r="P92" i="12"/>
  <c r="N92" i="12"/>
  <c r="H92" i="12"/>
  <c r="D92" i="12"/>
  <c r="L92" i="12" s="1"/>
  <c r="B92" i="12"/>
  <c r="T91" i="12"/>
  <c r="Z91" i="12" s="1"/>
  <c r="P91" i="12"/>
  <c r="X91" i="12" s="1"/>
  <c r="L91" i="12"/>
  <c r="N91" i="12" s="1"/>
  <c r="H91" i="12"/>
  <c r="D91" i="12"/>
  <c r="B91" i="12"/>
  <c r="X90" i="12"/>
  <c r="T90" i="12"/>
  <c r="Z90" i="12" s="1"/>
  <c r="P90" i="12"/>
  <c r="H90" i="12"/>
  <c r="D90" i="12"/>
  <c r="L90" i="12" s="1"/>
  <c r="B90" i="12"/>
  <c r="T89" i="12"/>
  <c r="P89" i="12"/>
  <c r="N89" i="12"/>
  <c r="L89" i="12"/>
  <c r="H89" i="12"/>
  <c r="D89" i="12"/>
  <c r="B89" i="12"/>
  <c r="T88" i="12"/>
  <c r="P88" i="12"/>
  <c r="N88" i="12"/>
  <c r="H88" i="12"/>
  <c r="D88" i="12"/>
  <c r="L88" i="12" s="1"/>
  <c r="B88" i="12"/>
  <c r="T87" i="12"/>
  <c r="P87" i="12"/>
  <c r="X87" i="12" s="1"/>
  <c r="N87" i="12"/>
  <c r="L87" i="12"/>
  <c r="H87" i="12"/>
  <c r="D87" i="12"/>
  <c r="B87" i="12"/>
  <c r="X86" i="12"/>
  <c r="T86" i="12"/>
  <c r="Z86" i="12" s="1"/>
  <c r="P86" i="12"/>
  <c r="H86" i="12"/>
  <c r="N86" i="12" s="1"/>
  <c r="D86" i="12"/>
  <c r="L86" i="12" s="1"/>
  <c r="B86" i="12"/>
  <c r="T85" i="12"/>
  <c r="P85" i="12"/>
  <c r="N85" i="12"/>
  <c r="L85" i="12"/>
  <c r="H85" i="12"/>
  <c r="D85" i="12"/>
  <c r="B85" i="12"/>
  <c r="T84" i="12"/>
  <c r="P84" i="12"/>
  <c r="N84" i="12"/>
  <c r="H84" i="12"/>
  <c r="D84" i="12"/>
  <c r="L84" i="12" s="1"/>
  <c r="B84" i="12"/>
  <c r="T83" i="12"/>
  <c r="P83" i="12"/>
  <c r="X83" i="12" s="1"/>
  <c r="L83" i="12"/>
  <c r="N83" i="12" s="1"/>
  <c r="H83" i="12"/>
  <c r="D83" i="12"/>
  <c r="B83" i="12"/>
  <c r="X82" i="12"/>
  <c r="T82" i="12"/>
  <c r="Z82" i="12" s="1"/>
  <c r="P82" i="12"/>
  <c r="H82" i="12"/>
  <c r="N82" i="12" s="1"/>
  <c r="D82" i="12"/>
  <c r="L82" i="12" s="1"/>
  <c r="B82" i="12"/>
  <c r="T81" i="12"/>
  <c r="P81" i="12"/>
  <c r="N81" i="12"/>
  <c r="L81" i="12"/>
  <c r="H81" i="12"/>
  <c r="D81" i="12"/>
  <c r="B81" i="12"/>
  <c r="T80" i="12"/>
  <c r="P80" i="12"/>
  <c r="L80" i="12"/>
  <c r="N80" i="12" s="1"/>
  <c r="H80" i="12"/>
  <c r="D80" i="12"/>
  <c r="B80" i="12"/>
  <c r="T79" i="12"/>
  <c r="P79" i="12"/>
  <c r="X79" i="12" s="1"/>
  <c r="L79" i="12"/>
  <c r="N79" i="12" s="1"/>
  <c r="H79" i="12"/>
  <c r="D79" i="12"/>
  <c r="B79" i="12"/>
  <c r="X78" i="12"/>
  <c r="T78" i="12"/>
  <c r="P78" i="12"/>
  <c r="H78" i="12"/>
  <c r="N78" i="12" s="1"/>
  <c r="D78" i="12"/>
  <c r="L78" i="12" s="1"/>
  <c r="B78" i="12"/>
  <c r="T77" i="12"/>
  <c r="P77" i="12"/>
  <c r="N77" i="12"/>
  <c r="L77" i="12"/>
  <c r="H77" i="12"/>
  <c r="D77" i="12"/>
  <c r="B77" i="12"/>
  <c r="T76" i="12"/>
  <c r="P76" i="12"/>
  <c r="H76" i="12"/>
  <c r="D76" i="12"/>
  <c r="L76" i="12" s="1"/>
  <c r="N76" i="12" s="1"/>
  <c r="B76" i="12"/>
  <c r="T75" i="12"/>
  <c r="Z75" i="12" s="1"/>
  <c r="P75" i="12"/>
  <c r="X75" i="12" s="1"/>
  <c r="L75" i="12"/>
  <c r="N75" i="12" s="1"/>
  <c r="H75" i="12"/>
  <c r="D75" i="12"/>
  <c r="B75" i="12"/>
  <c r="X74" i="12"/>
  <c r="T74" i="12"/>
  <c r="Z74" i="12" s="1"/>
  <c r="P74" i="12"/>
  <c r="H74" i="12"/>
  <c r="D74" i="12"/>
  <c r="L74" i="12" s="1"/>
  <c r="B74" i="12"/>
  <c r="T73" i="12"/>
  <c r="P73" i="12"/>
  <c r="N73" i="12"/>
  <c r="L73" i="12"/>
  <c r="H73" i="12"/>
  <c r="D73" i="12"/>
  <c r="B73" i="12"/>
  <c r="T72" i="12"/>
  <c r="P72" i="12"/>
  <c r="H72" i="12"/>
  <c r="D72" i="12"/>
  <c r="L72" i="12" s="1"/>
  <c r="N72" i="12" s="1"/>
  <c r="B72" i="12"/>
  <c r="T71" i="12"/>
  <c r="Z71" i="12" s="1"/>
  <c r="P71" i="12"/>
  <c r="X71" i="12" s="1"/>
  <c r="N71" i="12"/>
  <c r="L71" i="12"/>
  <c r="H71" i="12"/>
  <c r="D71" i="12"/>
  <c r="B71" i="12"/>
  <c r="X70" i="12"/>
  <c r="T70" i="12"/>
  <c r="P70" i="12"/>
  <c r="H70" i="12"/>
  <c r="D70" i="12"/>
  <c r="L70" i="12" s="1"/>
  <c r="B70" i="12"/>
  <c r="T69" i="12"/>
  <c r="P69" i="12"/>
  <c r="N69" i="12"/>
  <c r="L69" i="12"/>
  <c r="H69" i="12"/>
  <c r="D69" i="12"/>
  <c r="B69" i="12"/>
  <c r="T68" i="12"/>
  <c r="P68" i="12"/>
  <c r="L68" i="12"/>
  <c r="N68" i="12" s="1"/>
  <c r="H68" i="12"/>
  <c r="D68" i="12"/>
  <c r="B68" i="12"/>
  <c r="T67" i="12"/>
  <c r="Z67" i="12" s="1"/>
  <c r="P67" i="12"/>
  <c r="X67" i="12" s="1"/>
  <c r="L67" i="12"/>
  <c r="N67" i="12" s="1"/>
  <c r="H67" i="12"/>
  <c r="D67" i="12"/>
  <c r="B67" i="12"/>
  <c r="X66" i="12"/>
  <c r="T66" i="12"/>
  <c r="Z66" i="12" s="1"/>
  <c r="P66" i="12"/>
  <c r="H66" i="12"/>
  <c r="N66" i="12" s="1"/>
  <c r="D66" i="12"/>
  <c r="L66" i="12" s="1"/>
  <c r="B66" i="12"/>
  <c r="T65" i="12"/>
  <c r="P65" i="12"/>
  <c r="N65" i="12"/>
  <c r="L65" i="12"/>
  <c r="H65" i="12"/>
  <c r="D65" i="12"/>
  <c r="B65" i="12"/>
  <c r="T64" i="12"/>
  <c r="P64" i="12"/>
  <c r="L64" i="12"/>
  <c r="N64" i="12" s="1"/>
  <c r="H64" i="12"/>
  <c r="D64" i="12"/>
  <c r="B64" i="12"/>
  <c r="T63" i="12"/>
  <c r="P63" i="12"/>
  <c r="X63" i="12" s="1"/>
  <c r="L63" i="12"/>
  <c r="N63" i="12" s="1"/>
  <c r="H63" i="12"/>
  <c r="D63" i="12"/>
  <c r="B63" i="12"/>
  <c r="X62" i="12"/>
  <c r="T62" i="12"/>
  <c r="Z62" i="12" s="1"/>
  <c r="P62" i="12"/>
  <c r="H62" i="12"/>
  <c r="D62" i="12"/>
  <c r="L62" i="12" s="1"/>
  <c r="B62" i="12"/>
  <c r="T61" i="12"/>
  <c r="P61" i="12"/>
  <c r="N61" i="12"/>
  <c r="L61" i="12"/>
  <c r="H61" i="12"/>
  <c r="D61" i="12"/>
  <c r="B61" i="12"/>
  <c r="T60" i="12"/>
  <c r="P60" i="12"/>
  <c r="H60" i="12"/>
  <c r="D60" i="12"/>
  <c r="L60" i="12" s="1"/>
  <c r="N60" i="12" s="1"/>
  <c r="B60" i="12"/>
  <c r="T59" i="12"/>
  <c r="Z59" i="12" s="1"/>
  <c r="P59" i="12"/>
  <c r="X59" i="12" s="1"/>
  <c r="L59" i="12"/>
  <c r="N59" i="12" s="1"/>
  <c r="H59" i="12"/>
  <c r="D59" i="12"/>
  <c r="B59" i="12"/>
  <c r="X58" i="12"/>
  <c r="T58" i="12"/>
  <c r="Z58" i="12" s="1"/>
  <c r="P58" i="12"/>
  <c r="H58" i="12"/>
  <c r="D58" i="12"/>
  <c r="L58" i="12" s="1"/>
  <c r="B58" i="12"/>
  <c r="T57" i="12"/>
  <c r="P57" i="12"/>
  <c r="N57" i="12"/>
  <c r="L57" i="12"/>
  <c r="H57" i="12"/>
  <c r="D57" i="12"/>
  <c r="B57" i="12"/>
  <c r="T56" i="12"/>
  <c r="P56" i="12"/>
  <c r="N56" i="12"/>
  <c r="H56" i="12"/>
  <c r="D56" i="12"/>
  <c r="L56" i="12" s="1"/>
  <c r="B56" i="12"/>
  <c r="T55" i="12"/>
  <c r="Z55" i="12" s="1"/>
  <c r="P55" i="12"/>
  <c r="X55" i="12" s="1"/>
  <c r="N55" i="12"/>
  <c r="L55" i="12"/>
  <c r="H55" i="12"/>
  <c r="D55" i="12"/>
  <c r="B55" i="12"/>
  <c r="X54" i="12"/>
  <c r="T54" i="12"/>
  <c r="Z54" i="12" s="1"/>
  <c r="P54" i="12"/>
  <c r="H54" i="12"/>
  <c r="N54" i="12" s="1"/>
  <c r="D54" i="12"/>
  <c r="L54" i="12" s="1"/>
  <c r="B54" i="12"/>
  <c r="T53" i="12"/>
  <c r="P53" i="12"/>
  <c r="N53" i="12"/>
  <c r="L53" i="12"/>
  <c r="H53" i="12"/>
  <c r="D53" i="12"/>
  <c r="B53" i="12"/>
  <c r="T52" i="12"/>
  <c r="P52" i="12"/>
  <c r="L52" i="12"/>
  <c r="N52" i="12" s="1"/>
  <c r="H52" i="12"/>
  <c r="D52" i="12"/>
  <c r="B52" i="12"/>
  <c r="T51" i="12"/>
  <c r="P51" i="12"/>
  <c r="X51" i="12" s="1"/>
  <c r="L51" i="12"/>
  <c r="N51" i="12" s="1"/>
  <c r="H51" i="12"/>
  <c r="D51" i="12"/>
  <c r="B51" i="12"/>
  <c r="X50" i="12"/>
  <c r="T50" i="12"/>
  <c r="P50" i="12"/>
  <c r="H50" i="12"/>
  <c r="D50" i="12"/>
  <c r="L50" i="12" s="1"/>
  <c r="B50" i="12"/>
  <c r="T49" i="12"/>
  <c r="P49" i="12"/>
  <c r="N49" i="12"/>
  <c r="L49" i="12"/>
  <c r="H49" i="12"/>
  <c r="D49" i="12"/>
  <c r="B49" i="12"/>
  <c r="T48" i="12"/>
  <c r="P48" i="12"/>
  <c r="H48" i="12"/>
  <c r="D48" i="12"/>
  <c r="L48" i="12" s="1"/>
  <c r="N48" i="12" s="1"/>
  <c r="B48" i="12"/>
  <c r="T47" i="12"/>
  <c r="P47" i="12"/>
  <c r="X47" i="12" s="1"/>
  <c r="L47" i="12"/>
  <c r="N47" i="12" s="1"/>
  <c r="H47" i="12"/>
  <c r="D47" i="12"/>
  <c r="B47" i="12"/>
  <c r="X46" i="12"/>
  <c r="T46" i="12"/>
  <c r="Z46" i="12" s="1"/>
  <c r="P46" i="12"/>
  <c r="H46" i="12"/>
  <c r="N46" i="12" s="1"/>
  <c r="D46" i="12"/>
  <c r="L46" i="12" s="1"/>
  <c r="B46" i="12"/>
  <c r="T45" i="12"/>
  <c r="P45" i="12"/>
  <c r="N45" i="12"/>
  <c r="L45" i="12"/>
  <c r="H45" i="12"/>
  <c r="D45" i="12"/>
  <c r="B45" i="12"/>
  <c r="T44" i="12"/>
  <c r="P44" i="12"/>
  <c r="L44" i="12"/>
  <c r="N44" i="12" s="1"/>
  <c r="H44" i="12"/>
  <c r="D44" i="12"/>
  <c r="B44" i="12"/>
  <c r="T43" i="12"/>
  <c r="P43" i="12"/>
  <c r="X43" i="12" s="1"/>
  <c r="L43" i="12"/>
  <c r="N43" i="12" s="1"/>
  <c r="H43" i="12"/>
  <c r="D43" i="12"/>
  <c r="B43" i="12"/>
  <c r="X42" i="12"/>
  <c r="T42" i="12"/>
  <c r="P42" i="12"/>
  <c r="H42" i="12"/>
  <c r="N42" i="12" s="1"/>
  <c r="D42" i="12"/>
  <c r="L42" i="12" s="1"/>
  <c r="B42" i="12"/>
  <c r="T41" i="12"/>
  <c r="P41" i="12"/>
  <c r="N41" i="12"/>
  <c r="L41" i="12"/>
  <c r="H41" i="12"/>
  <c r="D41" i="12"/>
  <c r="B41" i="12"/>
  <c r="T40" i="12"/>
  <c r="P40" i="12"/>
  <c r="H40" i="12"/>
  <c r="D40" i="12"/>
  <c r="L40" i="12" s="1"/>
  <c r="N40" i="12" s="1"/>
  <c r="B40" i="12"/>
  <c r="T39" i="12"/>
  <c r="Z39" i="12" s="1"/>
  <c r="P39" i="12"/>
  <c r="X39" i="12" s="1"/>
  <c r="L39" i="12"/>
  <c r="N39" i="12" s="1"/>
  <c r="H39" i="12"/>
  <c r="D39" i="12"/>
  <c r="B39" i="12"/>
  <c r="X38" i="12"/>
  <c r="T38" i="12"/>
  <c r="Z38" i="12" s="1"/>
  <c r="P38" i="12"/>
  <c r="H38" i="12"/>
  <c r="D38" i="12"/>
  <c r="L38" i="12" s="1"/>
  <c r="B38" i="12"/>
  <c r="T37" i="12"/>
  <c r="P37" i="12"/>
  <c r="N37" i="12"/>
  <c r="L37" i="12"/>
  <c r="H37" i="12"/>
  <c r="D37" i="12"/>
  <c r="B37" i="12"/>
  <c r="T36" i="12"/>
  <c r="P36" i="12"/>
  <c r="H36" i="12"/>
  <c r="D36" i="12"/>
  <c r="L36" i="12" s="1"/>
  <c r="N36" i="12" s="1"/>
  <c r="B36" i="12"/>
  <c r="T35" i="12"/>
  <c r="P35" i="12"/>
  <c r="X35" i="12" s="1"/>
  <c r="L35" i="12"/>
  <c r="N35" i="12" s="1"/>
  <c r="H35" i="12"/>
  <c r="D35" i="12"/>
  <c r="B35" i="12"/>
  <c r="X34" i="12"/>
  <c r="T34" i="12"/>
  <c r="P34" i="12"/>
  <c r="H34" i="12"/>
  <c r="D34" i="12"/>
  <c r="L34" i="12" s="1"/>
  <c r="B34" i="12"/>
  <c r="T33" i="12"/>
  <c r="P33" i="12"/>
  <c r="N33" i="12"/>
  <c r="L33" i="12"/>
  <c r="H33" i="12"/>
  <c r="D33" i="12"/>
  <c r="B33" i="12"/>
  <c r="T32" i="12"/>
  <c r="P32" i="12"/>
  <c r="H32" i="12"/>
  <c r="D32" i="12"/>
  <c r="L32" i="12" s="1"/>
  <c r="N32" i="12" s="1"/>
  <c r="B32" i="12"/>
  <c r="T31" i="12"/>
  <c r="P31" i="12"/>
  <c r="X31" i="12" s="1"/>
  <c r="L31" i="12"/>
  <c r="N31" i="12" s="1"/>
  <c r="H31" i="12"/>
  <c r="D31" i="12"/>
  <c r="B31" i="12"/>
  <c r="X30" i="12"/>
  <c r="T30" i="12"/>
  <c r="P30" i="12"/>
  <c r="H30" i="12"/>
  <c r="D30" i="12"/>
  <c r="L30" i="12" s="1"/>
  <c r="B30" i="12"/>
  <c r="T29" i="12"/>
  <c r="P29" i="12"/>
  <c r="N29" i="12"/>
  <c r="L29" i="12"/>
  <c r="H29" i="12"/>
  <c r="D29" i="12"/>
  <c r="B29" i="12"/>
  <c r="T28" i="12"/>
  <c r="P28" i="12"/>
  <c r="L28" i="12"/>
  <c r="N28" i="12" s="1"/>
  <c r="H28" i="12"/>
  <c r="D28" i="12"/>
  <c r="B28" i="12"/>
  <c r="T27" i="12"/>
  <c r="Z27" i="12" s="1"/>
  <c r="P27" i="12"/>
  <c r="X27" i="12" s="1"/>
  <c r="L27" i="12"/>
  <c r="N27" i="12" s="1"/>
  <c r="H27" i="12"/>
  <c r="D27" i="12"/>
  <c r="B27" i="12"/>
  <c r="X26" i="12"/>
  <c r="T26" i="12"/>
  <c r="Z26" i="12" s="1"/>
  <c r="P26" i="12"/>
  <c r="H26" i="12"/>
  <c r="N26" i="12" s="1"/>
  <c r="D26" i="12"/>
  <c r="L26" i="12" s="1"/>
  <c r="B26" i="12"/>
  <c r="T25" i="12"/>
  <c r="P25" i="12"/>
  <c r="N25" i="12"/>
  <c r="L25" i="12"/>
  <c r="H25" i="12"/>
  <c r="D25" i="12"/>
  <c r="B25" i="12"/>
  <c r="T24" i="12"/>
  <c r="P24" i="12"/>
  <c r="L24" i="12"/>
  <c r="N24" i="12" s="1"/>
  <c r="H24" i="12"/>
  <c r="D24" i="12"/>
  <c r="B24" i="12"/>
  <c r="T23" i="12"/>
  <c r="P23" i="12"/>
  <c r="X23" i="12" s="1"/>
  <c r="L23" i="12"/>
  <c r="N23" i="12" s="1"/>
  <c r="H23" i="12"/>
  <c r="D23" i="12"/>
  <c r="B23" i="12"/>
  <c r="X22" i="12"/>
  <c r="T22" i="12"/>
  <c r="Z22" i="12" s="1"/>
  <c r="P22" i="12"/>
  <c r="H22" i="12"/>
  <c r="D22" i="12"/>
  <c r="L22" i="12" s="1"/>
  <c r="B22" i="12"/>
  <c r="T21" i="12"/>
  <c r="P21" i="12"/>
  <c r="N21" i="12"/>
  <c r="L21" i="12"/>
  <c r="H21" i="12"/>
  <c r="D21" i="12"/>
  <c r="B21" i="12"/>
  <c r="X20" i="12"/>
  <c r="T20" i="12"/>
  <c r="P20" i="12"/>
  <c r="H20" i="12"/>
  <c r="D20" i="12"/>
  <c r="L20" i="12" s="1"/>
  <c r="N20" i="12" s="1"/>
  <c r="B20" i="12"/>
  <c r="T19" i="12"/>
  <c r="P19" i="12"/>
  <c r="X19" i="12" s="1"/>
  <c r="L19" i="12"/>
  <c r="N19" i="12" s="1"/>
  <c r="H19" i="12"/>
  <c r="D19" i="12"/>
  <c r="B19" i="12"/>
  <c r="X18" i="12"/>
  <c r="T18" i="12"/>
  <c r="Z18" i="12" s="1"/>
  <c r="P18" i="12"/>
  <c r="H18" i="12"/>
  <c r="N18" i="12" s="1"/>
  <c r="D18" i="12"/>
  <c r="L18" i="12" s="1"/>
  <c r="B18" i="12"/>
  <c r="T17" i="12"/>
  <c r="P17" i="12"/>
  <c r="N17" i="12"/>
  <c r="L17" i="12"/>
  <c r="H17" i="12"/>
  <c r="D17" i="12"/>
  <c r="B17" i="12"/>
  <c r="X16" i="12"/>
  <c r="T16" i="12"/>
  <c r="P16" i="12"/>
  <c r="H16" i="12"/>
  <c r="D16" i="12"/>
  <c r="L16" i="12" s="1"/>
  <c r="N16" i="12" s="1"/>
  <c r="B16" i="12"/>
  <c r="T15" i="12"/>
  <c r="P15" i="12"/>
  <c r="X15" i="12" s="1"/>
  <c r="N15" i="12"/>
  <c r="L15" i="12"/>
  <c r="H15" i="12"/>
  <c r="D15" i="12"/>
  <c r="B15" i="12"/>
  <c r="X14" i="12"/>
  <c r="T14" i="12"/>
  <c r="P14" i="12"/>
  <c r="P12" i="12" s="1"/>
  <c r="R253" i="12" s="1"/>
  <c r="H14" i="12"/>
  <c r="N14" i="12" s="1"/>
  <c r="D14" i="12"/>
  <c r="L14" i="12" s="1"/>
  <c r="B14" i="12"/>
  <c r="T13" i="12"/>
  <c r="P13" i="12"/>
  <c r="L13" i="12"/>
  <c r="N13" i="12" s="1"/>
  <c r="H13" i="12"/>
  <c r="H12" i="12" s="1"/>
  <c r="J256" i="12" s="1"/>
  <c r="D13" i="12"/>
  <c r="B13" i="12"/>
  <c r="D4" i="12"/>
  <c r="V100" i="9"/>
  <c r="J100" i="9"/>
  <c r="J97" i="9"/>
  <c r="Z95" i="9"/>
  <c r="X95" i="9"/>
  <c r="V95" i="9"/>
  <c r="R95" i="9"/>
  <c r="N95" i="9"/>
  <c r="L95" i="9"/>
  <c r="J95" i="9"/>
  <c r="Z91" i="9"/>
  <c r="X91" i="9"/>
  <c r="T91" i="9"/>
  <c r="P91" i="9"/>
  <c r="N91" i="9"/>
  <c r="L91" i="9"/>
  <c r="H91" i="9"/>
  <c r="D91" i="9"/>
  <c r="X89" i="9"/>
  <c r="Z89" i="9" s="1"/>
  <c r="N89" i="9"/>
  <c r="L89" i="9"/>
  <c r="J89" i="9"/>
  <c r="F89" i="9"/>
  <c r="B89" i="9"/>
  <c r="X88" i="9"/>
  <c r="Z88" i="9" s="1"/>
  <c r="R88" i="9"/>
  <c r="N88" i="9"/>
  <c r="L88" i="9"/>
  <c r="B88" i="9"/>
  <c r="X87" i="9"/>
  <c r="Z87" i="9" s="1"/>
  <c r="T87" i="9"/>
  <c r="R87" i="9"/>
  <c r="P87" i="9"/>
  <c r="N87" i="9"/>
  <c r="L87" i="9"/>
  <c r="H87" i="9"/>
  <c r="D87" i="9"/>
  <c r="B87" i="9"/>
  <c r="Z86" i="9"/>
  <c r="X86" i="9"/>
  <c r="R86" i="9"/>
  <c r="L86" i="9"/>
  <c r="N86" i="9" s="1"/>
  <c r="J86" i="9"/>
  <c r="B86" i="9"/>
  <c r="V85" i="9"/>
  <c r="T85" i="9"/>
  <c r="P85" i="9"/>
  <c r="J85" i="9"/>
  <c r="H85" i="9"/>
  <c r="D85" i="9"/>
  <c r="B85" i="9"/>
  <c r="X84" i="9"/>
  <c r="Z84" i="9" s="1"/>
  <c r="V84" i="9"/>
  <c r="L84" i="9"/>
  <c r="N84" i="9" s="1"/>
  <c r="B84" i="9"/>
  <c r="Z83" i="9"/>
  <c r="X83" i="9"/>
  <c r="N83" i="9"/>
  <c r="L83" i="9"/>
  <c r="B83" i="9"/>
  <c r="X82" i="9"/>
  <c r="T82" i="9"/>
  <c r="Z82" i="9" s="1"/>
  <c r="P82" i="9"/>
  <c r="J82" i="9"/>
  <c r="H82" i="9"/>
  <c r="D82" i="9"/>
  <c r="L82" i="9" s="1"/>
  <c r="N82" i="9" s="1"/>
  <c r="B82" i="9"/>
  <c r="Z81" i="9"/>
  <c r="X81" i="9"/>
  <c r="N81" i="9"/>
  <c r="L81" i="9"/>
  <c r="J81" i="9"/>
  <c r="B81" i="9"/>
  <c r="X80" i="9"/>
  <c r="Z80" i="9" s="1"/>
  <c r="R80" i="9"/>
  <c r="N80" i="9"/>
  <c r="L80" i="9"/>
  <c r="B80" i="9"/>
  <c r="Z79" i="9"/>
  <c r="X79" i="9"/>
  <c r="N79" i="9"/>
  <c r="L79" i="9"/>
  <c r="J79" i="9"/>
  <c r="B79" i="9"/>
  <c r="Z78" i="9"/>
  <c r="X78" i="9"/>
  <c r="R78" i="9"/>
  <c r="N78" i="9"/>
  <c r="L78" i="9"/>
  <c r="F78" i="9"/>
  <c r="B78" i="9"/>
  <c r="Z77" i="9"/>
  <c r="X77" i="9"/>
  <c r="N77" i="9"/>
  <c r="L77" i="9"/>
  <c r="J77" i="9"/>
  <c r="B77" i="9"/>
  <c r="T76" i="9"/>
  <c r="X76" i="9" s="1"/>
  <c r="R76" i="9"/>
  <c r="P76" i="9"/>
  <c r="H76" i="9"/>
  <c r="D76" i="9"/>
  <c r="B76" i="9"/>
  <c r="Z75" i="9"/>
  <c r="X75" i="9"/>
  <c r="V75" i="9"/>
  <c r="R75" i="9"/>
  <c r="N75" i="9"/>
  <c r="L75" i="9"/>
  <c r="B75" i="9"/>
  <c r="Z74" i="9"/>
  <c r="X74" i="9"/>
  <c r="R74" i="9"/>
  <c r="N74" i="9"/>
  <c r="L74" i="9"/>
  <c r="J74" i="9"/>
  <c r="B74" i="9"/>
  <c r="V73" i="9"/>
  <c r="T73" i="9"/>
  <c r="P73" i="9"/>
  <c r="J73" i="9"/>
  <c r="H73" i="9"/>
  <c r="N73" i="9" s="1"/>
  <c r="D73" i="9"/>
  <c r="B73" i="9"/>
  <c r="X72" i="9"/>
  <c r="Z72" i="9" s="1"/>
  <c r="L72" i="9"/>
  <c r="N72" i="9" s="1"/>
  <c r="B72" i="9"/>
  <c r="Z71" i="9"/>
  <c r="X71" i="9"/>
  <c r="N71" i="9"/>
  <c r="L71" i="9"/>
  <c r="B71" i="9"/>
  <c r="X70" i="9"/>
  <c r="T70" i="9"/>
  <c r="Z70" i="9" s="1"/>
  <c r="P70" i="9"/>
  <c r="L70" i="9"/>
  <c r="N70" i="9" s="1"/>
  <c r="J70" i="9"/>
  <c r="H70" i="9"/>
  <c r="D70" i="9"/>
  <c r="B70" i="9"/>
  <c r="Z69" i="9"/>
  <c r="X69" i="9"/>
  <c r="N69" i="9"/>
  <c r="L69" i="9"/>
  <c r="J69" i="9"/>
  <c r="B69" i="9"/>
  <c r="X68" i="9"/>
  <c r="Z68" i="9" s="1"/>
  <c r="R68" i="9"/>
  <c r="N68" i="9"/>
  <c r="L68" i="9"/>
  <c r="B68" i="9"/>
  <c r="Z67" i="9"/>
  <c r="X67" i="9"/>
  <c r="N67" i="9"/>
  <c r="L67" i="9"/>
  <c r="J67" i="9"/>
  <c r="B67" i="9"/>
  <c r="X66" i="9"/>
  <c r="Z66" i="9" s="1"/>
  <c r="R66" i="9"/>
  <c r="N66" i="9"/>
  <c r="L66" i="9"/>
  <c r="B66" i="9"/>
  <c r="X65" i="9"/>
  <c r="Z65" i="9" s="1"/>
  <c r="T65" i="9"/>
  <c r="P65" i="9"/>
  <c r="N65" i="9"/>
  <c r="L65" i="9"/>
  <c r="H65" i="9"/>
  <c r="D65" i="9"/>
  <c r="B65" i="9"/>
  <c r="Z64" i="9"/>
  <c r="X64" i="9"/>
  <c r="N64" i="9"/>
  <c r="L64" i="9"/>
  <c r="J64" i="9"/>
  <c r="B64" i="9"/>
  <c r="Z63" i="9"/>
  <c r="X63" i="9"/>
  <c r="R63" i="9"/>
  <c r="N63" i="9"/>
  <c r="L63" i="9"/>
  <c r="B63" i="9"/>
  <c r="Z62" i="9"/>
  <c r="X62" i="9"/>
  <c r="R62" i="9"/>
  <c r="L62" i="9"/>
  <c r="N62" i="9" s="1"/>
  <c r="J62" i="9"/>
  <c r="B62" i="9"/>
  <c r="Z61" i="9"/>
  <c r="X61" i="9"/>
  <c r="V61" i="9"/>
  <c r="R61" i="9"/>
  <c r="N61" i="9"/>
  <c r="L61" i="9"/>
  <c r="J61" i="9"/>
  <c r="B61" i="9"/>
  <c r="Z60" i="9"/>
  <c r="T60" i="9"/>
  <c r="P60" i="9"/>
  <c r="X60" i="9" s="1"/>
  <c r="H60" i="9"/>
  <c r="D60" i="9"/>
  <c r="L60" i="9" s="1"/>
  <c r="N60" i="9" s="1"/>
  <c r="B60" i="9"/>
  <c r="Z59" i="9"/>
  <c r="X59" i="9"/>
  <c r="L59" i="9"/>
  <c r="N59" i="9" s="1"/>
  <c r="B59" i="9"/>
  <c r="X58" i="9"/>
  <c r="T58" i="9"/>
  <c r="P58" i="9"/>
  <c r="J58" i="9"/>
  <c r="H58" i="9"/>
  <c r="D58" i="9"/>
  <c r="L58" i="9" s="1"/>
  <c r="N58" i="9" s="1"/>
  <c r="B58" i="9"/>
  <c r="X57" i="9"/>
  <c r="Z57" i="9" s="1"/>
  <c r="N57" i="9"/>
  <c r="L57" i="9"/>
  <c r="J57" i="9"/>
  <c r="B57" i="9"/>
  <c r="T56" i="9"/>
  <c r="R56" i="9"/>
  <c r="P56" i="9"/>
  <c r="H56" i="9"/>
  <c r="D56" i="9"/>
  <c r="B56" i="9"/>
  <c r="Z55" i="9"/>
  <c r="X55" i="9"/>
  <c r="R55" i="9"/>
  <c r="N55" i="9"/>
  <c r="L55" i="9"/>
  <c r="B55" i="9"/>
  <c r="Z54" i="9"/>
  <c r="T54" i="9"/>
  <c r="P54" i="9"/>
  <c r="X54" i="9" s="1"/>
  <c r="H54" i="9"/>
  <c r="D54" i="9"/>
  <c r="L54" i="9" s="1"/>
  <c r="N54" i="9" s="1"/>
  <c r="B54" i="9"/>
  <c r="X53" i="9"/>
  <c r="Z53" i="9" s="1"/>
  <c r="L53" i="9"/>
  <c r="N53" i="9" s="1"/>
  <c r="B53" i="9"/>
  <c r="T52" i="9"/>
  <c r="P52" i="9"/>
  <c r="X52" i="9" s="1"/>
  <c r="Z52" i="9" s="1"/>
  <c r="L52" i="9"/>
  <c r="J52" i="9"/>
  <c r="H52" i="9"/>
  <c r="N52" i="9" s="1"/>
  <c r="D52" i="9"/>
  <c r="B52" i="9"/>
  <c r="X51" i="9"/>
  <c r="Z51" i="9" s="1"/>
  <c r="N51" i="9"/>
  <c r="L51" i="9"/>
  <c r="J51" i="9"/>
  <c r="B51" i="9"/>
  <c r="T50" i="9"/>
  <c r="R50" i="9"/>
  <c r="P50" i="9"/>
  <c r="L50" i="9"/>
  <c r="H50" i="9"/>
  <c r="D50" i="9"/>
  <c r="B50" i="9"/>
  <c r="Z49" i="9"/>
  <c r="X49" i="9"/>
  <c r="V49" i="9"/>
  <c r="R49" i="9"/>
  <c r="L49" i="9"/>
  <c r="N49" i="9" s="1"/>
  <c r="J49" i="9"/>
  <c r="B49" i="9"/>
  <c r="Z48" i="9"/>
  <c r="T48" i="9"/>
  <c r="P48" i="9"/>
  <c r="X48" i="9" s="1"/>
  <c r="H48" i="9"/>
  <c r="N48" i="9" s="1"/>
  <c r="D48" i="9"/>
  <c r="L48" i="9" s="1"/>
  <c r="B48" i="9"/>
  <c r="Z47" i="9"/>
  <c r="X47" i="9"/>
  <c r="L47" i="9"/>
  <c r="N47" i="9" s="1"/>
  <c r="B47" i="9"/>
  <c r="X46" i="9"/>
  <c r="Z46" i="9" s="1"/>
  <c r="L46" i="9"/>
  <c r="N46" i="9" s="1"/>
  <c r="B46" i="9"/>
  <c r="V45" i="9"/>
  <c r="T45" i="9"/>
  <c r="R45" i="9"/>
  <c r="P45" i="9"/>
  <c r="X45" i="9" s="1"/>
  <c r="J45" i="9"/>
  <c r="H45" i="9"/>
  <c r="N45" i="9" s="1"/>
  <c r="D45" i="9"/>
  <c r="L45" i="9" s="1"/>
  <c r="B45" i="9"/>
  <c r="X44" i="9"/>
  <c r="Z44" i="9" s="1"/>
  <c r="R44" i="9"/>
  <c r="N44" i="9"/>
  <c r="L44" i="9"/>
  <c r="B44" i="9"/>
  <c r="X43" i="9"/>
  <c r="Z43" i="9" s="1"/>
  <c r="T43" i="9"/>
  <c r="R43" i="9"/>
  <c r="P43" i="9"/>
  <c r="N43" i="9"/>
  <c r="L43" i="9"/>
  <c r="H43" i="9"/>
  <c r="D43" i="9"/>
  <c r="B43" i="9"/>
  <c r="Z42" i="9"/>
  <c r="X42" i="9"/>
  <c r="R42" i="9"/>
  <c r="L42" i="9"/>
  <c r="N42" i="9" s="1"/>
  <c r="J42" i="9"/>
  <c r="B42" i="9"/>
  <c r="T41" i="9"/>
  <c r="P41" i="9"/>
  <c r="J41" i="9"/>
  <c r="H41" i="9"/>
  <c r="L41" i="9" s="1"/>
  <c r="D41" i="9"/>
  <c r="B41" i="9"/>
  <c r="X40" i="9"/>
  <c r="Z40" i="9" s="1"/>
  <c r="V40" i="9"/>
  <c r="L40" i="9"/>
  <c r="N40" i="9" s="1"/>
  <c r="F40" i="9"/>
  <c r="B40" i="9"/>
  <c r="T39" i="9"/>
  <c r="Z39" i="9" s="1"/>
  <c r="R39" i="9"/>
  <c r="P39" i="9"/>
  <c r="X39" i="9" s="1"/>
  <c r="J39" i="9"/>
  <c r="H39" i="9"/>
  <c r="N39" i="9" s="1"/>
  <c r="D39" i="9"/>
  <c r="L39" i="9" s="1"/>
  <c r="B39" i="9"/>
  <c r="X38" i="9"/>
  <c r="Z38" i="9" s="1"/>
  <c r="R38" i="9"/>
  <c r="N38" i="9"/>
  <c r="L38" i="9"/>
  <c r="B38" i="9"/>
  <c r="X37" i="9"/>
  <c r="Z37" i="9" s="1"/>
  <c r="N37" i="9"/>
  <c r="L37" i="9"/>
  <c r="J37" i="9"/>
  <c r="B37" i="9"/>
  <c r="X36" i="9"/>
  <c r="Z36" i="9" s="1"/>
  <c r="R36" i="9"/>
  <c r="N36" i="9"/>
  <c r="L36" i="9"/>
  <c r="B36" i="9"/>
  <c r="X35" i="9"/>
  <c r="Z35" i="9" s="1"/>
  <c r="N35" i="9"/>
  <c r="L35" i="9"/>
  <c r="J35" i="9"/>
  <c r="B35" i="9"/>
  <c r="X34" i="9"/>
  <c r="Z34" i="9" s="1"/>
  <c r="R34" i="9"/>
  <c r="N34" i="9"/>
  <c r="L34" i="9"/>
  <c r="B34" i="9"/>
  <c r="X33" i="9"/>
  <c r="Z33" i="9" s="1"/>
  <c r="N33" i="9"/>
  <c r="L33" i="9"/>
  <c r="J33" i="9"/>
  <c r="F33" i="9"/>
  <c r="B33" i="9"/>
  <c r="X32" i="9"/>
  <c r="Z32" i="9" s="1"/>
  <c r="R32" i="9"/>
  <c r="N32" i="9"/>
  <c r="L32" i="9"/>
  <c r="B32" i="9"/>
  <c r="X31" i="9"/>
  <c r="Z31" i="9" s="1"/>
  <c r="T31" i="9"/>
  <c r="R31" i="9"/>
  <c r="P31" i="9"/>
  <c r="N31" i="9"/>
  <c r="L31" i="9"/>
  <c r="H31" i="9"/>
  <c r="D31" i="9"/>
  <c r="B31" i="9"/>
  <c r="Z30" i="9"/>
  <c r="X30" i="9"/>
  <c r="R30" i="9"/>
  <c r="L30" i="9"/>
  <c r="N30" i="9" s="1"/>
  <c r="J30" i="9"/>
  <c r="B30" i="9"/>
  <c r="Z29" i="9"/>
  <c r="X29" i="9"/>
  <c r="R29" i="9"/>
  <c r="N29" i="9"/>
  <c r="L29" i="9"/>
  <c r="J29" i="9"/>
  <c r="B29" i="9"/>
  <c r="Z28" i="9"/>
  <c r="X28" i="9"/>
  <c r="R28" i="9"/>
  <c r="L28" i="9"/>
  <c r="N28" i="9" s="1"/>
  <c r="J28" i="9"/>
  <c r="B28" i="9"/>
  <c r="Z27" i="9"/>
  <c r="X27" i="9"/>
  <c r="R27" i="9"/>
  <c r="N27" i="9"/>
  <c r="L27" i="9"/>
  <c r="J27" i="9"/>
  <c r="B27" i="9"/>
  <c r="Z26" i="9"/>
  <c r="X26" i="9"/>
  <c r="R26" i="9"/>
  <c r="L26" i="9"/>
  <c r="N26" i="9" s="1"/>
  <c r="J26" i="9"/>
  <c r="B26" i="9"/>
  <c r="Z25" i="9"/>
  <c r="X25" i="9"/>
  <c r="R25" i="9"/>
  <c r="N25" i="9"/>
  <c r="L25" i="9"/>
  <c r="J25" i="9"/>
  <c r="B25" i="9"/>
  <c r="Z24" i="9"/>
  <c r="X24" i="9"/>
  <c r="R24" i="9"/>
  <c r="L24" i="9"/>
  <c r="N24" i="9" s="1"/>
  <c r="J24" i="9"/>
  <c r="B24" i="9"/>
  <c r="Z23" i="9"/>
  <c r="X23" i="9"/>
  <c r="V23" i="9"/>
  <c r="R23" i="9"/>
  <c r="N23" i="9"/>
  <c r="L23" i="9"/>
  <c r="J23" i="9"/>
  <c r="B23" i="9"/>
  <c r="Z22" i="9"/>
  <c r="X22" i="9"/>
  <c r="R22" i="9"/>
  <c r="L22" i="9"/>
  <c r="N22" i="9" s="1"/>
  <c r="J22" i="9"/>
  <c r="B22" i="9"/>
  <c r="Z21" i="9"/>
  <c r="X21" i="9"/>
  <c r="V21" i="9"/>
  <c r="R21" i="9"/>
  <c r="N21" i="9"/>
  <c r="L21" i="9"/>
  <c r="J21" i="9"/>
  <c r="B21" i="9"/>
  <c r="Z20" i="9"/>
  <c r="X20" i="9"/>
  <c r="R20" i="9"/>
  <c r="L20" i="9"/>
  <c r="N20" i="9" s="1"/>
  <c r="J20" i="9"/>
  <c r="B20" i="9"/>
  <c r="Z19" i="9"/>
  <c r="T19" i="9"/>
  <c r="X19" i="9" s="1"/>
  <c r="P19" i="9"/>
  <c r="J19" i="9"/>
  <c r="H19" i="9"/>
  <c r="D19" i="9"/>
  <c r="B19" i="9"/>
  <c r="X18" i="9"/>
  <c r="T18" i="9"/>
  <c r="Z18" i="9" s="1"/>
  <c r="P18" i="9"/>
  <c r="J18" i="9"/>
  <c r="H18" i="9"/>
  <c r="D18" i="9"/>
  <c r="L18" i="9" s="1"/>
  <c r="N18" i="9" s="1"/>
  <c r="V16" i="9"/>
  <c r="P16" i="9"/>
  <c r="P93" i="9" s="1"/>
  <c r="P97" i="9" s="1"/>
  <c r="J16" i="9"/>
  <c r="X14" i="9"/>
  <c r="V14" i="9"/>
  <c r="T14" i="9"/>
  <c r="Z14" i="9" s="1"/>
  <c r="P14" i="9"/>
  <c r="N14" i="9"/>
  <c r="L14" i="9"/>
  <c r="J14" i="9"/>
  <c r="H14" i="9"/>
  <c r="D14" i="9"/>
  <c r="X12" i="9"/>
  <c r="T12" i="9"/>
  <c r="V82" i="9" s="1"/>
  <c r="P12" i="9"/>
  <c r="R46" i="9" s="1"/>
  <c r="H12" i="9"/>
  <c r="J87" i="9" s="1"/>
  <c r="D12" i="9"/>
  <c r="F84" i="9" s="1"/>
  <c r="D4" i="9"/>
  <c r="V31" i="6"/>
  <c r="R31" i="6"/>
  <c r="J31" i="6"/>
  <c r="V29" i="6"/>
  <c r="T29" i="6"/>
  <c r="X29" i="6" s="1"/>
  <c r="R29" i="6"/>
  <c r="P29" i="6"/>
  <c r="N29" i="6"/>
  <c r="J29" i="6"/>
  <c r="H29" i="6"/>
  <c r="L29" i="6" s="1"/>
  <c r="D29" i="6"/>
  <c r="V28" i="6"/>
  <c r="T28" i="6"/>
  <c r="X28" i="6" s="1"/>
  <c r="R28" i="6"/>
  <c r="P28" i="6"/>
  <c r="N28" i="6"/>
  <c r="J28" i="6"/>
  <c r="H28" i="6"/>
  <c r="L28" i="6" s="1"/>
  <c r="D28" i="6"/>
  <c r="V26" i="6"/>
  <c r="R26" i="6"/>
  <c r="J26" i="6"/>
  <c r="Z24" i="6"/>
  <c r="X24" i="6"/>
  <c r="V24" i="6"/>
  <c r="R24" i="6"/>
  <c r="N24" i="6"/>
  <c r="L24" i="6"/>
  <c r="R22" i="6"/>
  <c r="Z20" i="6"/>
  <c r="X20" i="6"/>
  <c r="T20" i="6"/>
  <c r="R20" i="6"/>
  <c r="P20" i="6"/>
  <c r="N20" i="6"/>
  <c r="L20" i="6"/>
  <c r="H20" i="6"/>
  <c r="D20" i="6"/>
  <c r="Z18" i="6"/>
  <c r="X18" i="6"/>
  <c r="T18" i="6"/>
  <c r="R18" i="6"/>
  <c r="P18" i="6"/>
  <c r="N18" i="6"/>
  <c r="L18" i="6"/>
  <c r="H18" i="6"/>
  <c r="D18" i="6"/>
  <c r="R16" i="6"/>
  <c r="Z14" i="6"/>
  <c r="X14" i="6"/>
  <c r="T14" i="6"/>
  <c r="R14" i="6"/>
  <c r="P14" i="6"/>
  <c r="P16" i="6" s="1"/>
  <c r="P22" i="6" s="1"/>
  <c r="P26" i="6" s="1"/>
  <c r="N14" i="6"/>
  <c r="L14" i="6"/>
  <c r="H14" i="6"/>
  <c r="D14" i="6"/>
  <c r="Z12" i="6"/>
  <c r="X12" i="6"/>
  <c r="T12" i="6"/>
  <c r="V22" i="6" s="1"/>
  <c r="P12" i="6"/>
  <c r="N12" i="6"/>
  <c r="H12" i="6"/>
  <c r="D12" i="6"/>
  <c r="F18" i="6" s="1"/>
  <c r="D4" i="6"/>
  <c r="Z333" i="3"/>
  <c r="X333" i="3"/>
  <c r="T333" i="3"/>
  <c r="P333" i="3"/>
  <c r="H333" i="3"/>
  <c r="D333" i="3"/>
  <c r="X332" i="3"/>
  <c r="Z332" i="3" s="1"/>
  <c r="T332" i="3"/>
  <c r="P332" i="3"/>
  <c r="H332" i="3"/>
  <c r="D332" i="3"/>
  <c r="L332" i="3" s="1"/>
  <c r="Z328" i="3"/>
  <c r="X328" i="3"/>
  <c r="L328" i="3"/>
  <c r="N328" i="3" s="1"/>
  <c r="T324" i="3"/>
  <c r="P324" i="3"/>
  <c r="X324" i="3" s="1"/>
  <c r="Z324" i="3" s="1"/>
  <c r="L324" i="3"/>
  <c r="H324" i="3"/>
  <c r="N324" i="3" s="1"/>
  <c r="D324" i="3"/>
  <c r="B324" i="3"/>
  <c r="T323" i="3"/>
  <c r="P323" i="3"/>
  <c r="H323" i="3"/>
  <c r="N323" i="3" s="1"/>
  <c r="D323" i="3"/>
  <c r="B323" i="3"/>
  <c r="T322" i="3"/>
  <c r="P322" i="3"/>
  <c r="X322" i="3" s="1"/>
  <c r="L322" i="3"/>
  <c r="H322" i="3"/>
  <c r="D322" i="3"/>
  <c r="B322" i="3"/>
  <c r="T321" i="3"/>
  <c r="P321" i="3"/>
  <c r="H321" i="3"/>
  <c r="H311" i="3" s="1"/>
  <c r="D321" i="3"/>
  <c r="B321" i="3"/>
  <c r="T320" i="3"/>
  <c r="Z320" i="3" s="1"/>
  <c r="P320" i="3"/>
  <c r="X320" i="3" s="1"/>
  <c r="J320" i="3"/>
  <c r="H320" i="3"/>
  <c r="D320" i="3"/>
  <c r="L320" i="3" s="1"/>
  <c r="N320" i="3" s="1"/>
  <c r="B320" i="3"/>
  <c r="T319" i="3"/>
  <c r="P319" i="3"/>
  <c r="X319" i="3" s="1"/>
  <c r="Z319" i="3" s="1"/>
  <c r="L319" i="3"/>
  <c r="H319" i="3"/>
  <c r="N319" i="3" s="1"/>
  <c r="D319" i="3"/>
  <c r="B319" i="3"/>
  <c r="X318" i="3"/>
  <c r="Z318" i="3" s="1"/>
  <c r="T318" i="3"/>
  <c r="P318" i="3"/>
  <c r="H318" i="3"/>
  <c r="D318" i="3"/>
  <c r="L318" i="3" s="1"/>
  <c r="N318" i="3" s="1"/>
  <c r="B318" i="3"/>
  <c r="T317" i="3"/>
  <c r="P317" i="3"/>
  <c r="P311" i="3" s="1"/>
  <c r="X311" i="3" s="1"/>
  <c r="N317" i="3"/>
  <c r="H317" i="3"/>
  <c r="D317" i="3"/>
  <c r="L317" i="3" s="1"/>
  <c r="B317" i="3"/>
  <c r="Z316" i="3"/>
  <c r="X316" i="3"/>
  <c r="T316" i="3"/>
  <c r="P316" i="3"/>
  <c r="H316" i="3"/>
  <c r="N316" i="3" s="1"/>
  <c r="D316" i="3"/>
  <c r="L316" i="3" s="1"/>
  <c r="B316" i="3"/>
  <c r="T315" i="3"/>
  <c r="X315" i="3" s="1"/>
  <c r="P315" i="3"/>
  <c r="H315" i="3"/>
  <c r="N315" i="3" s="1"/>
  <c r="D315" i="3"/>
  <c r="L315" i="3" s="1"/>
  <c r="B315" i="3"/>
  <c r="T314" i="3"/>
  <c r="P314" i="3"/>
  <c r="X314" i="3" s="1"/>
  <c r="Z314" i="3" s="1"/>
  <c r="H314" i="3"/>
  <c r="N314" i="3" s="1"/>
  <c r="D314" i="3"/>
  <c r="L314" i="3" s="1"/>
  <c r="B314" i="3"/>
  <c r="X313" i="3"/>
  <c r="T313" i="3"/>
  <c r="Z313" i="3" s="1"/>
  <c r="P313" i="3"/>
  <c r="H313" i="3"/>
  <c r="D313" i="3"/>
  <c r="L313" i="3" s="1"/>
  <c r="N313" i="3" s="1"/>
  <c r="B313" i="3"/>
  <c r="T312" i="3"/>
  <c r="T311" i="3" s="1"/>
  <c r="P312" i="3"/>
  <c r="X312" i="3" s="1"/>
  <c r="Z312" i="3" s="1"/>
  <c r="L312" i="3"/>
  <c r="N312" i="3" s="1"/>
  <c r="H312" i="3"/>
  <c r="D312" i="3"/>
  <c r="B312" i="3"/>
  <c r="D311" i="3"/>
  <c r="X309" i="3"/>
  <c r="Z309" i="3" s="1"/>
  <c r="L309" i="3"/>
  <c r="N309" i="3" s="1"/>
  <c r="B309" i="3"/>
  <c r="T308" i="3"/>
  <c r="P308" i="3"/>
  <c r="X308" i="3" s="1"/>
  <c r="Z308" i="3" s="1"/>
  <c r="H308" i="3"/>
  <c r="D308" i="3"/>
  <c r="L308" i="3" s="1"/>
  <c r="B308" i="3"/>
  <c r="X307" i="3"/>
  <c r="Z307" i="3" s="1"/>
  <c r="N307" i="3"/>
  <c r="L307" i="3"/>
  <c r="B307" i="3"/>
  <c r="X306" i="3"/>
  <c r="Z306" i="3" s="1"/>
  <c r="N306" i="3"/>
  <c r="L306" i="3"/>
  <c r="B306" i="3"/>
  <c r="X305" i="3"/>
  <c r="Z305" i="3" s="1"/>
  <c r="L305" i="3"/>
  <c r="N305" i="3" s="1"/>
  <c r="B305" i="3"/>
  <c r="T304" i="3"/>
  <c r="P304" i="3"/>
  <c r="X304" i="3" s="1"/>
  <c r="L304" i="3"/>
  <c r="N304" i="3" s="1"/>
  <c r="H304" i="3"/>
  <c r="D304" i="3"/>
  <c r="B304" i="3"/>
  <c r="Z303" i="3"/>
  <c r="X303" i="3"/>
  <c r="N303" i="3"/>
  <c r="L303" i="3"/>
  <c r="B303" i="3"/>
  <c r="T302" i="3"/>
  <c r="P302" i="3"/>
  <c r="X302" i="3" s="1"/>
  <c r="Z302" i="3" s="1"/>
  <c r="L302" i="3"/>
  <c r="N302" i="3" s="1"/>
  <c r="H302" i="3"/>
  <c r="D302" i="3"/>
  <c r="B302" i="3"/>
  <c r="X301" i="3"/>
  <c r="Z301" i="3" s="1"/>
  <c r="L301" i="3"/>
  <c r="N301" i="3" s="1"/>
  <c r="B301" i="3"/>
  <c r="Z300" i="3"/>
  <c r="X300" i="3"/>
  <c r="L300" i="3"/>
  <c r="N300" i="3" s="1"/>
  <c r="B300" i="3"/>
  <c r="T299" i="3"/>
  <c r="P299" i="3"/>
  <c r="X299" i="3" s="1"/>
  <c r="H299" i="3"/>
  <c r="D299" i="3"/>
  <c r="L299" i="3" s="1"/>
  <c r="N299" i="3" s="1"/>
  <c r="B299" i="3"/>
  <c r="X298" i="3"/>
  <c r="Z298" i="3" s="1"/>
  <c r="N298" i="3"/>
  <c r="L298" i="3"/>
  <c r="B298" i="3"/>
  <c r="X297" i="3"/>
  <c r="Z297" i="3" s="1"/>
  <c r="L297" i="3"/>
  <c r="N297" i="3" s="1"/>
  <c r="B297" i="3"/>
  <c r="Z296" i="3"/>
  <c r="X296" i="3"/>
  <c r="N296" i="3"/>
  <c r="L296" i="3"/>
  <c r="B296" i="3"/>
  <c r="X295" i="3"/>
  <c r="Z295" i="3" s="1"/>
  <c r="N295" i="3"/>
  <c r="L295" i="3"/>
  <c r="B295" i="3"/>
  <c r="X294" i="3"/>
  <c r="Z294" i="3" s="1"/>
  <c r="N294" i="3"/>
  <c r="L294" i="3"/>
  <c r="B294" i="3"/>
  <c r="X293" i="3"/>
  <c r="Z293" i="3" s="1"/>
  <c r="L293" i="3"/>
  <c r="N293" i="3" s="1"/>
  <c r="B293" i="3"/>
  <c r="X292" i="3"/>
  <c r="Z292" i="3" s="1"/>
  <c r="L292" i="3"/>
  <c r="N292" i="3" s="1"/>
  <c r="B292" i="3"/>
  <c r="X291" i="3"/>
  <c r="Z291" i="3" s="1"/>
  <c r="N291" i="3"/>
  <c r="L291" i="3"/>
  <c r="B291" i="3"/>
  <c r="Z290" i="3"/>
  <c r="X290" i="3"/>
  <c r="N290" i="3"/>
  <c r="L290" i="3"/>
  <c r="B290" i="3"/>
  <c r="X289" i="3"/>
  <c r="Z289" i="3" s="1"/>
  <c r="L289" i="3"/>
  <c r="N289" i="3" s="1"/>
  <c r="B289" i="3"/>
  <c r="T288" i="3"/>
  <c r="P288" i="3"/>
  <c r="X288" i="3" s="1"/>
  <c r="L288" i="3"/>
  <c r="N288" i="3" s="1"/>
  <c r="H288" i="3"/>
  <c r="D288" i="3"/>
  <c r="B288" i="3"/>
  <c r="Z287" i="3"/>
  <c r="X287" i="3"/>
  <c r="N287" i="3"/>
  <c r="L287" i="3"/>
  <c r="B287" i="3"/>
  <c r="Z286" i="3"/>
  <c r="X286" i="3"/>
  <c r="L286" i="3"/>
  <c r="N286" i="3" s="1"/>
  <c r="B286" i="3"/>
  <c r="T285" i="3"/>
  <c r="X285" i="3" s="1"/>
  <c r="P285" i="3"/>
  <c r="H285" i="3"/>
  <c r="D285" i="3"/>
  <c r="L285" i="3" s="1"/>
  <c r="B285" i="3"/>
  <c r="Z284" i="3"/>
  <c r="X284" i="3"/>
  <c r="L284" i="3"/>
  <c r="N284" i="3" s="1"/>
  <c r="B284" i="3"/>
  <c r="Z283" i="3"/>
  <c r="X283" i="3"/>
  <c r="L283" i="3"/>
  <c r="N283" i="3" s="1"/>
  <c r="B283" i="3"/>
  <c r="X282" i="3"/>
  <c r="Z282" i="3" s="1"/>
  <c r="L282" i="3"/>
  <c r="N282" i="3" s="1"/>
  <c r="B282" i="3"/>
  <c r="X281" i="3"/>
  <c r="Z281" i="3" s="1"/>
  <c r="L281" i="3"/>
  <c r="N281" i="3" s="1"/>
  <c r="B281" i="3"/>
  <c r="Z280" i="3"/>
  <c r="X280" i="3"/>
  <c r="L280" i="3"/>
  <c r="N280" i="3" s="1"/>
  <c r="B280" i="3"/>
  <c r="T279" i="3"/>
  <c r="P279" i="3"/>
  <c r="X279" i="3" s="1"/>
  <c r="H279" i="3"/>
  <c r="D279" i="3"/>
  <c r="L279" i="3" s="1"/>
  <c r="N279" i="3" s="1"/>
  <c r="B279" i="3"/>
  <c r="X278" i="3"/>
  <c r="Z278" i="3" s="1"/>
  <c r="N278" i="3"/>
  <c r="L278" i="3"/>
  <c r="B278" i="3"/>
  <c r="X277" i="3"/>
  <c r="Z277" i="3" s="1"/>
  <c r="L277" i="3"/>
  <c r="N277" i="3" s="1"/>
  <c r="B277" i="3"/>
  <c r="X276" i="3"/>
  <c r="Z276" i="3" s="1"/>
  <c r="N276" i="3"/>
  <c r="L276" i="3"/>
  <c r="B276" i="3"/>
  <c r="X275" i="3"/>
  <c r="T275" i="3"/>
  <c r="Z275" i="3" s="1"/>
  <c r="P275" i="3"/>
  <c r="H275" i="3"/>
  <c r="D275" i="3"/>
  <c r="L275" i="3" s="1"/>
  <c r="N275" i="3" s="1"/>
  <c r="B275" i="3"/>
  <c r="Z274" i="3"/>
  <c r="X274" i="3"/>
  <c r="L274" i="3"/>
  <c r="N274" i="3" s="1"/>
  <c r="B274" i="3"/>
  <c r="X273" i="3"/>
  <c r="Z273" i="3" s="1"/>
  <c r="L273" i="3"/>
  <c r="N273" i="3" s="1"/>
  <c r="B273" i="3"/>
  <c r="X272" i="3"/>
  <c r="Z272" i="3" s="1"/>
  <c r="N272" i="3"/>
  <c r="L272" i="3"/>
  <c r="J272" i="3"/>
  <c r="B272" i="3"/>
  <c r="Z271" i="3"/>
  <c r="X271" i="3"/>
  <c r="N271" i="3"/>
  <c r="L271" i="3"/>
  <c r="B271" i="3"/>
  <c r="T270" i="3"/>
  <c r="P270" i="3"/>
  <c r="X270" i="3" s="1"/>
  <c r="Z270" i="3" s="1"/>
  <c r="L270" i="3"/>
  <c r="N270" i="3" s="1"/>
  <c r="H270" i="3"/>
  <c r="D270" i="3"/>
  <c r="B270" i="3"/>
  <c r="X269" i="3"/>
  <c r="Z269" i="3" s="1"/>
  <c r="L269" i="3"/>
  <c r="N269" i="3" s="1"/>
  <c r="B269" i="3"/>
  <c r="T268" i="3"/>
  <c r="P268" i="3"/>
  <c r="X268" i="3" s="1"/>
  <c r="Z268" i="3" s="1"/>
  <c r="H268" i="3"/>
  <c r="N268" i="3" s="1"/>
  <c r="D268" i="3"/>
  <c r="L268" i="3" s="1"/>
  <c r="B268" i="3"/>
  <c r="X267" i="3"/>
  <c r="Z267" i="3" s="1"/>
  <c r="N267" i="3"/>
  <c r="L267" i="3"/>
  <c r="B267" i="3"/>
  <c r="X266" i="3"/>
  <c r="T266" i="3"/>
  <c r="Z266" i="3" s="1"/>
  <c r="P266" i="3"/>
  <c r="H266" i="3"/>
  <c r="D266" i="3"/>
  <c r="L266" i="3" s="1"/>
  <c r="B266" i="3"/>
  <c r="X265" i="3"/>
  <c r="Z265" i="3" s="1"/>
  <c r="N265" i="3"/>
  <c r="L265" i="3"/>
  <c r="B265" i="3"/>
  <c r="X264" i="3"/>
  <c r="Z264" i="3" s="1"/>
  <c r="T264" i="3"/>
  <c r="P264" i="3"/>
  <c r="N264" i="3"/>
  <c r="H264" i="3"/>
  <c r="D264" i="3"/>
  <c r="L264" i="3" s="1"/>
  <c r="B264" i="3"/>
  <c r="Z263" i="3"/>
  <c r="X263" i="3"/>
  <c r="L263" i="3"/>
  <c r="N263" i="3" s="1"/>
  <c r="B263" i="3"/>
  <c r="T262" i="3"/>
  <c r="Z262" i="3" s="1"/>
  <c r="P262" i="3"/>
  <c r="X262" i="3" s="1"/>
  <c r="J262" i="3"/>
  <c r="H262" i="3"/>
  <c r="D262" i="3"/>
  <c r="L262" i="3" s="1"/>
  <c r="N262" i="3" s="1"/>
  <c r="B262" i="3"/>
  <c r="X261" i="3"/>
  <c r="Z261" i="3" s="1"/>
  <c r="L261" i="3"/>
  <c r="N261" i="3" s="1"/>
  <c r="B261" i="3"/>
  <c r="T260" i="3"/>
  <c r="P260" i="3"/>
  <c r="X260" i="3" s="1"/>
  <c r="L260" i="3"/>
  <c r="H260" i="3"/>
  <c r="N260" i="3" s="1"/>
  <c r="D260" i="3"/>
  <c r="B260" i="3"/>
  <c r="Z259" i="3"/>
  <c r="X259" i="3"/>
  <c r="N259" i="3"/>
  <c r="L259" i="3"/>
  <c r="B259" i="3"/>
  <c r="T258" i="3"/>
  <c r="P258" i="3"/>
  <c r="X258" i="3" s="1"/>
  <c r="Z258" i="3" s="1"/>
  <c r="L258" i="3"/>
  <c r="N258" i="3" s="1"/>
  <c r="H258" i="3"/>
  <c r="D258" i="3"/>
  <c r="B258" i="3"/>
  <c r="X257" i="3"/>
  <c r="Z257" i="3" s="1"/>
  <c r="L257" i="3"/>
  <c r="N257" i="3" s="1"/>
  <c r="B257" i="3"/>
  <c r="Z256" i="3"/>
  <c r="X256" i="3"/>
  <c r="N256" i="3"/>
  <c r="L256" i="3"/>
  <c r="B256" i="3"/>
  <c r="T255" i="3"/>
  <c r="Z255" i="3" s="1"/>
  <c r="P255" i="3"/>
  <c r="X255" i="3" s="1"/>
  <c r="H255" i="3"/>
  <c r="D255" i="3"/>
  <c r="L255" i="3" s="1"/>
  <c r="N255" i="3" s="1"/>
  <c r="B255" i="3"/>
  <c r="X254" i="3"/>
  <c r="Z254" i="3" s="1"/>
  <c r="N254" i="3"/>
  <c r="L254" i="3"/>
  <c r="B254" i="3"/>
  <c r="X253" i="3"/>
  <c r="Z253" i="3" s="1"/>
  <c r="L253" i="3"/>
  <c r="N253" i="3" s="1"/>
  <c r="B253" i="3"/>
  <c r="T252" i="3"/>
  <c r="P252" i="3"/>
  <c r="X252" i="3" s="1"/>
  <c r="Z252" i="3" s="1"/>
  <c r="L252" i="3"/>
  <c r="H252" i="3"/>
  <c r="N252" i="3" s="1"/>
  <c r="D252" i="3"/>
  <c r="B252" i="3"/>
  <c r="Z251" i="3"/>
  <c r="X251" i="3"/>
  <c r="N251" i="3"/>
  <c r="L251" i="3"/>
  <c r="B251" i="3"/>
  <c r="T250" i="3"/>
  <c r="P250" i="3"/>
  <c r="X250" i="3" s="1"/>
  <c r="Z250" i="3" s="1"/>
  <c r="L250" i="3"/>
  <c r="N250" i="3" s="1"/>
  <c r="H250" i="3"/>
  <c r="D250" i="3"/>
  <c r="B250" i="3"/>
  <c r="X249" i="3"/>
  <c r="Z249" i="3" s="1"/>
  <c r="L249" i="3"/>
  <c r="N249" i="3" s="1"/>
  <c r="B249" i="3"/>
  <c r="T248" i="3"/>
  <c r="P248" i="3"/>
  <c r="X248" i="3" s="1"/>
  <c r="Z248" i="3" s="1"/>
  <c r="H248" i="3"/>
  <c r="N248" i="3" s="1"/>
  <c r="D248" i="3"/>
  <c r="L248" i="3" s="1"/>
  <c r="B248" i="3"/>
  <c r="X247" i="3"/>
  <c r="Z247" i="3" s="1"/>
  <c r="N247" i="3"/>
  <c r="L247" i="3"/>
  <c r="B247" i="3"/>
  <c r="X246" i="3"/>
  <c r="T246" i="3"/>
  <c r="Z246" i="3" s="1"/>
  <c r="P246" i="3"/>
  <c r="H246" i="3"/>
  <c r="D246" i="3"/>
  <c r="L246" i="3" s="1"/>
  <c r="N246" i="3" s="1"/>
  <c r="B246" i="3"/>
  <c r="X245" i="3"/>
  <c r="Z245" i="3" s="1"/>
  <c r="L245" i="3"/>
  <c r="N245" i="3" s="1"/>
  <c r="B245" i="3"/>
  <c r="X244" i="3"/>
  <c r="Z244" i="3" s="1"/>
  <c r="N244" i="3"/>
  <c r="L244" i="3"/>
  <c r="J244" i="3"/>
  <c r="B244" i="3"/>
  <c r="T243" i="3"/>
  <c r="P243" i="3"/>
  <c r="H243" i="3"/>
  <c r="L243" i="3" s="1"/>
  <c r="D243" i="3"/>
  <c r="B243" i="3"/>
  <c r="X242" i="3"/>
  <c r="Z242" i="3" s="1"/>
  <c r="L242" i="3"/>
  <c r="N242" i="3" s="1"/>
  <c r="B242" i="3"/>
  <c r="X241" i="3"/>
  <c r="Z241" i="3" s="1"/>
  <c r="L241" i="3"/>
  <c r="N241" i="3" s="1"/>
  <c r="B241" i="3"/>
  <c r="Z240" i="3"/>
  <c r="X240" i="3"/>
  <c r="N240" i="3"/>
  <c r="L240" i="3"/>
  <c r="B240" i="3"/>
  <c r="T239" i="3"/>
  <c r="P239" i="3"/>
  <c r="X239" i="3" s="1"/>
  <c r="H239" i="3"/>
  <c r="D239" i="3"/>
  <c r="L239" i="3" s="1"/>
  <c r="N239" i="3" s="1"/>
  <c r="B239" i="3"/>
  <c r="X238" i="3"/>
  <c r="Z238" i="3" s="1"/>
  <c r="N238" i="3"/>
  <c r="L238" i="3"/>
  <c r="B238" i="3"/>
  <c r="T237" i="3"/>
  <c r="P237" i="3"/>
  <c r="X237" i="3" s="1"/>
  <c r="Z237" i="3" s="1"/>
  <c r="L237" i="3"/>
  <c r="H237" i="3"/>
  <c r="N237" i="3" s="1"/>
  <c r="D237" i="3"/>
  <c r="B237" i="3"/>
  <c r="Z236" i="3"/>
  <c r="X236" i="3"/>
  <c r="N236" i="3"/>
  <c r="L236" i="3"/>
  <c r="J236" i="3"/>
  <c r="B236" i="3"/>
  <c r="Z235" i="3"/>
  <c r="X235" i="3"/>
  <c r="N235" i="3"/>
  <c r="L235" i="3"/>
  <c r="B235" i="3"/>
  <c r="T234" i="3"/>
  <c r="P234" i="3"/>
  <c r="X234" i="3" s="1"/>
  <c r="Z234" i="3" s="1"/>
  <c r="L234" i="3"/>
  <c r="N234" i="3" s="1"/>
  <c r="H234" i="3"/>
  <c r="D234" i="3"/>
  <c r="B234" i="3"/>
  <c r="X233" i="3"/>
  <c r="Z233" i="3" s="1"/>
  <c r="L233" i="3"/>
  <c r="N233" i="3" s="1"/>
  <c r="B233" i="3"/>
  <c r="T232" i="3"/>
  <c r="P232" i="3"/>
  <c r="X232" i="3" s="1"/>
  <c r="Z232" i="3" s="1"/>
  <c r="H232" i="3"/>
  <c r="N232" i="3" s="1"/>
  <c r="D232" i="3"/>
  <c r="L232" i="3" s="1"/>
  <c r="B232" i="3"/>
  <c r="X231" i="3"/>
  <c r="Z231" i="3" s="1"/>
  <c r="N231" i="3"/>
  <c r="L231" i="3"/>
  <c r="B231" i="3"/>
  <c r="X230" i="3"/>
  <c r="Z230" i="3" s="1"/>
  <c r="N230" i="3"/>
  <c r="L230" i="3"/>
  <c r="B230" i="3"/>
  <c r="X229" i="3"/>
  <c r="Z229" i="3" s="1"/>
  <c r="L229" i="3"/>
  <c r="N229" i="3" s="1"/>
  <c r="B229" i="3"/>
  <c r="Z228" i="3"/>
  <c r="X228" i="3"/>
  <c r="L228" i="3"/>
  <c r="N228" i="3" s="1"/>
  <c r="B228" i="3"/>
  <c r="X227" i="3"/>
  <c r="Z227" i="3" s="1"/>
  <c r="N227" i="3"/>
  <c r="L227" i="3"/>
  <c r="B227" i="3"/>
  <c r="X226" i="3"/>
  <c r="Z226" i="3" s="1"/>
  <c r="N226" i="3"/>
  <c r="L226" i="3"/>
  <c r="B226" i="3"/>
  <c r="X225" i="3"/>
  <c r="Z225" i="3" s="1"/>
  <c r="L225" i="3"/>
  <c r="N225" i="3" s="1"/>
  <c r="B225" i="3"/>
  <c r="T224" i="3"/>
  <c r="P224" i="3"/>
  <c r="X224" i="3" s="1"/>
  <c r="Z224" i="3" s="1"/>
  <c r="L224" i="3"/>
  <c r="H224" i="3"/>
  <c r="N224" i="3" s="1"/>
  <c r="D224" i="3"/>
  <c r="B224" i="3"/>
  <c r="Z223" i="3"/>
  <c r="X223" i="3"/>
  <c r="N223" i="3"/>
  <c r="L223" i="3"/>
  <c r="B223" i="3"/>
  <c r="Z222" i="3"/>
  <c r="X222" i="3"/>
  <c r="L222" i="3"/>
  <c r="N222" i="3" s="1"/>
  <c r="B222" i="3"/>
  <c r="X221" i="3"/>
  <c r="Z221" i="3" s="1"/>
  <c r="L221" i="3"/>
  <c r="N221" i="3" s="1"/>
  <c r="B221" i="3"/>
  <c r="X220" i="3"/>
  <c r="Z220" i="3" s="1"/>
  <c r="N220" i="3"/>
  <c r="L220" i="3"/>
  <c r="J220" i="3"/>
  <c r="B220" i="3"/>
  <c r="Z219" i="3"/>
  <c r="X219" i="3"/>
  <c r="N219" i="3"/>
  <c r="L219" i="3"/>
  <c r="B219" i="3"/>
  <c r="Z218" i="3"/>
  <c r="X218" i="3"/>
  <c r="L218" i="3"/>
  <c r="N218" i="3" s="1"/>
  <c r="B218" i="3"/>
  <c r="X217" i="3"/>
  <c r="Z217" i="3" s="1"/>
  <c r="L217" i="3"/>
  <c r="N217" i="3" s="1"/>
  <c r="B217" i="3"/>
  <c r="X216" i="3"/>
  <c r="Z216" i="3" s="1"/>
  <c r="N216" i="3"/>
  <c r="L216" i="3"/>
  <c r="J216" i="3"/>
  <c r="B216" i="3"/>
  <c r="Z215" i="3"/>
  <c r="X215" i="3"/>
  <c r="N215" i="3"/>
  <c r="L215" i="3"/>
  <c r="B215" i="3"/>
  <c r="T214" i="3"/>
  <c r="P214" i="3"/>
  <c r="X214" i="3" s="1"/>
  <c r="Z214" i="3" s="1"/>
  <c r="L214" i="3"/>
  <c r="N214" i="3" s="1"/>
  <c r="H214" i="3"/>
  <c r="D214" i="3"/>
  <c r="B214" i="3"/>
  <c r="T213" i="3"/>
  <c r="P213" i="3"/>
  <c r="X213" i="3" s="1"/>
  <c r="H213" i="3"/>
  <c r="N213" i="3" s="1"/>
  <c r="D213" i="3"/>
  <c r="L213" i="3" s="1"/>
  <c r="X209" i="3"/>
  <c r="Z209" i="3" s="1"/>
  <c r="L209" i="3"/>
  <c r="N209" i="3" s="1"/>
  <c r="B209" i="3"/>
  <c r="Z208" i="3"/>
  <c r="X208" i="3"/>
  <c r="N208" i="3"/>
  <c r="L208" i="3"/>
  <c r="B208" i="3"/>
  <c r="Z207" i="3"/>
  <c r="X207" i="3"/>
  <c r="N207" i="3"/>
  <c r="L207" i="3"/>
  <c r="B207" i="3"/>
  <c r="X206" i="3"/>
  <c r="Z206" i="3" s="1"/>
  <c r="L206" i="3"/>
  <c r="N206" i="3" s="1"/>
  <c r="B206" i="3"/>
  <c r="X205" i="3"/>
  <c r="Z205" i="3" s="1"/>
  <c r="N205" i="3"/>
  <c r="L205" i="3"/>
  <c r="B205" i="3"/>
  <c r="Z204" i="3"/>
  <c r="X204" i="3"/>
  <c r="N204" i="3"/>
  <c r="L204" i="3"/>
  <c r="B204" i="3"/>
  <c r="Z203" i="3"/>
  <c r="X203" i="3"/>
  <c r="L203" i="3"/>
  <c r="N203" i="3" s="1"/>
  <c r="B203" i="3"/>
  <c r="X202" i="3"/>
  <c r="Z202" i="3" s="1"/>
  <c r="L202" i="3"/>
  <c r="N202" i="3" s="1"/>
  <c r="B202" i="3"/>
  <c r="X201" i="3"/>
  <c r="Z201" i="3" s="1"/>
  <c r="N201" i="3"/>
  <c r="L201" i="3"/>
  <c r="B201" i="3"/>
  <c r="Z200" i="3"/>
  <c r="X200" i="3"/>
  <c r="N200" i="3"/>
  <c r="L200" i="3"/>
  <c r="B200" i="3"/>
  <c r="Z199" i="3"/>
  <c r="X199" i="3"/>
  <c r="L199" i="3"/>
  <c r="N199" i="3" s="1"/>
  <c r="B199" i="3"/>
  <c r="X198" i="3"/>
  <c r="Z198" i="3" s="1"/>
  <c r="L198" i="3"/>
  <c r="N198" i="3" s="1"/>
  <c r="B198" i="3"/>
  <c r="X197" i="3"/>
  <c r="Z197" i="3" s="1"/>
  <c r="L197" i="3"/>
  <c r="N197" i="3" s="1"/>
  <c r="B197" i="3"/>
  <c r="Z196" i="3"/>
  <c r="X196" i="3"/>
  <c r="N196" i="3"/>
  <c r="L196" i="3"/>
  <c r="B196" i="3"/>
  <c r="Z195" i="3"/>
  <c r="X195" i="3"/>
  <c r="L195" i="3"/>
  <c r="N195" i="3" s="1"/>
  <c r="B195" i="3"/>
  <c r="X194" i="3"/>
  <c r="Z194" i="3" s="1"/>
  <c r="L194" i="3"/>
  <c r="N194" i="3" s="1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X190" i="3"/>
  <c r="Z190" i="3" s="1"/>
  <c r="L190" i="3"/>
  <c r="N190" i="3" s="1"/>
  <c r="B190" i="3"/>
  <c r="X189" i="3"/>
  <c r="Z189" i="3" s="1"/>
  <c r="L189" i="3"/>
  <c r="N189" i="3" s="1"/>
  <c r="B189" i="3"/>
  <c r="Z188" i="3"/>
  <c r="X188" i="3"/>
  <c r="N188" i="3"/>
  <c r="L188" i="3"/>
  <c r="B188" i="3"/>
  <c r="Z187" i="3"/>
  <c r="X187" i="3"/>
  <c r="L187" i="3"/>
  <c r="N187" i="3" s="1"/>
  <c r="B187" i="3"/>
  <c r="X186" i="3"/>
  <c r="Z186" i="3" s="1"/>
  <c r="L186" i="3"/>
  <c r="N186" i="3" s="1"/>
  <c r="B186" i="3"/>
  <c r="Z185" i="3"/>
  <c r="X185" i="3"/>
  <c r="N185" i="3"/>
  <c r="L185" i="3"/>
  <c r="B185" i="3"/>
  <c r="Z184" i="3"/>
  <c r="X184" i="3"/>
  <c r="N184" i="3"/>
  <c r="L184" i="3"/>
  <c r="B184" i="3"/>
  <c r="Z183" i="3"/>
  <c r="X183" i="3"/>
  <c r="L183" i="3"/>
  <c r="N183" i="3" s="1"/>
  <c r="B183" i="3"/>
  <c r="X182" i="3"/>
  <c r="Z182" i="3" s="1"/>
  <c r="L182" i="3"/>
  <c r="N182" i="3" s="1"/>
  <c r="B182" i="3"/>
  <c r="X181" i="3"/>
  <c r="Z181" i="3" s="1"/>
  <c r="L181" i="3"/>
  <c r="N181" i="3" s="1"/>
  <c r="B181" i="3"/>
  <c r="Z180" i="3"/>
  <c r="X180" i="3"/>
  <c r="N180" i="3"/>
  <c r="L180" i="3"/>
  <c r="B180" i="3"/>
  <c r="Z179" i="3"/>
  <c r="X179" i="3"/>
  <c r="L179" i="3"/>
  <c r="N179" i="3" s="1"/>
  <c r="B179" i="3"/>
  <c r="X178" i="3"/>
  <c r="Z178" i="3" s="1"/>
  <c r="L178" i="3"/>
  <c r="N178" i="3" s="1"/>
  <c r="B178" i="3"/>
  <c r="X177" i="3"/>
  <c r="Z177" i="3" s="1"/>
  <c r="L177" i="3"/>
  <c r="N177" i="3" s="1"/>
  <c r="B177" i="3"/>
  <c r="Z176" i="3"/>
  <c r="X176" i="3"/>
  <c r="N176" i="3"/>
  <c r="L176" i="3"/>
  <c r="B176" i="3"/>
  <c r="Z175" i="3"/>
  <c r="X175" i="3"/>
  <c r="L175" i="3"/>
  <c r="N175" i="3" s="1"/>
  <c r="B175" i="3"/>
  <c r="X174" i="3"/>
  <c r="Z174" i="3" s="1"/>
  <c r="L174" i="3"/>
  <c r="N174" i="3" s="1"/>
  <c r="B174" i="3"/>
  <c r="X173" i="3"/>
  <c r="Z173" i="3" s="1"/>
  <c r="L173" i="3"/>
  <c r="N173" i="3" s="1"/>
  <c r="B173" i="3"/>
  <c r="Z172" i="3"/>
  <c r="X172" i="3"/>
  <c r="N172" i="3"/>
  <c r="L172" i="3"/>
  <c r="B172" i="3"/>
  <c r="Z171" i="3"/>
  <c r="X171" i="3"/>
  <c r="L171" i="3"/>
  <c r="N171" i="3" s="1"/>
  <c r="B171" i="3"/>
  <c r="X170" i="3"/>
  <c r="Z170" i="3" s="1"/>
  <c r="L170" i="3"/>
  <c r="N170" i="3" s="1"/>
  <c r="B170" i="3"/>
  <c r="X169" i="3"/>
  <c r="Z169" i="3" s="1"/>
  <c r="L169" i="3"/>
  <c r="N169" i="3" s="1"/>
  <c r="B169" i="3"/>
  <c r="Z168" i="3"/>
  <c r="X168" i="3"/>
  <c r="N168" i="3"/>
  <c r="L168" i="3"/>
  <c r="B168" i="3"/>
  <c r="Z167" i="3"/>
  <c r="X167" i="3"/>
  <c r="L167" i="3"/>
  <c r="N167" i="3" s="1"/>
  <c r="B167" i="3"/>
  <c r="X166" i="3"/>
  <c r="Z166" i="3" s="1"/>
  <c r="L166" i="3"/>
  <c r="N166" i="3" s="1"/>
  <c r="B166" i="3"/>
  <c r="X165" i="3"/>
  <c r="Z165" i="3" s="1"/>
  <c r="L165" i="3"/>
  <c r="N165" i="3" s="1"/>
  <c r="B165" i="3"/>
  <c r="Z164" i="3"/>
  <c r="X164" i="3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X161" i="3"/>
  <c r="Z161" i="3" s="1"/>
  <c r="L161" i="3"/>
  <c r="N161" i="3" s="1"/>
  <c r="B161" i="3"/>
  <c r="Z160" i="3"/>
  <c r="X160" i="3"/>
  <c r="N160" i="3"/>
  <c r="L160" i="3"/>
  <c r="B160" i="3"/>
  <c r="Z159" i="3"/>
  <c r="X159" i="3"/>
  <c r="L159" i="3"/>
  <c r="N159" i="3" s="1"/>
  <c r="B159" i="3"/>
  <c r="X158" i="3"/>
  <c r="Z158" i="3" s="1"/>
  <c r="L158" i="3"/>
  <c r="N158" i="3" s="1"/>
  <c r="B158" i="3"/>
  <c r="X157" i="3"/>
  <c r="Z157" i="3" s="1"/>
  <c r="N157" i="3"/>
  <c r="L157" i="3"/>
  <c r="B157" i="3"/>
  <c r="Z156" i="3"/>
  <c r="X156" i="3"/>
  <c r="N156" i="3"/>
  <c r="L156" i="3"/>
  <c r="B156" i="3"/>
  <c r="Z155" i="3"/>
  <c r="X155" i="3"/>
  <c r="L155" i="3"/>
  <c r="N155" i="3" s="1"/>
  <c r="B155" i="3"/>
  <c r="X154" i="3"/>
  <c r="Z154" i="3" s="1"/>
  <c r="L154" i="3"/>
  <c r="N154" i="3" s="1"/>
  <c r="B154" i="3"/>
  <c r="X153" i="3"/>
  <c r="Z153" i="3" s="1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B151" i="3"/>
  <c r="X150" i="3"/>
  <c r="Z150" i="3" s="1"/>
  <c r="L150" i="3"/>
  <c r="N150" i="3" s="1"/>
  <c r="B150" i="3"/>
  <c r="X149" i="3"/>
  <c r="Z149" i="3" s="1"/>
  <c r="N149" i="3"/>
  <c r="L149" i="3"/>
  <c r="B149" i="3"/>
  <c r="T148" i="3"/>
  <c r="P148" i="3"/>
  <c r="X148" i="3" s="1"/>
  <c r="Z148" i="3" s="1"/>
  <c r="H148" i="3"/>
  <c r="N148" i="3" s="1"/>
  <c r="D148" i="3"/>
  <c r="L148" i="3" s="1"/>
  <c r="T146" i="3"/>
  <c r="Z146" i="3" s="1"/>
  <c r="P146" i="3"/>
  <c r="X146" i="3" s="1"/>
  <c r="N146" i="3"/>
  <c r="L146" i="3"/>
  <c r="H146" i="3"/>
  <c r="D146" i="3"/>
  <c r="B146" i="3"/>
  <c r="T145" i="3"/>
  <c r="P145" i="3"/>
  <c r="X145" i="3" s="1"/>
  <c r="Z145" i="3" s="1"/>
  <c r="L145" i="3"/>
  <c r="H145" i="3"/>
  <c r="N145" i="3" s="1"/>
  <c r="D145" i="3"/>
  <c r="B145" i="3"/>
  <c r="T144" i="3"/>
  <c r="Z144" i="3" s="1"/>
  <c r="P144" i="3"/>
  <c r="X144" i="3" s="1"/>
  <c r="H144" i="3"/>
  <c r="D144" i="3"/>
  <c r="B144" i="3"/>
  <c r="X143" i="3"/>
  <c r="T143" i="3"/>
  <c r="Z143" i="3" s="1"/>
  <c r="P143" i="3"/>
  <c r="H143" i="3"/>
  <c r="N143" i="3" s="1"/>
  <c r="D143" i="3"/>
  <c r="B143" i="3"/>
  <c r="T142" i="3"/>
  <c r="Z142" i="3" s="1"/>
  <c r="P142" i="3"/>
  <c r="X142" i="3" s="1"/>
  <c r="N142" i="3"/>
  <c r="L142" i="3"/>
  <c r="H142" i="3"/>
  <c r="D142" i="3"/>
  <c r="B142" i="3"/>
  <c r="T141" i="3"/>
  <c r="P141" i="3"/>
  <c r="X141" i="3" s="1"/>
  <c r="Z141" i="3" s="1"/>
  <c r="L141" i="3"/>
  <c r="H141" i="3"/>
  <c r="N141" i="3" s="1"/>
  <c r="D141" i="3"/>
  <c r="B141" i="3"/>
  <c r="T140" i="3"/>
  <c r="Z140" i="3" s="1"/>
  <c r="P140" i="3"/>
  <c r="X140" i="3" s="1"/>
  <c r="H140" i="3"/>
  <c r="D140" i="3"/>
  <c r="B140" i="3"/>
  <c r="X139" i="3"/>
  <c r="T139" i="3"/>
  <c r="Z139" i="3" s="1"/>
  <c r="P139" i="3"/>
  <c r="H139" i="3"/>
  <c r="L139" i="3" s="1"/>
  <c r="D139" i="3"/>
  <c r="B139" i="3"/>
  <c r="T138" i="3"/>
  <c r="Z138" i="3" s="1"/>
  <c r="P138" i="3"/>
  <c r="X138" i="3" s="1"/>
  <c r="N138" i="3"/>
  <c r="L138" i="3"/>
  <c r="H138" i="3"/>
  <c r="D138" i="3"/>
  <c r="B138" i="3"/>
  <c r="Z137" i="3"/>
  <c r="T137" i="3"/>
  <c r="P137" i="3"/>
  <c r="X137" i="3" s="1"/>
  <c r="N137" i="3"/>
  <c r="L137" i="3"/>
  <c r="H137" i="3"/>
  <c r="D137" i="3"/>
  <c r="B137" i="3"/>
  <c r="T136" i="3"/>
  <c r="P136" i="3"/>
  <c r="X136" i="3" s="1"/>
  <c r="H136" i="3"/>
  <c r="N136" i="3" s="1"/>
  <c r="D136" i="3"/>
  <c r="B136" i="3"/>
  <c r="X135" i="3"/>
  <c r="T135" i="3"/>
  <c r="Z135" i="3" s="1"/>
  <c r="P135" i="3"/>
  <c r="H135" i="3"/>
  <c r="L135" i="3" s="1"/>
  <c r="D135" i="3"/>
  <c r="B135" i="3"/>
  <c r="T134" i="3"/>
  <c r="P134" i="3"/>
  <c r="X134" i="3" s="1"/>
  <c r="N134" i="3"/>
  <c r="L134" i="3"/>
  <c r="H134" i="3"/>
  <c r="D134" i="3"/>
  <c r="B134" i="3"/>
  <c r="Z133" i="3"/>
  <c r="T133" i="3"/>
  <c r="P133" i="3"/>
  <c r="X133" i="3" s="1"/>
  <c r="L133" i="3"/>
  <c r="H133" i="3"/>
  <c r="N133" i="3" s="1"/>
  <c r="D133" i="3"/>
  <c r="B133" i="3"/>
  <c r="T132" i="3"/>
  <c r="P132" i="3"/>
  <c r="X132" i="3" s="1"/>
  <c r="H132" i="3"/>
  <c r="D132" i="3"/>
  <c r="B132" i="3"/>
  <c r="X131" i="3"/>
  <c r="T131" i="3"/>
  <c r="Z131" i="3" s="1"/>
  <c r="P131" i="3"/>
  <c r="H131" i="3"/>
  <c r="L131" i="3" s="1"/>
  <c r="D131" i="3"/>
  <c r="B131" i="3"/>
  <c r="T130" i="3"/>
  <c r="P130" i="3"/>
  <c r="X130" i="3" s="1"/>
  <c r="N130" i="3"/>
  <c r="L130" i="3"/>
  <c r="H130" i="3"/>
  <c r="D130" i="3"/>
  <c r="B130" i="3"/>
  <c r="T129" i="3"/>
  <c r="P129" i="3"/>
  <c r="X129" i="3" s="1"/>
  <c r="Z129" i="3" s="1"/>
  <c r="L129" i="3"/>
  <c r="N129" i="3" s="1"/>
  <c r="H129" i="3"/>
  <c r="D129" i="3"/>
  <c r="B129" i="3"/>
  <c r="T128" i="3"/>
  <c r="P128" i="3"/>
  <c r="X128" i="3" s="1"/>
  <c r="H128" i="3"/>
  <c r="D128" i="3"/>
  <c r="B128" i="3"/>
  <c r="X127" i="3"/>
  <c r="T127" i="3"/>
  <c r="Z127" i="3" s="1"/>
  <c r="P127" i="3"/>
  <c r="H127" i="3"/>
  <c r="L127" i="3" s="1"/>
  <c r="D127" i="3"/>
  <c r="B127" i="3"/>
  <c r="T126" i="3"/>
  <c r="P126" i="3"/>
  <c r="N126" i="3"/>
  <c r="L126" i="3"/>
  <c r="H126" i="3"/>
  <c r="D126" i="3"/>
  <c r="B126" i="3"/>
  <c r="T125" i="3"/>
  <c r="P125" i="3"/>
  <c r="X125" i="3" s="1"/>
  <c r="Z125" i="3" s="1"/>
  <c r="L125" i="3"/>
  <c r="N125" i="3" s="1"/>
  <c r="H125" i="3"/>
  <c r="D125" i="3"/>
  <c r="B125" i="3"/>
  <c r="T124" i="3"/>
  <c r="P124" i="3"/>
  <c r="X124" i="3" s="1"/>
  <c r="H124" i="3"/>
  <c r="D124" i="3"/>
  <c r="B124" i="3"/>
  <c r="X123" i="3"/>
  <c r="T123" i="3"/>
  <c r="Z123" i="3" s="1"/>
  <c r="P123" i="3"/>
  <c r="H123" i="3"/>
  <c r="L123" i="3" s="1"/>
  <c r="D123" i="3"/>
  <c r="B123" i="3"/>
  <c r="T122" i="3"/>
  <c r="Z122" i="3" s="1"/>
  <c r="P122" i="3"/>
  <c r="N122" i="3"/>
  <c r="L122" i="3"/>
  <c r="H122" i="3"/>
  <c r="D122" i="3"/>
  <c r="B122" i="3"/>
  <c r="T121" i="3"/>
  <c r="P121" i="3"/>
  <c r="X121" i="3" s="1"/>
  <c r="Z121" i="3" s="1"/>
  <c r="L121" i="3"/>
  <c r="N121" i="3" s="1"/>
  <c r="H121" i="3"/>
  <c r="D121" i="3"/>
  <c r="B121" i="3"/>
  <c r="T120" i="3"/>
  <c r="P120" i="3"/>
  <c r="X120" i="3" s="1"/>
  <c r="H120" i="3"/>
  <c r="D120" i="3"/>
  <c r="B120" i="3"/>
  <c r="X119" i="3"/>
  <c r="T119" i="3"/>
  <c r="Z119" i="3" s="1"/>
  <c r="P119" i="3"/>
  <c r="H119" i="3"/>
  <c r="L119" i="3" s="1"/>
  <c r="D119" i="3"/>
  <c r="B119" i="3"/>
  <c r="T118" i="3"/>
  <c r="P118" i="3"/>
  <c r="N118" i="3"/>
  <c r="L118" i="3"/>
  <c r="H118" i="3"/>
  <c r="D118" i="3"/>
  <c r="B118" i="3"/>
  <c r="T117" i="3"/>
  <c r="P117" i="3"/>
  <c r="X117" i="3" s="1"/>
  <c r="Z117" i="3" s="1"/>
  <c r="L117" i="3"/>
  <c r="N117" i="3" s="1"/>
  <c r="H117" i="3"/>
  <c r="D117" i="3"/>
  <c r="B117" i="3"/>
  <c r="T116" i="3"/>
  <c r="P116" i="3"/>
  <c r="X116" i="3" s="1"/>
  <c r="H116" i="3"/>
  <c r="N116" i="3" s="1"/>
  <c r="D116" i="3"/>
  <c r="B116" i="3"/>
  <c r="X115" i="3"/>
  <c r="T115" i="3"/>
  <c r="Z115" i="3" s="1"/>
  <c r="P115" i="3"/>
  <c r="H115" i="3"/>
  <c r="D115" i="3"/>
  <c r="B115" i="3"/>
  <c r="T114" i="3"/>
  <c r="P114" i="3"/>
  <c r="N114" i="3"/>
  <c r="L114" i="3"/>
  <c r="H114" i="3"/>
  <c r="D114" i="3"/>
  <c r="B114" i="3"/>
  <c r="T113" i="3"/>
  <c r="P113" i="3"/>
  <c r="X113" i="3" s="1"/>
  <c r="Z113" i="3" s="1"/>
  <c r="L113" i="3"/>
  <c r="N113" i="3" s="1"/>
  <c r="H113" i="3"/>
  <c r="D113" i="3"/>
  <c r="B113" i="3"/>
  <c r="T112" i="3"/>
  <c r="P112" i="3"/>
  <c r="X112" i="3" s="1"/>
  <c r="H112" i="3"/>
  <c r="N112" i="3" s="1"/>
  <c r="D112" i="3"/>
  <c r="B112" i="3"/>
  <c r="X111" i="3"/>
  <c r="T111" i="3"/>
  <c r="Z111" i="3" s="1"/>
  <c r="P111" i="3"/>
  <c r="H111" i="3"/>
  <c r="L111" i="3" s="1"/>
  <c r="D111" i="3"/>
  <c r="B111" i="3"/>
  <c r="T110" i="3"/>
  <c r="P110" i="3"/>
  <c r="N110" i="3"/>
  <c r="L110" i="3"/>
  <c r="H110" i="3"/>
  <c r="D110" i="3"/>
  <c r="B110" i="3"/>
  <c r="T109" i="3"/>
  <c r="P109" i="3"/>
  <c r="X109" i="3" s="1"/>
  <c r="Z109" i="3" s="1"/>
  <c r="L109" i="3"/>
  <c r="N109" i="3" s="1"/>
  <c r="H109" i="3"/>
  <c r="D109" i="3"/>
  <c r="B109" i="3"/>
  <c r="T108" i="3"/>
  <c r="P108" i="3"/>
  <c r="X108" i="3" s="1"/>
  <c r="H108" i="3"/>
  <c r="D108" i="3"/>
  <c r="B108" i="3"/>
  <c r="X107" i="3"/>
  <c r="T107" i="3"/>
  <c r="Z107" i="3" s="1"/>
  <c r="P107" i="3"/>
  <c r="H107" i="3"/>
  <c r="L107" i="3" s="1"/>
  <c r="D107" i="3"/>
  <c r="B107" i="3"/>
  <c r="T106" i="3"/>
  <c r="P106" i="3"/>
  <c r="N106" i="3"/>
  <c r="L106" i="3"/>
  <c r="H106" i="3"/>
  <c r="D106" i="3"/>
  <c r="B106" i="3"/>
  <c r="T105" i="3"/>
  <c r="P105" i="3"/>
  <c r="X105" i="3" s="1"/>
  <c r="Z105" i="3" s="1"/>
  <c r="L105" i="3"/>
  <c r="N105" i="3" s="1"/>
  <c r="H105" i="3"/>
  <c r="D105" i="3"/>
  <c r="B105" i="3"/>
  <c r="T104" i="3"/>
  <c r="P104" i="3"/>
  <c r="X104" i="3" s="1"/>
  <c r="H104" i="3"/>
  <c r="N104" i="3" s="1"/>
  <c r="D104" i="3"/>
  <c r="B104" i="3"/>
  <c r="X103" i="3"/>
  <c r="T103" i="3"/>
  <c r="Z103" i="3" s="1"/>
  <c r="P103" i="3"/>
  <c r="H103" i="3"/>
  <c r="N103" i="3" s="1"/>
  <c r="D103" i="3"/>
  <c r="B103" i="3"/>
  <c r="T102" i="3"/>
  <c r="P102" i="3"/>
  <c r="N102" i="3"/>
  <c r="L102" i="3"/>
  <c r="H102" i="3"/>
  <c r="D102" i="3"/>
  <c r="B102" i="3"/>
  <c r="T101" i="3"/>
  <c r="P101" i="3"/>
  <c r="X101" i="3" s="1"/>
  <c r="Z101" i="3" s="1"/>
  <c r="N101" i="3"/>
  <c r="L101" i="3"/>
  <c r="H101" i="3"/>
  <c r="D101" i="3"/>
  <c r="B101" i="3"/>
  <c r="T100" i="3"/>
  <c r="Z100" i="3" s="1"/>
  <c r="P100" i="3"/>
  <c r="X100" i="3" s="1"/>
  <c r="H100" i="3"/>
  <c r="D100" i="3"/>
  <c r="B100" i="3"/>
  <c r="X99" i="3"/>
  <c r="T99" i="3"/>
  <c r="Z99" i="3" s="1"/>
  <c r="P99" i="3"/>
  <c r="H99" i="3"/>
  <c r="L99" i="3" s="1"/>
  <c r="D99" i="3"/>
  <c r="B99" i="3"/>
  <c r="T98" i="3"/>
  <c r="P98" i="3"/>
  <c r="N98" i="3"/>
  <c r="L98" i="3"/>
  <c r="H98" i="3"/>
  <c r="D98" i="3"/>
  <c r="B98" i="3"/>
  <c r="T97" i="3"/>
  <c r="P97" i="3"/>
  <c r="X97" i="3" s="1"/>
  <c r="Z97" i="3" s="1"/>
  <c r="N97" i="3"/>
  <c r="L97" i="3"/>
  <c r="H97" i="3"/>
  <c r="D97" i="3"/>
  <c r="B97" i="3"/>
  <c r="T96" i="3"/>
  <c r="P96" i="3"/>
  <c r="X96" i="3" s="1"/>
  <c r="H96" i="3"/>
  <c r="D96" i="3"/>
  <c r="B96" i="3"/>
  <c r="X95" i="3"/>
  <c r="T95" i="3"/>
  <c r="Z95" i="3" s="1"/>
  <c r="P95" i="3"/>
  <c r="H95" i="3"/>
  <c r="L95" i="3" s="1"/>
  <c r="D95" i="3"/>
  <c r="B95" i="3"/>
  <c r="T94" i="3"/>
  <c r="P94" i="3"/>
  <c r="N94" i="3"/>
  <c r="L94" i="3"/>
  <c r="H94" i="3"/>
  <c r="D94" i="3"/>
  <c r="B94" i="3"/>
  <c r="T93" i="3"/>
  <c r="P93" i="3"/>
  <c r="X93" i="3" s="1"/>
  <c r="Z93" i="3" s="1"/>
  <c r="L93" i="3"/>
  <c r="N93" i="3" s="1"/>
  <c r="H93" i="3"/>
  <c r="D93" i="3"/>
  <c r="B93" i="3"/>
  <c r="T92" i="3"/>
  <c r="P92" i="3"/>
  <c r="X92" i="3" s="1"/>
  <c r="H92" i="3"/>
  <c r="D92" i="3"/>
  <c r="B92" i="3"/>
  <c r="T91" i="3"/>
  <c r="P91" i="3"/>
  <c r="H91" i="3"/>
  <c r="D91" i="3"/>
  <c r="B91" i="3"/>
  <c r="T90" i="3"/>
  <c r="P90" i="3"/>
  <c r="N90" i="3"/>
  <c r="L90" i="3"/>
  <c r="H90" i="3"/>
  <c r="D90" i="3"/>
  <c r="B90" i="3"/>
  <c r="T89" i="3"/>
  <c r="P89" i="3"/>
  <c r="X89" i="3" s="1"/>
  <c r="Z89" i="3" s="1"/>
  <c r="L89" i="3"/>
  <c r="N89" i="3" s="1"/>
  <c r="H89" i="3"/>
  <c r="D89" i="3"/>
  <c r="B89" i="3"/>
  <c r="T88" i="3"/>
  <c r="Z88" i="3" s="1"/>
  <c r="P88" i="3"/>
  <c r="X88" i="3" s="1"/>
  <c r="H88" i="3"/>
  <c r="N88" i="3" s="1"/>
  <c r="D88" i="3"/>
  <c r="B88" i="3"/>
  <c r="T87" i="3"/>
  <c r="P87" i="3"/>
  <c r="H87" i="3"/>
  <c r="D87" i="3"/>
  <c r="B87" i="3"/>
  <c r="T86" i="3"/>
  <c r="P86" i="3"/>
  <c r="L86" i="3"/>
  <c r="N86" i="3" s="1"/>
  <c r="H86" i="3"/>
  <c r="D86" i="3"/>
  <c r="B86" i="3"/>
  <c r="T85" i="3"/>
  <c r="P85" i="3"/>
  <c r="X85" i="3" s="1"/>
  <c r="Z85" i="3" s="1"/>
  <c r="L85" i="3"/>
  <c r="N85" i="3" s="1"/>
  <c r="H85" i="3"/>
  <c r="D85" i="3"/>
  <c r="B85" i="3"/>
  <c r="T84" i="3"/>
  <c r="P84" i="3"/>
  <c r="X84" i="3" s="1"/>
  <c r="H84" i="3"/>
  <c r="D84" i="3"/>
  <c r="B84" i="3"/>
  <c r="T83" i="3"/>
  <c r="P83" i="3"/>
  <c r="H83" i="3"/>
  <c r="D83" i="3"/>
  <c r="B83" i="3"/>
  <c r="T82" i="3"/>
  <c r="P82" i="3"/>
  <c r="L82" i="3"/>
  <c r="N82" i="3" s="1"/>
  <c r="H82" i="3"/>
  <c r="D82" i="3"/>
  <c r="B82" i="3"/>
  <c r="T81" i="3"/>
  <c r="P81" i="3"/>
  <c r="X81" i="3" s="1"/>
  <c r="Z81" i="3" s="1"/>
  <c r="L81" i="3"/>
  <c r="N81" i="3" s="1"/>
  <c r="H81" i="3"/>
  <c r="D81" i="3"/>
  <c r="B81" i="3"/>
  <c r="T80" i="3"/>
  <c r="Z80" i="3" s="1"/>
  <c r="P80" i="3"/>
  <c r="X80" i="3" s="1"/>
  <c r="H80" i="3"/>
  <c r="D80" i="3"/>
  <c r="B80" i="3"/>
  <c r="T79" i="3"/>
  <c r="Z79" i="3" s="1"/>
  <c r="P79" i="3"/>
  <c r="H79" i="3"/>
  <c r="N79" i="3" s="1"/>
  <c r="D79" i="3"/>
  <c r="B79" i="3"/>
  <c r="T78" i="3"/>
  <c r="P78" i="3"/>
  <c r="L78" i="3"/>
  <c r="N78" i="3" s="1"/>
  <c r="H78" i="3"/>
  <c r="D78" i="3"/>
  <c r="B78" i="3"/>
  <c r="T77" i="3"/>
  <c r="P77" i="3"/>
  <c r="X77" i="3" s="1"/>
  <c r="Z77" i="3" s="1"/>
  <c r="L77" i="3"/>
  <c r="N77" i="3" s="1"/>
  <c r="H77" i="3"/>
  <c r="D77" i="3"/>
  <c r="B77" i="3"/>
  <c r="T76" i="3"/>
  <c r="P76" i="3"/>
  <c r="X76" i="3" s="1"/>
  <c r="H76" i="3"/>
  <c r="D76" i="3"/>
  <c r="B76" i="3"/>
  <c r="T75" i="3"/>
  <c r="P75" i="3"/>
  <c r="H75" i="3"/>
  <c r="D75" i="3"/>
  <c r="B75" i="3"/>
  <c r="T74" i="3"/>
  <c r="P74" i="3"/>
  <c r="L74" i="3"/>
  <c r="N74" i="3" s="1"/>
  <c r="H74" i="3"/>
  <c r="D74" i="3"/>
  <c r="B74" i="3"/>
  <c r="T73" i="3"/>
  <c r="P73" i="3"/>
  <c r="X73" i="3" s="1"/>
  <c r="Z73" i="3" s="1"/>
  <c r="L73" i="3"/>
  <c r="N73" i="3" s="1"/>
  <c r="H73" i="3"/>
  <c r="D73" i="3"/>
  <c r="B73" i="3"/>
  <c r="T72" i="3"/>
  <c r="P72" i="3"/>
  <c r="X72" i="3" s="1"/>
  <c r="H72" i="3"/>
  <c r="D72" i="3"/>
  <c r="B72" i="3"/>
  <c r="T71" i="3"/>
  <c r="P71" i="3"/>
  <c r="H71" i="3"/>
  <c r="D71" i="3"/>
  <c r="B71" i="3"/>
  <c r="T70" i="3"/>
  <c r="P70" i="3"/>
  <c r="L70" i="3"/>
  <c r="N70" i="3" s="1"/>
  <c r="H70" i="3"/>
  <c r="D70" i="3"/>
  <c r="B70" i="3"/>
  <c r="T69" i="3"/>
  <c r="P69" i="3"/>
  <c r="X69" i="3" s="1"/>
  <c r="Z69" i="3" s="1"/>
  <c r="L69" i="3"/>
  <c r="N69" i="3" s="1"/>
  <c r="H69" i="3"/>
  <c r="D69" i="3"/>
  <c r="B69" i="3"/>
  <c r="T68" i="3"/>
  <c r="P68" i="3"/>
  <c r="X68" i="3" s="1"/>
  <c r="H68" i="3"/>
  <c r="D68" i="3"/>
  <c r="B68" i="3"/>
  <c r="T67" i="3"/>
  <c r="P67" i="3"/>
  <c r="H67" i="3"/>
  <c r="D67" i="3"/>
  <c r="B67" i="3"/>
  <c r="T66" i="3"/>
  <c r="P66" i="3"/>
  <c r="L66" i="3"/>
  <c r="N66" i="3" s="1"/>
  <c r="H66" i="3"/>
  <c r="D66" i="3"/>
  <c r="B66" i="3"/>
  <c r="T65" i="3"/>
  <c r="P65" i="3"/>
  <c r="X65" i="3" s="1"/>
  <c r="Z65" i="3" s="1"/>
  <c r="N65" i="3"/>
  <c r="L65" i="3"/>
  <c r="H65" i="3"/>
  <c r="D65" i="3"/>
  <c r="B65" i="3"/>
  <c r="T64" i="3"/>
  <c r="Z64" i="3" s="1"/>
  <c r="P64" i="3"/>
  <c r="X64" i="3" s="1"/>
  <c r="H64" i="3"/>
  <c r="N64" i="3" s="1"/>
  <c r="D64" i="3"/>
  <c r="B64" i="3"/>
  <c r="T63" i="3"/>
  <c r="P63" i="3"/>
  <c r="H63" i="3"/>
  <c r="L63" i="3" s="1"/>
  <c r="D63" i="3"/>
  <c r="B63" i="3"/>
  <c r="T62" i="3"/>
  <c r="P62" i="3"/>
  <c r="L62" i="3"/>
  <c r="N62" i="3" s="1"/>
  <c r="H62" i="3"/>
  <c r="D62" i="3"/>
  <c r="B62" i="3"/>
  <c r="T61" i="3"/>
  <c r="P61" i="3"/>
  <c r="X61" i="3" s="1"/>
  <c r="Z61" i="3" s="1"/>
  <c r="L61" i="3"/>
  <c r="N61" i="3" s="1"/>
  <c r="H61" i="3"/>
  <c r="D61" i="3"/>
  <c r="B61" i="3"/>
  <c r="T60" i="3"/>
  <c r="P60" i="3"/>
  <c r="X60" i="3" s="1"/>
  <c r="H60" i="3"/>
  <c r="D60" i="3"/>
  <c r="B60" i="3"/>
  <c r="T59" i="3"/>
  <c r="P59" i="3"/>
  <c r="H59" i="3"/>
  <c r="L59" i="3" s="1"/>
  <c r="D59" i="3"/>
  <c r="B59" i="3"/>
  <c r="T58" i="3"/>
  <c r="P58" i="3"/>
  <c r="L58" i="3"/>
  <c r="N58" i="3" s="1"/>
  <c r="H58" i="3"/>
  <c r="D58" i="3"/>
  <c r="B58" i="3"/>
  <c r="T57" i="3"/>
  <c r="P57" i="3"/>
  <c r="X57" i="3" s="1"/>
  <c r="Z57" i="3" s="1"/>
  <c r="L57" i="3"/>
  <c r="N57" i="3" s="1"/>
  <c r="H57" i="3"/>
  <c r="D57" i="3"/>
  <c r="B57" i="3"/>
  <c r="T56" i="3"/>
  <c r="P56" i="3"/>
  <c r="X56" i="3" s="1"/>
  <c r="H56" i="3"/>
  <c r="D56" i="3"/>
  <c r="B56" i="3"/>
  <c r="T55" i="3"/>
  <c r="P55" i="3"/>
  <c r="H55" i="3"/>
  <c r="D55" i="3"/>
  <c r="B55" i="3"/>
  <c r="T54" i="3"/>
  <c r="Z54" i="3" s="1"/>
  <c r="P54" i="3"/>
  <c r="L54" i="3"/>
  <c r="N54" i="3" s="1"/>
  <c r="H54" i="3"/>
  <c r="D54" i="3"/>
  <c r="B54" i="3"/>
  <c r="T53" i="3"/>
  <c r="P53" i="3"/>
  <c r="X53" i="3" s="1"/>
  <c r="Z53" i="3" s="1"/>
  <c r="L53" i="3"/>
  <c r="N53" i="3" s="1"/>
  <c r="H53" i="3"/>
  <c r="D53" i="3"/>
  <c r="B53" i="3"/>
  <c r="T52" i="3"/>
  <c r="Z52" i="3" s="1"/>
  <c r="P52" i="3"/>
  <c r="X52" i="3" s="1"/>
  <c r="H52" i="3"/>
  <c r="D52" i="3"/>
  <c r="B52" i="3"/>
  <c r="T51" i="3"/>
  <c r="P51" i="3"/>
  <c r="H51" i="3"/>
  <c r="L51" i="3" s="1"/>
  <c r="D51" i="3"/>
  <c r="B51" i="3"/>
  <c r="T50" i="3"/>
  <c r="P50" i="3"/>
  <c r="N50" i="3"/>
  <c r="L50" i="3"/>
  <c r="H50" i="3"/>
  <c r="D50" i="3"/>
  <c r="B50" i="3"/>
  <c r="T49" i="3"/>
  <c r="P49" i="3"/>
  <c r="X49" i="3" s="1"/>
  <c r="Z49" i="3" s="1"/>
  <c r="L49" i="3"/>
  <c r="N49" i="3" s="1"/>
  <c r="H49" i="3"/>
  <c r="D49" i="3"/>
  <c r="B49" i="3"/>
  <c r="T48" i="3"/>
  <c r="P48" i="3"/>
  <c r="X48" i="3" s="1"/>
  <c r="H48" i="3"/>
  <c r="D48" i="3"/>
  <c r="B48" i="3"/>
  <c r="T47" i="3"/>
  <c r="P47" i="3"/>
  <c r="H47" i="3"/>
  <c r="L47" i="3" s="1"/>
  <c r="D47" i="3"/>
  <c r="B47" i="3"/>
  <c r="T46" i="3"/>
  <c r="P46" i="3"/>
  <c r="L46" i="3"/>
  <c r="N46" i="3" s="1"/>
  <c r="H46" i="3"/>
  <c r="D46" i="3"/>
  <c r="B46" i="3"/>
  <c r="T45" i="3"/>
  <c r="P45" i="3"/>
  <c r="X45" i="3" s="1"/>
  <c r="Z45" i="3" s="1"/>
  <c r="N45" i="3"/>
  <c r="L45" i="3"/>
  <c r="H45" i="3"/>
  <c r="D45" i="3"/>
  <c r="B45" i="3"/>
  <c r="T44" i="3"/>
  <c r="Z44" i="3" s="1"/>
  <c r="P44" i="3"/>
  <c r="X44" i="3" s="1"/>
  <c r="H44" i="3"/>
  <c r="D44" i="3"/>
  <c r="B44" i="3"/>
  <c r="T43" i="3"/>
  <c r="P43" i="3"/>
  <c r="H43" i="3"/>
  <c r="D43" i="3"/>
  <c r="B43" i="3"/>
  <c r="T42" i="3"/>
  <c r="P42" i="3"/>
  <c r="L42" i="3"/>
  <c r="N42" i="3" s="1"/>
  <c r="H42" i="3"/>
  <c r="D42" i="3"/>
  <c r="B42" i="3"/>
  <c r="T41" i="3"/>
  <c r="P41" i="3"/>
  <c r="X41" i="3" s="1"/>
  <c r="Z41" i="3" s="1"/>
  <c r="L41" i="3"/>
  <c r="N41" i="3" s="1"/>
  <c r="H41" i="3"/>
  <c r="D41" i="3"/>
  <c r="B41" i="3"/>
  <c r="T40" i="3"/>
  <c r="Z40" i="3" s="1"/>
  <c r="P40" i="3"/>
  <c r="X40" i="3" s="1"/>
  <c r="H40" i="3"/>
  <c r="D40" i="3"/>
  <c r="B40" i="3"/>
  <c r="T39" i="3"/>
  <c r="P39" i="3"/>
  <c r="H39" i="3"/>
  <c r="D39" i="3"/>
  <c r="B39" i="3"/>
  <c r="T38" i="3"/>
  <c r="P38" i="3"/>
  <c r="L38" i="3"/>
  <c r="N38" i="3" s="1"/>
  <c r="H38" i="3"/>
  <c r="D38" i="3"/>
  <c r="B38" i="3"/>
  <c r="T37" i="3"/>
  <c r="P37" i="3"/>
  <c r="X37" i="3" s="1"/>
  <c r="Z37" i="3" s="1"/>
  <c r="L37" i="3"/>
  <c r="N37" i="3" s="1"/>
  <c r="H37" i="3"/>
  <c r="D37" i="3"/>
  <c r="B37" i="3"/>
  <c r="T36" i="3"/>
  <c r="P36" i="3"/>
  <c r="X36" i="3" s="1"/>
  <c r="H36" i="3"/>
  <c r="D36" i="3"/>
  <c r="B36" i="3"/>
  <c r="T35" i="3"/>
  <c r="P35" i="3"/>
  <c r="H35" i="3"/>
  <c r="L35" i="3" s="1"/>
  <c r="D35" i="3"/>
  <c r="B35" i="3"/>
  <c r="T34" i="3"/>
  <c r="P34" i="3"/>
  <c r="L34" i="3"/>
  <c r="N34" i="3" s="1"/>
  <c r="H34" i="3"/>
  <c r="D34" i="3"/>
  <c r="B34" i="3"/>
  <c r="T33" i="3"/>
  <c r="P33" i="3"/>
  <c r="X33" i="3" s="1"/>
  <c r="Z33" i="3" s="1"/>
  <c r="L33" i="3"/>
  <c r="N33" i="3" s="1"/>
  <c r="H33" i="3"/>
  <c r="D33" i="3"/>
  <c r="B33" i="3"/>
  <c r="T32" i="3"/>
  <c r="P32" i="3"/>
  <c r="X32" i="3" s="1"/>
  <c r="H32" i="3"/>
  <c r="D32" i="3"/>
  <c r="B32" i="3"/>
  <c r="T31" i="3"/>
  <c r="P31" i="3"/>
  <c r="H31" i="3"/>
  <c r="D31" i="3"/>
  <c r="B31" i="3"/>
  <c r="T30" i="3"/>
  <c r="P30" i="3"/>
  <c r="L30" i="3"/>
  <c r="N30" i="3" s="1"/>
  <c r="H30" i="3"/>
  <c r="D30" i="3"/>
  <c r="B30" i="3"/>
  <c r="T29" i="3"/>
  <c r="P29" i="3"/>
  <c r="X29" i="3" s="1"/>
  <c r="Z29" i="3" s="1"/>
  <c r="L29" i="3"/>
  <c r="N29" i="3" s="1"/>
  <c r="H29" i="3"/>
  <c r="D29" i="3"/>
  <c r="B29" i="3"/>
  <c r="T28" i="3"/>
  <c r="P28" i="3"/>
  <c r="X28" i="3" s="1"/>
  <c r="H28" i="3"/>
  <c r="D28" i="3"/>
  <c r="B28" i="3"/>
  <c r="T27" i="3"/>
  <c r="P27" i="3"/>
  <c r="H27" i="3"/>
  <c r="D27" i="3"/>
  <c r="B27" i="3"/>
  <c r="T26" i="3"/>
  <c r="P26" i="3"/>
  <c r="L26" i="3"/>
  <c r="N26" i="3" s="1"/>
  <c r="H26" i="3"/>
  <c r="D26" i="3"/>
  <c r="B26" i="3"/>
  <c r="T25" i="3"/>
  <c r="P25" i="3"/>
  <c r="X25" i="3" s="1"/>
  <c r="Z25" i="3" s="1"/>
  <c r="L25" i="3"/>
  <c r="N25" i="3" s="1"/>
  <c r="H25" i="3"/>
  <c r="D25" i="3"/>
  <c r="B25" i="3"/>
  <c r="T24" i="3"/>
  <c r="Z24" i="3" s="1"/>
  <c r="P24" i="3"/>
  <c r="X24" i="3" s="1"/>
  <c r="H24" i="3"/>
  <c r="D24" i="3"/>
  <c r="B24" i="3"/>
  <c r="T23" i="3"/>
  <c r="P23" i="3"/>
  <c r="H23" i="3"/>
  <c r="D23" i="3"/>
  <c r="B23" i="3"/>
  <c r="T22" i="3"/>
  <c r="P22" i="3"/>
  <c r="L22" i="3"/>
  <c r="N22" i="3" s="1"/>
  <c r="H22" i="3"/>
  <c r="D22" i="3"/>
  <c r="B22" i="3"/>
  <c r="T21" i="3"/>
  <c r="P21" i="3"/>
  <c r="X21" i="3" s="1"/>
  <c r="Z21" i="3" s="1"/>
  <c r="L21" i="3"/>
  <c r="N21" i="3" s="1"/>
  <c r="H21" i="3"/>
  <c r="D21" i="3"/>
  <c r="B21" i="3"/>
  <c r="T20" i="3"/>
  <c r="Z20" i="3" s="1"/>
  <c r="P20" i="3"/>
  <c r="X20" i="3" s="1"/>
  <c r="H20" i="3"/>
  <c r="D20" i="3"/>
  <c r="B20" i="3"/>
  <c r="T19" i="3"/>
  <c r="P19" i="3"/>
  <c r="H19" i="3"/>
  <c r="L19" i="3" s="1"/>
  <c r="D19" i="3"/>
  <c r="B19" i="3"/>
  <c r="T18" i="3"/>
  <c r="P18" i="3"/>
  <c r="N18" i="3"/>
  <c r="L18" i="3"/>
  <c r="H18" i="3"/>
  <c r="D18" i="3"/>
  <c r="B18" i="3"/>
  <c r="T17" i="3"/>
  <c r="P17" i="3"/>
  <c r="X17" i="3" s="1"/>
  <c r="Z17" i="3" s="1"/>
  <c r="L17" i="3"/>
  <c r="N17" i="3" s="1"/>
  <c r="H17" i="3"/>
  <c r="D17" i="3"/>
  <c r="B17" i="3"/>
  <c r="T16" i="3"/>
  <c r="P16" i="3"/>
  <c r="X16" i="3" s="1"/>
  <c r="H16" i="3"/>
  <c r="D16" i="3"/>
  <c r="B16" i="3"/>
  <c r="T15" i="3"/>
  <c r="P15" i="3"/>
  <c r="H15" i="3"/>
  <c r="D15" i="3"/>
  <c r="B15" i="3"/>
  <c r="T14" i="3"/>
  <c r="T12" i="3" s="1"/>
  <c r="P14" i="3"/>
  <c r="L14" i="3"/>
  <c r="N14" i="3" s="1"/>
  <c r="H14" i="3"/>
  <c r="D14" i="3"/>
  <c r="B14" i="3"/>
  <c r="T13" i="3"/>
  <c r="P13" i="3"/>
  <c r="P12" i="3" s="1"/>
  <c r="L13" i="3"/>
  <c r="N13" i="3" s="1"/>
  <c r="H13" i="3"/>
  <c r="D13" i="3"/>
  <c r="D12" i="3" s="1"/>
  <c r="B13" i="3"/>
  <c r="H12" i="3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P20" i="112"/>
  <c r="P16" i="112"/>
  <c r="D12" i="112"/>
  <c r="P24" i="111"/>
  <c r="P22" i="111"/>
  <c r="T20" i="111"/>
  <c r="T16" i="111"/>
  <c r="T13" i="111"/>
  <c r="T24" i="110"/>
  <c r="T22" i="110"/>
  <c r="P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D21" i="112"/>
  <c r="H34" i="110"/>
  <c r="D6" i="110"/>
  <c r="D25" i="111"/>
  <c r="H33" i="110"/>
  <c r="H29" i="110"/>
  <c r="H15" i="112"/>
  <c r="H21" i="111"/>
  <c r="T25" i="110"/>
  <c r="B38" i="111"/>
  <c r="H25" i="110"/>
  <c r="B16" i="110"/>
  <c r="D34" i="111"/>
  <c r="P15" i="110"/>
  <c r="D4" i="111"/>
  <c r="D33" i="111"/>
  <c r="D29" i="111"/>
  <c r="D13" i="111"/>
  <c r="D15" i="110"/>
  <c r="T12" i="110"/>
  <c r="P21" i="53"/>
  <c r="T15" i="53"/>
  <c r="P13" i="53"/>
  <c r="H12" i="53"/>
  <c r="P24" i="52"/>
  <c r="P22" i="52"/>
  <c r="T20" i="52"/>
  <c r="T16" i="52"/>
  <c r="T13" i="52"/>
  <c r="B39" i="50"/>
  <c r="P20" i="53"/>
  <c r="P16" i="53"/>
  <c r="D12" i="53"/>
  <c r="P21" i="52"/>
  <c r="T15" i="52"/>
  <c r="P13" i="52"/>
  <c r="H12" i="52"/>
  <c r="H34" i="53"/>
  <c r="H33" i="53"/>
  <c r="H29" i="53"/>
  <c r="H25" i="53"/>
  <c r="P15" i="53"/>
  <c r="D5" i="53"/>
  <c r="P20" i="52"/>
  <c r="P16" i="52"/>
  <c r="D12" i="52"/>
  <c r="B39" i="53"/>
  <c r="H24" i="53"/>
  <c r="H22" i="53"/>
  <c r="H13" i="53"/>
  <c r="D4" i="53"/>
  <c r="H34" i="52"/>
  <c r="H33" i="52"/>
  <c r="H29" i="52"/>
  <c r="H25" i="52"/>
  <c r="P15" i="52"/>
  <c r="D5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1" i="53"/>
  <c r="D20" i="53"/>
  <c r="D16" i="53"/>
  <c r="B22" i="52"/>
  <c r="D21" i="52"/>
  <c r="H15" i="52"/>
  <c r="P34" i="50"/>
  <c r="P33" i="50"/>
  <c r="P29" i="50"/>
  <c r="P25" i="50"/>
  <c r="T34" i="53"/>
  <c r="T33" i="53"/>
  <c r="T29" i="53"/>
  <c r="T25" i="53"/>
  <c r="B16" i="53"/>
  <c r="D15" i="53"/>
  <c r="T12" i="53"/>
  <c r="B21" i="52"/>
  <c r="D20" i="52"/>
  <c r="D16" i="52"/>
  <c r="P34" i="53"/>
  <c r="P33" i="53"/>
  <c r="P29" i="53"/>
  <c r="P25" i="53"/>
  <c r="T21" i="53"/>
  <c r="P22" i="53"/>
  <c r="D29" i="52"/>
  <c r="T21" i="52"/>
  <c r="P21" i="50"/>
  <c r="T15" i="50"/>
  <c r="P13" i="50"/>
  <c r="H12" i="50"/>
  <c r="P24" i="49"/>
  <c r="P22" i="49"/>
  <c r="T20" i="49"/>
  <c r="T16" i="49"/>
  <c r="T13" i="49"/>
  <c r="B22" i="47"/>
  <c r="D21" i="47"/>
  <c r="H15" i="47"/>
  <c r="B25" i="46"/>
  <c r="D24" i="46"/>
  <c r="D22" i="46"/>
  <c r="H20" i="46"/>
  <c r="H16" i="46"/>
  <c r="B13" i="46"/>
  <c r="D22" i="53"/>
  <c r="P33" i="52"/>
  <c r="T24" i="52"/>
  <c r="H21" i="52"/>
  <c r="T34" i="50"/>
  <c r="P20" i="50"/>
  <c r="P16" i="50"/>
  <c r="D12" i="50"/>
  <c r="P21" i="49"/>
  <c r="T15" i="49"/>
  <c r="P13" i="49"/>
  <c r="H12" i="49"/>
  <c r="B21" i="47"/>
  <c r="D20" i="47"/>
  <c r="D16" i="47"/>
  <c r="B22" i="46"/>
  <c r="D21" i="46"/>
  <c r="H15" i="46"/>
  <c r="B22" i="53"/>
  <c r="H15" i="53"/>
  <c r="D33" i="52"/>
  <c r="D13" i="52"/>
  <c r="H33" i="50"/>
  <c r="P15" i="50"/>
  <c r="D5" i="50"/>
  <c r="P20" i="49"/>
  <c r="P16" i="49"/>
  <c r="D12" i="49"/>
  <c r="T34" i="47"/>
  <c r="T33" i="47"/>
  <c r="T29" i="47"/>
  <c r="T25" i="47"/>
  <c r="B16" i="47"/>
  <c r="D15" i="47"/>
  <c r="T12" i="47"/>
  <c r="B21" i="46"/>
  <c r="D20" i="46"/>
  <c r="D16" i="46"/>
  <c r="B13" i="52"/>
  <c r="B38" i="50"/>
  <c r="T29" i="50"/>
  <c r="H25" i="50"/>
  <c r="H24" i="50"/>
  <c r="H22" i="50"/>
  <c r="H13" i="50"/>
  <c r="D4" i="50"/>
  <c r="H34" i="49"/>
  <c r="H33" i="49"/>
  <c r="H29" i="49"/>
  <c r="H25" i="49"/>
  <c r="P15" i="49"/>
  <c r="D5" i="49"/>
  <c r="T24" i="47"/>
  <c r="T22" i="47"/>
  <c r="P12" i="47"/>
  <c r="T34" i="46"/>
  <c r="T33" i="46"/>
  <c r="T29" i="46"/>
  <c r="T25" i="46"/>
  <c r="B16" i="46"/>
  <c r="D15" i="46"/>
  <c r="T12" i="46"/>
  <c r="D24" i="52"/>
  <c r="T12" i="52"/>
  <c r="D33" i="50"/>
  <c r="H21" i="50"/>
  <c r="D13" i="50"/>
  <c r="B39" i="49"/>
  <c r="H24" i="49"/>
  <c r="H22" i="49"/>
  <c r="H13" i="49"/>
  <c r="D4" i="49"/>
  <c r="B25" i="53"/>
  <c r="T13" i="53"/>
  <c r="H16" i="52"/>
  <c r="P12" i="52"/>
  <c r="D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D21" i="53"/>
  <c r="B13" i="53"/>
  <c r="T34" i="52"/>
  <c r="T22" i="52"/>
  <c r="B16" i="52"/>
  <c r="H34" i="50"/>
  <c r="B25" i="50"/>
  <c r="B22" i="50"/>
  <c r="D21" i="50"/>
  <c r="H15" i="50"/>
  <c r="B25" i="49"/>
  <c r="D24" i="49"/>
  <c r="D22" i="49"/>
  <c r="H20" i="49"/>
  <c r="H16" i="49"/>
  <c r="B13" i="49"/>
  <c r="T24" i="53"/>
  <c r="T16" i="53"/>
  <c r="T25" i="52"/>
  <c r="H20" i="52"/>
  <c r="D34" i="50"/>
  <c r="B21" i="50"/>
  <c r="D20" i="50"/>
  <c r="D16" i="50"/>
  <c r="B22" i="49"/>
  <c r="D21" i="49"/>
  <c r="H15" i="49"/>
  <c r="P20" i="47"/>
  <c r="P16" i="47"/>
  <c r="D12" i="47"/>
  <c r="P21" i="46"/>
  <c r="T15" i="46"/>
  <c r="P13" i="46"/>
  <c r="H12" i="46"/>
  <c r="P24" i="53"/>
  <c r="H16" i="53"/>
  <c r="P12" i="53"/>
  <c r="P34" i="52"/>
  <c r="H29" i="50"/>
  <c r="B16" i="50"/>
  <c r="D15" i="50"/>
  <c r="T12" i="50"/>
  <c r="B21" i="49"/>
  <c r="D20" i="49"/>
  <c r="D16" i="49"/>
  <c r="H34" i="47"/>
  <c r="H33" i="47"/>
  <c r="H29" i="47"/>
  <c r="H25" i="47"/>
  <c r="P15" i="47"/>
  <c r="D5" i="47"/>
  <c r="P20" i="46"/>
  <c r="P16" i="46"/>
  <c r="D12" i="46"/>
  <c r="H20" i="53"/>
  <c r="D25" i="52"/>
  <c r="D29" i="50"/>
  <c r="T25" i="50"/>
  <c r="T24" i="50"/>
  <c r="T21" i="50"/>
  <c r="T24" i="49"/>
  <c r="T22" i="49"/>
  <c r="P12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T20" i="50"/>
  <c r="P25" i="49"/>
  <c r="P25" i="47"/>
  <c r="H20" i="47"/>
  <c r="D4" i="47"/>
  <c r="D25" i="46"/>
  <c r="T21" i="46"/>
  <c r="P21" i="44"/>
  <c r="T15" i="44"/>
  <c r="P13" i="44"/>
  <c r="H12" i="44"/>
  <c r="P24" i="43"/>
  <c r="P22" i="43"/>
  <c r="T20" i="43"/>
  <c r="T16" i="43"/>
  <c r="T13" i="43"/>
  <c r="P20" i="41"/>
  <c r="P16" i="41"/>
  <c r="D12" i="41"/>
  <c r="T34" i="49"/>
  <c r="B16" i="49"/>
  <c r="H22" i="47"/>
  <c r="T15" i="47"/>
  <c r="B38" i="46"/>
  <c r="P33" i="46"/>
  <c r="H29" i="46"/>
  <c r="T24" i="46"/>
  <c r="P20" i="44"/>
  <c r="P16" i="44"/>
  <c r="D12" i="44"/>
  <c r="P21" i="43"/>
  <c r="T15" i="43"/>
  <c r="P13" i="43"/>
  <c r="H12" i="43"/>
  <c r="P34" i="49"/>
  <c r="P34" i="47"/>
  <c r="P29" i="47"/>
  <c r="D22" i="47"/>
  <c r="D29" i="46"/>
  <c r="T13" i="46"/>
  <c r="H34" i="44"/>
  <c r="H33" i="44"/>
  <c r="H29" i="44"/>
  <c r="H25" i="44"/>
  <c r="P15" i="44"/>
  <c r="D5" i="44"/>
  <c r="P20" i="43"/>
  <c r="P16" i="43"/>
  <c r="D12" i="43"/>
  <c r="B39" i="41"/>
  <c r="H24" i="41"/>
  <c r="H22" i="41"/>
  <c r="H13" i="41"/>
  <c r="D4" i="41"/>
  <c r="H34" i="40"/>
  <c r="H33" i="40"/>
  <c r="H29" i="40"/>
  <c r="H25" i="40"/>
  <c r="B38" i="52"/>
  <c r="D15" i="52"/>
  <c r="T33" i="49"/>
  <c r="D15" i="49"/>
  <c r="T21" i="47"/>
  <c r="H33" i="46"/>
  <c r="P24" i="46"/>
  <c r="H21" i="46"/>
  <c r="B39" i="44"/>
  <c r="H24" i="44"/>
  <c r="H22" i="44"/>
  <c r="H13" i="44"/>
  <c r="D4" i="44"/>
  <c r="H34" i="43"/>
  <c r="H33" i="43"/>
  <c r="H29" i="43"/>
  <c r="H25" i="43"/>
  <c r="P15" i="43"/>
  <c r="D5" i="43"/>
  <c r="B38" i="41"/>
  <c r="D34" i="41"/>
  <c r="D33" i="41"/>
  <c r="D29" i="41"/>
  <c r="D25" i="41"/>
  <c r="H21" i="41"/>
  <c r="D34" i="52"/>
  <c r="T16" i="50"/>
  <c r="P33" i="49"/>
  <c r="B25" i="47"/>
  <c r="D33" i="46"/>
  <c r="T16" i="46"/>
  <c r="D13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T33" i="52"/>
  <c r="T12" i="49"/>
  <c r="P21" i="47"/>
  <c r="T13" i="47"/>
  <c r="P12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T29" i="52"/>
  <c r="P24" i="50"/>
  <c r="T21" i="49"/>
  <c r="P33" i="47"/>
  <c r="P24" i="47"/>
  <c r="P13" i="47"/>
  <c r="T22" i="46"/>
  <c r="T20" i="46"/>
  <c r="B22" i="44"/>
  <c r="D21" i="44"/>
  <c r="H15" i="44"/>
  <c r="B25" i="43"/>
  <c r="D24" i="43"/>
  <c r="D22" i="43"/>
  <c r="H20" i="43"/>
  <c r="H16" i="43"/>
  <c r="B13" i="43"/>
  <c r="P29" i="52"/>
  <c r="T22" i="50"/>
  <c r="T29" i="49"/>
  <c r="T16" i="47"/>
  <c r="H13" i="47"/>
  <c r="B21" i="44"/>
  <c r="D20" i="44"/>
  <c r="D16" i="44"/>
  <c r="B22" i="43"/>
  <c r="D21" i="43"/>
  <c r="H15" i="43"/>
  <c r="T34" i="41"/>
  <c r="T33" i="41"/>
  <c r="T29" i="41"/>
  <c r="T25" i="41"/>
  <c r="B16" i="41"/>
  <c r="D15" i="41"/>
  <c r="T12" i="41"/>
  <c r="D24" i="53"/>
  <c r="P25" i="52"/>
  <c r="P22" i="50"/>
  <c r="T13" i="50"/>
  <c r="P29" i="49"/>
  <c r="B39" i="47"/>
  <c r="H24" i="47"/>
  <c r="B13" i="47"/>
  <c r="P34" i="46"/>
  <c r="P22" i="46"/>
  <c r="D5" i="46"/>
  <c r="T34" i="44"/>
  <c r="T33" i="44"/>
  <c r="T29" i="44"/>
  <c r="T25" i="44"/>
  <c r="B16" i="44"/>
  <c r="D15" i="44"/>
  <c r="T12" i="44"/>
  <c r="B21" i="43"/>
  <c r="D20" i="43"/>
  <c r="D16" i="43"/>
  <c r="T24" i="41"/>
  <c r="T22" i="41"/>
  <c r="P12" i="41"/>
  <c r="T34" i="40"/>
  <c r="T33" i="40"/>
  <c r="T29" i="40"/>
  <c r="T25" i="40"/>
  <c r="T20" i="53"/>
  <c r="D22" i="52"/>
  <c r="H16" i="47"/>
  <c r="H34" i="46"/>
  <c r="P15" i="46"/>
  <c r="P34" i="44"/>
  <c r="P33" i="44"/>
  <c r="P29" i="44"/>
  <c r="P25" i="44"/>
  <c r="T21" i="44"/>
  <c r="T24" i="43"/>
  <c r="T22" i="43"/>
  <c r="P12" i="43"/>
  <c r="T16" i="44"/>
  <c r="P33" i="43"/>
  <c r="H25" i="41"/>
  <c r="P22" i="41"/>
  <c r="B21" i="41"/>
  <c r="D16" i="41"/>
  <c r="D33" i="40"/>
  <c r="D24" i="40"/>
  <c r="P12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P24" i="35"/>
  <c r="P22" i="35"/>
  <c r="P29" i="46"/>
  <c r="T24" i="44"/>
  <c r="T12" i="43"/>
  <c r="H34" i="41"/>
  <c r="B25" i="41"/>
  <c r="D13" i="41"/>
  <c r="P29" i="40"/>
  <c r="D25" i="40"/>
  <c r="B22" i="38"/>
  <c r="D21" i="38"/>
  <c r="H15" i="38"/>
  <c r="B25" i="37"/>
  <c r="D24" i="37"/>
  <c r="D22" i="37"/>
  <c r="H20" i="37"/>
  <c r="H16" i="37"/>
  <c r="B13" i="37"/>
  <c r="P21" i="35"/>
  <c r="T15" i="35"/>
  <c r="P13" i="35"/>
  <c r="H12" i="35"/>
  <c r="P24" i="34"/>
  <c r="P22" i="34"/>
  <c r="T20" i="34"/>
  <c r="T22" i="53"/>
  <c r="D24" i="47"/>
  <c r="P25" i="46"/>
  <c r="P24" i="44"/>
  <c r="T21" i="43"/>
  <c r="T20" i="41"/>
  <c r="B13" i="41"/>
  <c r="B25" i="40"/>
  <c r="T21" i="40"/>
  <c r="T20" i="40"/>
  <c r="T16" i="40"/>
  <c r="T13" i="40"/>
  <c r="B21" i="38"/>
  <c r="D20" i="38"/>
  <c r="D16" i="38"/>
  <c r="B22" i="37"/>
  <c r="D21" i="37"/>
  <c r="H15" i="37"/>
  <c r="P20" i="35"/>
  <c r="P16" i="35"/>
  <c r="D12" i="35"/>
  <c r="P21" i="34"/>
  <c r="T15" i="34"/>
  <c r="P13" i="34"/>
  <c r="H12" i="34"/>
  <c r="P22" i="47"/>
  <c r="H25" i="46"/>
  <c r="T22" i="44"/>
  <c r="T29" i="43"/>
  <c r="D22" i="41"/>
  <c r="T15" i="41"/>
  <c r="D34" i="40"/>
  <c r="T22" i="40"/>
  <c r="T15" i="40"/>
  <c r="P13" i="40"/>
  <c r="H12" i="40"/>
  <c r="T34" i="38"/>
  <c r="T33" i="38"/>
  <c r="T29" i="38"/>
  <c r="T25" i="38"/>
  <c r="B16" i="38"/>
  <c r="D15" i="38"/>
  <c r="T12" i="38"/>
  <c r="B21" i="37"/>
  <c r="D20" i="37"/>
  <c r="D16" i="37"/>
  <c r="B25" i="52"/>
  <c r="T33" i="50"/>
  <c r="T20" i="47"/>
  <c r="P22" i="44"/>
  <c r="T13" i="44"/>
  <c r="P29" i="43"/>
  <c r="B22" i="41"/>
  <c r="P15" i="41"/>
  <c r="P21" i="40"/>
  <c r="P20" i="40"/>
  <c r="P16" i="40"/>
  <c r="D12" i="40"/>
  <c r="T24" i="38"/>
  <c r="T22" i="38"/>
  <c r="P12" i="38"/>
  <c r="T34" i="37"/>
  <c r="T33" i="37"/>
  <c r="T29" i="37"/>
  <c r="T25" i="37"/>
  <c r="B16" i="37"/>
  <c r="D15" i="37"/>
  <c r="T12" i="37"/>
  <c r="B39" i="35"/>
  <c r="H24" i="35"/>
  <c r="H22" i="35"/>
  <c r="H13" i="35"/>
  <c r="D4" i="35"/>
  <c r="H34" i="34"/>
  <c r="H33" i="34"/>
  <c r="H29" i="34"/>
  <c r="H25" i="34"/>
  <c r="P12" i="44"/>
  <c r="P33" i="41"/>
  <c r="P24" i="41"/>
  <c r="T24" i="40"/>
  <c r="P22" i="40"/>
  <c r="P15" i="40"/>
  <c r="D5" i="40"/>
  <c r="P34" i="38"/>
  <c r="P33" i="38"/>
  <c r="P29" i="38"/>
  <c r="P25" i="38"/>
  <c r="T21" i="38"/>
  <c r="T24" i="37"/>
  <c r="T22" i="37"/>
  <c r="P12" i="37"/>
  <c r="T21" i="41"/>
  <c r="H20" i="41"/>
  <c r="T16" i="41"/>
  <c r="D29" i="40"/>
  <c r="H13" i="40"/>
  <c r="D4" i="40"/>
  <c r="T25" i="43"/>
  <c r="P29" i="41"/>
  <c r="H15" i="41"/>
  <c r="H12" i="41"/>
  <c r="P33" i="40"/>
  <c r="P24" i="40"/>
  <c r="H21" i="40"/>
  <c r="D13" i="40"/>
  <c r="P21" i="38"/>
  <c r="T15" i="38"/>
  <c r="P13" i="38"/>
  <c r="H12" i="38"/>
  <c r="P24" i="37"/>
  <c r="P22" i="37"/>
  <c r="T20" i="37"/>
  <c r="T16" i="37"/>
  <c r="T13" i="37"/>
  <c r="P12" i="50"/>
  <c r="T20" i="44"/>
  <c r="P25" i="43"/>
  <c r="H33" i="41"/>
  <c r="D24" i="41"/>
  <c r="P21" i="41"/>
  <c r="D20" i="41"/>
  <c r="D5" i="41"/>
  <c r="P25" i="40"/>
  <c r="H22" i="40"/>
  <c r="H20" i="40"/>
  <c r="H16" i="40"/>
  <c r="B13" i="40"/>
  <c r="P20" i="38"/>
  <c r="P16" i="38"/>
  <c r="D12" i="38"/>
  <c r="P21" i="37"/>
  <c r="T15" i="37"/>
  <c r="P13" i="37"/>
  <c r="H12" i="37"/>
  <c r="B21" i="35"/>
  <c r="D20" i="35"/>
  <c r="D16" i="35"/>
  <c r="B22" i="34"/>
  <c r="D21" i="34"/>
  <c r="H15" i="34"/>
  <c r="P34" i="43"/>
  <c r="P34" i="41"/>
  <c r="H29" i="41"/>
  <c r="H16" i="41"/>
  <c r="T13" i="41"/>
  <c r="B38" i="40"/>
  <c r="P34" i="40"/>
  <c r="H24" i="40"/>
  <c r="D22" i="40"/>
  <c r="B21" i="40"/>
  <c r="D20" i="40"/>
  <c r="D16" i="40"/>
  <c r="B39" i="38"/>
  <c r="H24" i="38"/>
  <c r="H22" i="38"/>
  <c r="H13" i="38"/>
  <c r="D4" i="38"/>
  <c r="H34" i="37"/>
  <c r="H33" i="37"/>
  <c r="H29" i="37"/>
  <c r="H25" i="37"/>
  <c r="P15" i="37"/>
  <c r="D5" i="37"/>
  <c r="T24" i="35"/>
  <c r="T22" i="35"/>
  <c r="P12" i="35"/>
  <c r="T34" i="34"/>
  <c r="T33" i="34"/>
  <c r="T29" i="34"/>
  <c r="T25" i="34"/>
  <c r="B16" i="34"/>
  <c r="D15" i="34"/>
  <c r="T12" i="34"/>
  <c r="T25" i="49"/>
  <c r="B16" i="43"/>
  <c r="H34" i="38"/>
  <c r="P15" i="38"/>
  <c r="D24" i="35"/>
  <c r="H21" i="35"/>
  <c r="B16" i="35"/>
  <c r="B13" i="35"/>
  <c r="H13" i="34"/>
  <c r="P24" i="32"/>
  <c r="P22" i="32"/>
  <c r="T20" i="32"/>
  <c r="T16" i="32"/>
  <c r="T13" i="32"/>
  <c r="P34" i="31"/>
  <c r="P33" i="31"/>
  <c r="P29" i="31"/>
  <c r="P25" i="31"/>
  <c r="T21" i="31"/>
  <c r="B21" i="29"/>
  <c r="D20" i="29"/>
  <c r="D16" i="29"/>
  <c r="B22" i="28"/>
  <c r="D21" i="28"/>
  <c r="H15" i="28"/>
  <c r="B22" i="26"/>
  <c r="D21" i="26"/>
  <c r="H15" i="26"/>
  <c r="B25" i="25"/>
  <c r="D24" i="25"/>
  <c r="D22" i="25"/>
  <c r="H20" i="25"/>
  <c r="H16" i="25"/>
  <c r="B13" i="25"/>
  <c r="D15" i="43"/>
  <c r="B22" i="40"/>
  <c r="T12" i="40"/>
  <c r="D34" i="38"/>
  <c r="H21" i="38"/>
  <c r="P33" i="34"/>
  <c r="D13" i="34"/>
  <c r="P21" i="32"/>
  <c r="T15" i="32"/>
  <c r="P13" i="32"/>
  <c r="H12" i="32"/>
  <c r="P24" i="31"/>
  <c r="P22" i="31"/>
  <c r="T20" i="31"/>
  <c r="T16" i="31"/>
  <c r="T13" i="31"/>
  <c r="T34" i="29"/>
  <c r="T33" i="29"/>
  <c r="T29" i="29"/>
  <c r="T25" i="29"/>
  <c r="B16" i="29"/>
  <c r="D15" i="29"/>
  <c r="T12" i="29"/>
  <c r="B21" i="28"/>
  <c r="D20" i="28"/>
  <c r="D16" i="28"/>
  <c r="B21" i="26"/>
  <c r="D20" i="26"/>
  <c r="D16" i="26"/>
  <c r="B22" i="25"/>
  <c r="D21" i="25"/>
  <c r="H15" i="25"/>
  <c r="D21" i="40"/>
  <c r="T20" i="38"/>
  <c r="T13" i="38"/>
  <c r="P33" i="37"/>
  <c r="P25" i="37"/>
  <c r="T33" i="35"/>
  <c r="T29" i="35"/>
  <c r="T25" i="35"/>
  <c r="D21" i="35"/>
  <c r="T12" i="35"/>
  <c r="H24" i="34"/>
  <c r="T21" i="34"/>
  <c r="H20" i="34"/>
  <c r="P15" i="34"/>
  <c r="B13" i="34"/>
  <c r="P20" i="32"/>
  <c r="P16" i="32"/>
  <c r="D12" i="32"/>
  <c r="P21" i="31"/>
  <c r="T15" i="31"/>
  <c r="P13" i="31"/>
  <c r="H12" i="31"/>
  <c r="T24" i="29"/>
  <c r="T22" i="29"/>
  <c r="P12" i="29"/>
  <c r="T34" i="28"/>
  <c r="T33" i="28"/>
  <c r="T29" i="28"/>
  <c r="T25" i="28"/>
  <c r="B16" i="28"/>
  <c r="D15" i="28"/>
  <c r="T12" i="28"/>
  <c r="T34" i="26"/>
  <c r="T33" i="26"/>
  <c r="T29" i="26"/>
  <c r="T25" i="26"/>
  <c r="B16" i="26"/>
  <c r="D15" i="26"/>
  <c r="T12" i="26"/>
  <c r="B21" i="25"/>
  <c r="D20" i="25"/>
  <c r="D16" i="25"/>
  <c r="D21" i="41"/>
  <c r="H33" i="38"/>
  <c r="H25" i="38"/>
  <c r="P20" i="37"/>
  <c r="P33" i="35"/>
  <c r="P29" i="35"/>
  <c r="P25" i="35"/>
  <c r="P15" i="35"/>
  <c r="P29" i="34"/>
  <c r="D20" i="34"/>
  <c r="T16" i="34"/>
  <c r="H34" i="32"/>
  <c r="H33" i="32"/>
  <c r="H29" i="32"/>
  <c r="H25" i="32"/>
  <c r="P15" i="32"/>
  <c r="D5" i="32"/>
  <c r="P20" i="31"/>
  <c r="P16" i="31"/>
  <c r="D12" i="31"/>
  <c r="P34" i="29"/>
  <c r="P33" i="29"/>
  <c r="P29" i="29"/>
  <c r="P25" i="29"/>
  <c r="T21" i="29"/>
  <c r="T24" i="28"/>
  <c r="T22" i="28"/>
  <c r="P12" i="28"/>
  <c r="T24" i="26"/>
  <c r="T22" i="26"/>
  <c r="P12" i="26"/>
  <c r="T34" i="25"/>
  <c r="T33" i="25"/>
  <c r="T29" i="25"/>
  <c r="T25" i="25"/>
  <c r="B16" i="25"/>
  <c r="D15" i="25"/>
  <c r="T12" i="25"/>
  <c r="D33" i="38"/>
  <c r="D25" i="38"/>
  <c r="D13" i="38"/>
  <c r="H13" i="37"/>
  <c r="H33" i="35"/>
  <c r="H29" i="35"/>
  <c r="H25" i="35"/>
  <c r="D33" i="34"/>
  <c r="D24" i="34"/>
  <c r="P16" i="34"/>
  <c r="P12" i="34"/>
  <c r="B39" i="32"/>
  <c r="H24" i="32"/>
  <c r="H22" i="32"/>
  <c r="H13" i="32"/>
  <c r="D4" i="32"/>
  <c r="H34" i="31"/>
  <c r="H33" i="31"/>
  <c r="H29" i="31"/>
  <c r="H25" i="31"/>
  <c r="P15" i="31"/>
  <c r="D5" i="31"/>
  <c r="P24" i="29"/>
  <c r="P22" i="29"/>
  <c r="T20" i="29"/>
  <c r="T16" i="29"/>
  <c r="T13" i="29"/>
  <c r="P34" i="28"/>
  <c r="P33" i="28"/>
  <c r="P29" i="28"/>
  <c r="P25" i="28"/>
  <c r="T21" i="28"/>
  <c r="P24" i="38"/>
  <c r="D33" i="35"/>
  <c r="D29" i="35"/>
  <c r="D25" i="35"/>
  <c r="T20" i="35"/>
  <c r="D5" i="35"/>
  <c r="P25" i="34"/>
  <c r="H21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D5" i="38"/>
  <c r="D12" i="37"/>
  <c r="B25" i="35"/>
  <c r="D22" i="35"/>
  <c r="H15" i="35"/>
  <c r="B39" i="34"/>
  <c r="P34" i="34"/>
  <c r="D29" i="34"/>
  <c r="T22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H12" i="47"/>
  <c r="B38" i="38"/>
  <c r="B39" i="37"/>
  <c r="H24" i="37"/>
  <c r="D4" i="37"/>
  <c r="B22" i="35"/>
  <c r="T16" i="35"/>
  <c r="D15" i="35"/>
  <c r="B38" i="34"/>
  <c r="B21" i="34"/>
  <c r="D12" i="34"/>
  <c r="B22" i="32"/>
  <c r="D21" i="32"/>
  <c r="H15" i="32"/>
  <c r="B25" i="31"/>
  <c r="D24" i="31"/>
  <c r="D22" i="31"/>
  <c r="H20" i="31"/>
  <c r="H16" i="31"/>
  <c r="B13" i="31"/>
  <c r="H34" i="29"/>
  <c r="H33" i="29"/>
  <c r="H29" i="29"/>
  <c r="H25" i="29"/>
  <c r="P15" i="29"/>
  <c r="D5" i="29"/>
  <c r="P20" i="28"/>
  <c r="P16" i="28"/>
  <c r="D12" i="28"/>
  <c r="P20" i="26"/>
  <c r="P16" i="26"/>
  <c r="D12" i="26"/>
  <c r="P21" i="25"/>
  <c r="T15" i="25"/>
  <c r="P13" i="25"/>
  <c r="H12" i="25"/>
  <c r="D34" i="46"/>
  <c r="T34" i="43"/>
  <c r="P22" i="38"/>
  <c r="T16" i="38"/>
  <c r="P29" i="37"/>
  <c r="T34" i="35"/>
  <c r="H20" i="35"/>
  <c r="D25" i="34"/>
  <c r="H16" i="34"/>
  <c r="D5" i="34"/>
  <c r="B21" i="32"/>
  <c r="D20" i="32"/>
  <c r="D16" i="32"/>
  <c r="B22" i="31"/>
  <c r="D21" i="31"/>
  <c r="H15" i="31"/>
  <c r="B39" i="29"/>
  <c r="H24" i="29"/>
  <c r="H22" i="29"/>
  <c r="H13" i="29"/>
  <c r="D4" i="29"/>
  <c r="H34" i="28"/>
  <c r="H33" i="28"/>
  <c r="H29" i="28"/>
  <c r="H25" i="28"/>
  <c r="P15" i="28"/>
  <c r="D5" i="28"/>
  <c r="H34" i="26"/>
  <c r="H33" i="26"/>
  <c r="H29" i="26"/>
  <c r="H25" i="26"/>
  <c r="P15" i="26"/>
  <c r="D5" i="26"/>
  <c r="P20" i="25"/>
  <c r="P16" i="25"/>
  <c r="D12" i="25"/>
  <c r="P25" i="41"/>
  <c r="B39" i="40"/>
  <c r="H15" i="40"/>
  <c r="D29" i="38"/>
  <c r="H22" i="37"/>
  <c r="H34" i="35"/>
  <c r="H16" i="35"/>
  <c r="P20" i="34"/>
  <c r="T24" i="32"/>
  <c r="T22" i="32"/>
  <c r="P12" i="32"/>
  <c r="T34" i="31"/>
  <c r="T33" i="31"/>
  <c r="T29" i="31"/>
  <c r="T25" i="31"/>
  <c r="B16" i="31"/>
  <c r="D15" i="31"/>
  <c r="T12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T21" i="37"/>
  <c r="P29" i="32"/>
  <c r="D21" i="29"/>
  <c r="D22" i="28"/>
  <c r="B13" i="28"/>
  <c r="D33" i="26"/>
  <c r="D29" i="26"/>
  <c r="D25" i="26"/>
  <c r="D13" i="26"/>
  <c r="H22" i="25"/>
  <c r="H13" i="25"/>
  <c r="P21" i="23"/>
  <c r="T15" i="23"/>
  <c r="P13" i="23"/>
  <c r="H12" i="23"/>
  <c r="P24" i="22"/>
  <c r="P22" i="22"/>
  <c r="T20" i="22"/>
  <c r="T16" i="22"/>
  <c r="T13" i="22"/>
  <c r="B22" i="20"/>
  <c r="D21" i="20"/>
  <c r="H15" i="20"/>
  <c r="B25" i="19"/>
  <c r="D24" i="19"/>
  <c r="D22" i="19"/>
  <c r="H20" i="19"/>
  <c r="H16" i="19"/>
  <c r="B13" i="19"/>
  <c r="H29" i="38"/>
  <c r="P16" i="37"/>
  <c r="T13" i="34"/>
  <c r="D16" i="31"/>
  <c r="T15" i="29"/>
  <c r="T16" i="28"/>
  <c r="B25" i="26"/>
  <c r="D22" i="26"/>
  <c r="H20" i="26"/>
  <c r="H16" i="26"/>
  <c r="B13" i="26"/>
  <c r="D33" i="25"/>
  <c r="D29" i="25"/>
  <c r="D25" i="25"/>
  <c r="D13" i="25"/>
  <c r="P20" i="23"/>
  <c r="P16" i="23"/>
  <c r="D12" i="23"/>
  <c r="P21" i="22"/>
  <c r="T15" i="22"/>
  <c r="P13" i="22"/>
  <c r="H12" i="22"/>
  <c r="B21" i="20"/>
  <c r="D20" i="20"/>
  <c r="D16" i="20"/>
  <c r="B22" i="19"/>
  <c r="D21" i="19"/>
  <c r="H15" i="19"/>
  <c r="P13" i="41"/>
  <c r="B38" i="35"/>
  <c r="T24" i="31"/>
  <c r="P20" i="29"/>
  <c r="P21" i="28"/>
  <c r="H12" i="28"/>
  <c r="P34" i="26"/>
  <c r="T21" i="26"/>
  <c r="T24" i="25"/>
  <c r="P12" i="25"/>
  <c r="H34" i="23"/>
  <c r="H33" i="23"/>
  <c r="H29" i="23"/>
  <c r="H25" i="23"/>
  <c r="P15" i="23"/>
  <c r="D5" i="23"/>
  <c r="P20" i="22"/>
  <c r="P16" i="22"/>
  <c r="D12" i="22"/>
  <c r="T34" i="20"/>
  <c r="T33" i="20"/>
  <c r="T29" i="20"/>
  <c r="T25" i="20"/>
  <c r="B16" i="20"/>
  <c r="D15" i="20"/>
  <c r="T12" i="20"/>
  <c r="B21" i="19"/>
  <c r="D20" i="19"/>
  <c r="D16" i="19"/>
  <c r="P34" i="35"/>
  <c r="B25" i="34"/>
  <c r="D4" i="34"/>
  <c r="T25" i="32"/>
  <c r="D34" i="29"/>
  <c r="D29" i="29"/>
  <c r="D4" i="28"/>
  <c r="P24" i="26"/>
  <c r="P34" i="25"/>
  <c r="T21" i="25"/>
  <c r="B39" i="23"/>
  <c r="H24" i="23"/>
  <c r="H22" i="23"/>
  <c r="H13" i="23"/>
  <c r="D4" i="23"/>
  <c r="H34" i="22"/>
  <c r="H33" i="22"/>
  <c r="H29" i="22"/>
  <c r="H25" i="22"/>
  <c r="P15" i="22"/>
  <c r="D5" i="22"/>
  <c r="T24" i="20"/>
  <c r="T22" i="20"/>
  <c r="P12" i="20"/>
  <c r="T34" i="19"/>
  <c r="T33" i="19"/>
  <c r="T29" i="19"/>
  <c r="T25" i="19"/>
  <c r="B16" i="19"/>
  <c r="D15" i="19"/>
  <c r="T12" i="19"/>
  <c r="T33" i="43"/>
  <c r="D34" i="35"/>
  <c r="T24" i="34"/>
  <c r="P25" i="32"/>
  <c r="T22" i="31"/>
  <c r="H15" i="29"/>
  <c r="B25" i="28"/>
  <c r="H16" i="28"/>
  <c r="P21" i="26"/>
  <c r="T15" i="26"/>
  <c r="H12" i="26"/>
  <c r="P24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34" i="20"/>
  <c r="P33" i="20"/>
  <c r="P29" i="20"/>
  <c r="P25" i="20"/>
  <c r="T21" i="20"/>
  <c r="T24" i="19"/>
  <c r="T22" i="19"/>
  <c r="P12" i="19"/>
  <c r="T13" i="35"/>
  <c r="H22" i="34"/>
  <c r="T34" i="32"/>
  <c r="B16" i="32"/>
  <c r="P13" i="29"/>
  <c r="P24" i="28"/>
  <c r="T20" i="28"/>
  <c r="B39" i="26"/>
  <c r="H24" i="26"/>
  <c r="D4" i="26"/>
  <c r="H34" i="25"/>
  <c r="P15" i="25"/>
  <c r="D5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B16" i="40"/>
  <c r="D13" i="35"/>
  <c r="D22" i="34"/>
  <c r="P34" i="32"/>
  <c r="P12" i="31"/>
  <c r="T15" i="28"/>
  <c r="B38" i="26"/>
  <c r="D34" i="26"/>
  <c r="H21" i="26"/>
  <c r="B39" i="25"/>
  <c r="H24" i="25"/>
  <c r="D4" i="25"/>
  <c r="D15" i="40"/>
  <c r="T33" i="32"/>
  <c r="D15" i="32"/>
  <c r="B21" i="31"/>
  <c r="B38" i="29"/>
  <c r="D33" i="29"/>
  <c r="D13" i="29"/>
  <c r="H24" i="28"/>
  <c r="D24" i="26"/>
  <c r="B38" i="25"/>
  <c r="D34" i="25"/>
  <c r="H21" i="25"/>
  <c r="B21" i="23"/>
  <c r="D20" i="23"/>
  <c r="D16" i="23"/>
  <c r="B22" i="22"/>
  <c r="D21" i="22"/>
  <c r="H15" i="22"/>
  <c r="P20" i="20"/>
  <c r="P16" i="20"/>
  <c r="D12" i="20"/>
  <c r="P21" i="19"/>
  <c r="T15" i="19"/>
  <c r="P13" i="19"/>
  <c r="H12" i="19"/>
  <c r="P34" i="37"/>
  <c r="P33" i="32"/>
  <c r="B22" i="29"/>
  <c r="D24" i="28"/>
  <c r="H20" i="28"/>
  <c r="P33" i="26"/>
  <c r="P29" i="26"/>
  <c r="P25" i="26"/>
  <c r="T22" i="25"/>
  <c r="T34" i="23"/>
  <c r="T33" i="23"/>
  <c r="T29" i="23"/>
  <c r="T25" i="23"/>
  <c r="B16" i="23"/>
  <c r="D15" i="23"/>
  <c r="T12" i="23"/>
  <c r="B21" i="22"/>
  <c r="D20" i="22"/>
  <c r="D16" i="22"/>
  <c r="H34" i="20"/>
  <c r="H33" i="20"/>
  <c r="H29" i="20"/>
  <c r="H25" i="20"/>
  <c r="P15" i="20"/>
  <c r="D5" i="20"/>
  <c r="P20" i="19"/>
  <c r="P16" i="19"/>
  <c r="D12" i="19"/>
  <c r="T21" i="32"/>
  <c r="P16" i="29"/>
  <c r="D12" i="29"/>
  <c r="P13" i="28"/>
  <c r="P13" i="26"/>
  <c r="P22" i="25"/>
  <c r="T20" i="25"/>
  <c r="T16" i="25"/>
  <c r="T13" i="25"/>
  <c r="P34" i="23"/>
  <c r="P33" i="23"/>
  <c r="P29" i="23"/>
  <c r="P25" i="23"/>
  <c r="T21" i="23"/>
  <c r="T24" i="22"/>
  <c r="T22" i="22"/>
  <c r="P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T16" i="26"/>
  <c r="D24" i="22"/>
  <c r="D24" i="20"/>
  <c r="H20" i="20"/>
  <c r="D25" i="19"/>
  <c r="H21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21" i="14"/>
  <c r="T15" i="14"/>
  <c r="P13" i="14"/>
  <c r="H12" i="14"/>
  <c r="P24" i="13"/>
  <c r="P22" i="13"/>
  <c r="T20" i="13"/>
  <c r="T16" i="13"/>
  <c r="T13" i="13"/>
  <c r="T12" i="32"/>
  <c r="T22" i="23"/>
  <c r="T29" i="22"/>
  <c r="P22" i="20"/>
  <c r="T13" i="20"/>
  <c r="P34" i="19"/>
  <c r="P29" i="19"/>
  <c r="B22" i="17"/>
  <c r="D21" i="17"/>
  <c r="H15" i="17"/>
  <c r="B25" i="16"/>
  <c r="D24" i="16"/>
  <c r="D22" i="16"/>
  <c r="H20" i="16"/>
  <c r="H16" i="16"/>
  <c r="B13" i="16"/>
  <c r="P20" i="14"/>
  <c r="P16" i="14"/>
  <c r="D12" i="14"/>
  <c r="P21" i="13"/>
  <c r="T15" i="13"/>
  <c r="P13" i="13"/>
  <c r="H12" i="13"/>
  <c r="T13" i="26"/>
  <c r="P22" i="23"/>
  <c r="T16" i="23"/>
  <c r="P29" i="22"/>
  <c r="P13" i="20"/>
  <c r="P24" i="19"/>
  <c r="T20" i="19"/>
  <c r="B21" i="17"/>
  <c r="D20" i="17"/>
  <c r="D16" i="17"/>
  <c r="B22" i="16"/>
  <c r="D21" i="16"/>
  <c r="H15" i="16"/>
  <c r="P22" i="28"/>
  <c r="H13" i="26"/>
  <c r="B22" i="23"/>
  <c r="D22" i="22"/>
  <c r="H16" i="22"/>
  <c r="B39" i="20"/>
  <c r="H22" i="20"/>
  <c r="H13" i="20"/>
  <c r="H34" i="19"/>
  <c r="H29" i="19"/>
  <c r="P15" i="19"/>
  <c r="T34" i="17"/>
  <c r="T33" i="17"/>
  <c r="T29" i="17"/>
  <c r="T25" i="17"/>
  <c r="B16" i="17"/>
  <c r="D15" i="17"/>
  <c r="T12" i="17"/>
  <c r="B21" i="16"/>
  <c r="D20" i="16"/>
  <c r="D16" i="16"/>
  <c r="B39" i="14"/>
  <c r="H24" i="14"/>
  <c r="H22" i="14"/>
  <c r="H13" i="14"/>
  <c r="D4" i="14"/>
  <c r="H34" i="13"/>
  <c r="H33" i="13"/>
  <c r="H29" i="13"/>
  <c r="H25" i="13"/>
  <c r="P15" i="13"/>
  <c r="D5" i="13"/>
  <c r="D25" i="29"/>
  <c r="H22" i="28"/>
  <c r="T34" i="22"/>
  <c r="B16" i="22"/>
  <c r="D22" i="20"/>
  <c r="B13" i="20"/>
  <c r="D34" i="19"/>
  <c r="D29" i="19"/>
  <c r="T24" i="17"/>
  <c r="T22" i="17"/>
  <c r="P12" i="17"/>
  <c r="T34" i="16"/>
  <c r="T33" i="16"/>
  <c r="T29" i="16"/>
  <c r="T25" i="16"/>
  <c r="B16" i="16"/>
  <c r="D15" i="16"/>
  <c r="T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D20" i="31"/>
  <c r="P21" i="29"/>
  <c r="P34" i="22"/>
  <c r="T21" i="22"/>
  <c r="T16" i="20"/>
  <c r="P33" i="19"/>
  <c r="P34" i="17"/>
  <c r="P33" i="17"/>
  <c r="P29" i="17"/>
  <c r="P25" i="17"/>
  <c r="T21" i="17"/>
  <c r="T24" i="16"/>
  <c r="T22" i="16"/>
  <c r="P12" i="16"/>
  <c r="H21" i="29"/>
  <c r="P33" i="25"/>
  <c r="D21" i="23"/>
  <c r="H15" i="23"/>
  <c r="P21" i="20"/>
  <c r="H12" i="20"/>
  <c r="P22" i="19"/>
  <c r="T13" i="19"/>
  <c r="P24" i="17"/>
  <c r="P22" i="17"/>
  <c r="T20" i="17"/>
  <c r="T16" i="17"/>
  <c r="T13" i="17"/>
  <c r="P34" i="16"/>
  <c r="P33" i="16"/>
  <c r="P29" i="16"/>
  <c r="P25" i="16"/>
  <c r="T21" i="16"/>
  <c r="T21" i="35"/>
  <c r="T13" i="28"/>
  <c r="H33" i="25"/>
  <c r="T33" i="22"/>
  <c r="T25" i="22"/>
  <c r="D15" i="22"/>
  <c r="D4" i="20"/>
  <c r="H33" i="19"/>
  <c r="P21" i="17"/>
  <c r="T15" i="17"/>
  <c r="P13" i="17"/>
  <c r="H12" i="17"/>
  <c r="P24" i="16"/>
  <c r="P22" i="16"/>
  <c r="T20" i="16"/>
  <c r="T16" i="16"/>
  <c r="T13" i="16"/>
  <c r="B21" i="14"/>
  <c r="D20" i="14"/>
  <c r="D16" i="14"/>
  <c r="B22" i="13"/>
  <c r="D21" i="13"/>
  <c r="H15" i="13"/>
  <c r="D34" i="34"/>
  <c r="H13" i="28"/>
  <c r="P22" i="26"/>
  <c r="P29" i="25"/>
  <c r="T20" i="23"/>
  <c r="T13" i="23"/>
  <c r="P33" i="22"/>
  <c r="P25" i="22"/>
  <c r="B25" i="20"/>
  <c r="H16" i="20"/>
  <c r="B38" i="19"/>
  <c r="D33" i="19"/>
  <c r="D13" i="19"/>
  <c r="P20" i="17"/>
  <c r="P16" i="17"/>
  <c r="D12" i="17"/>
  <c r="P21" i="16"/>
  <c r="T15" i="16"/>
  <c r="P13" i="16"/>
  <c r="H12" i="16"/>
  <c r="H12" i="29"/>
  <c r="H22" i="26"/>
  <c r="H29" i="25"/>
  <c r="B25" i="22"/>
  <c r="H20" i="22"/>
  <c r="B13" i="22"/>
  <c r="P24" i="20"/>
  <c r="T20" i="20"/>
  <c r="P25" i="19"/>
  <c r="T21" i="19"/>
  <c r="H34" i="17"/>
  <c r="H33" i="17"/>
  <c r="H29" i="17"/>
  <c r="H25" i="17"/>
  <c r="P15" i="17"/>
  <c r="D5" i="17"/>
  <c r="P20" i="16"/>
  <c r="P16" i="16"/>
  <c r="D12" i="16"/>
  <c r="T24" i="14"/>
  <c r="T22" i="14"/>
  <c r="P12" i="14"/>
  <c r="T34" i="13"/>
  <c r="T33" i="13"/>
  <c r="T29" i="13"/>
  <c r="T25" i="13"/>
  <c r="B16" i="13"/>
  <c r="D15" i="13"/>
  <c r="T12" i="13"/>
  <c r="D4" i="17"/>
  <c r="P33" i="14"/>
  <c r="P29" i="14"/>
  <c r="P25" i="14"/>
  <c r="T22" i="13"/>
  <c r="B39" i="28"/>
  <c r="P25" i="25"/>
  <c r="T15" i="20"/>
  <c r="H21" i="17"/>
  <c r="B39" i="16"/>
  <c r="P22" i="14"/>
  <c r="T20" i="14"/>
  <c r="T16" i="14"/>
  <c r="T13" i="14"/>
  <c r="P33" i="13"/>
  <c r="P29" i="13"/>
  <c r="P25" i="13"/>
  <c r="B39" i="11"/>
  <c r="H24" i="11"/>
  <c r="H22" i="11"/>
  <c r="H13" i="11"/>
  <c r="D4" i="11"/>
  <c r="H34" i="10"/>
  <c r="H33" i="10"/>
  <c r="H29" i="10"/>
  <c r="H25" i="10"/>
  <c r="P15" i="10"/>
  <c r="D5" i="10"/>
  <c r="T24" i="8"/>
  <c r="T22" i="8"/>
  <c r="P12" i="8"/>
  <c r="T34" i="7"/>
  <c r="T33" i="7"/>
  <c r="T29" i="7"/>
  <c r="T25" i="7"/>
  <c r="B16" i="7"/>
  <c r="D15" i="7"/>
  <c r="T12" i="7"/>
  <c r="H34" i="5"/>
  <c r="H25" i="25"/>
  <c r="D5" i="19"/>
  <c r="H25" i="16"/>
  <c r="H33" i="14"/>
  <c r="H29" i="14"/>
  <c r="H25" i="14"/>
  <c r="P20" i="13"/>
  <c r="P16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29" i="17"/>
  <c r="B25" i="14"/>
  <c r="D22" i="14"/>
  <c r="H20" i="14"/>
  <c r="H16" i="14"/>
  <c r="B13" i="14"/>
  <c r="D33" i="13"/>
  <c r="D29" i="13"/>
  <c r="D25" i="13"/>
  <c r="D13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T29" i="32"/>
  <c r="T24" i="23"/>
  <c r="T12" i="22"/>
  <c r="B39" i="17"/>
  <c r="H34" i="16"/>
  <c r="P15" i="16"/>
  <c r="B22" i="14"/>
  <c r="B25" i="13"/>
  <c r="D22" i="13"/>
  <c r="H20" i="13"/>
  <c r="H16" i="13"/>
  <c r="B13" i="13"/>
  <c r="B22" i="11"/>
  <c r="D21" i="11"/>
  <c r="H15" i="11"/>
  <c r="B25" i="10"/>
  <c r="D24" i="10"/>
  <c r="D22" i="10"/>
  <c r="H20" i="10"/>
  <c r="H16" i="10"/>
  <c r="B13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P24" i="23"/>
  <c r="B38" i="17"/>
  <c r="H24" i="16"/>
  <c r="T34" i="14"/>
  <c r="B16" i="14"/>
  <c r="T12" i="14"/>
  <c r="D20" i="13"/>
  <c r="D16" i="13"/>
  <c r="H33" i="16"/>
  <c r="P34" i="14"/>
  <c r="T21" i="14"/>
  <c r="T24" i="13"/>
  <c r="P12" i="13"/>
  <c r="D25" i="17"/>
  <c r="H22" i="16"/>
  <c r="H13" i="16"/>
  <c r="P24" i="14"/>
  <c r="P34" i="13"/>
  <c r="T21" i="13"/>
  <c r="T24" i="11"/>
  <c r="T22" i="11"/>
  <c r="P12" i="11"/>
  <c r="T34" i="10"/>
  <c r="T33" i="10"/>
  <c r="T29" i="10"/>
  <c r="T25" i="10"/>
  <c r="B16" i="10"/>
  <c r="D15" i="10"/>
  <c r="T12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P12" i="23"/>
  <c r="H25" i="19"/>
  <c r="H24" i="17"/>
  <c r="D5" i="16"/>
  <c r="H34" i="14"/>
  <c r="P15" i="14"/>
  <c r="D5" i="14"/>
  <c r="D12" i="13"/>
  <c r="P34" i="11"/>
  <c r="P33" i="11"/>
  <c r="P29" i="11"/>
  <c r="P25" i="11"/>
  <c r="T21" i="11"/>
  <c r="T24" i="10"/>
  <c r="T22" i="10"/>
  <c r="P12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H24" i="20"/>
  <c r="H22" i="17"/>
  <c r="H13" i="17"/>
  <c r="H29" i="16"/>
  <c r="D21" i="14"/>
  <c r="H15" i="14"/>
  <c r="D24" i="13"/>
  <c r="P21" i="11"/>
  <c r="T15" i="11"/>
  <c r="P13" i="11"/>
  <c r="H12" i="11"/>
  <c r="P24" i="10"/>
  <c r="P22" i="10"/>
  <c r="T20" i="10"/>
  <c r="T16" i="10"/>
  <c r="T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25" i="11"/>
  <c r="D20" i="11"/>
  <c r="D5" i="11"/>
  <c r="T21" i="10"/>
  <c r="P20" i="8"/>
  <c r="P16" i="8"/>
  <c r="P13" i="7"/>
  <c r="D25" i="5"/>
  <c r="D24" i="4"/>
  <c r="P21" i="4"/>
  <c r="H20" i="4"/>
  <c r="H12" i="4"/>
  <c r="T12" i="11"/>
  <c r="B21" i="8"/>
  <c r="H21" i="5"/>
  <c r="T20" i="26"/>
  <c r="D4" i="16"/>
  <c r="H21" i="13"/>
  <c r="P33" i="10"/>
  <c r="P21" i="10"/>
  <c r="H33" i="8"/>
  <c r="H29" i="8"/>
  <c r="H25" i="8"/>
  <c r="P20" i="7"/>
  <c r="P16" i="7"/>
  <c r="B38" i="5"/>
  <c r="D34" i="5"/>
  <c r="P15" i="5"/>
  <c r="P16" i="4"/>
  <c r="H15" i="4"/>
  <c r="D12" i="4"/>
  <c r="D20" i="10"/>
  <c r="H15" i="7"/>
  <c r="P20" i="4"/>
  <c r="H25" i="5"/>
  <c r="T33" i="14"/>
  <c r="D15" i="14"/>
  <c r="B21" i="13"/>
  <c r="H34" i="11"/>
  <c r="T29" i="11"/>
  <c r="P15" i="11"/>
  <c r="P13" i="10"/>
  <c r="B25" i="8"/>
  <c r="D22" i="8"/>
  <c r="H20" i="8"/>
  <c r="H16" i="8"/>
  <c r="B13" i="8"/>
  <c r="D33" i="7"/>
  <c r="D29" i="7"/>
  <c r="D25" i="7"/>
  <c r="D13" i="7"/>
  <c r="P20" i="5"/>
  <c r="T22" i="4"/>
  <c r="D4" i="4"/>
  <c r="B22" i="4"/>
  <c r="D34" i="17"/>
  <c r="B38" i="13"/>
  <c r="H25" i="11"/>
  <c r="D21" i="10"/>
  <c r="D20" i="8"/>
  <c r="D16" i="8"/>
  <c r="B22" i="7"/>
  <c r="B22" i="5"/>
  <c r="H12" i="5"/>
  <c r="D25" i="4"/>
  <c r="P22" i="4"/>
  <c r="H21" i="4"/>
  <c r="T13" i="4"/>
  <c r="D33" i="17"/>
  <c r="T29" i="14"/>
  <c r="T33" i="11"/>
  <c r="D15" i="11"/>
  <c r="B21" i="10"/>
  <c r="T34" i="8"/>
  <c r="B16" i="8"/>
  <c r="T12" i="8"/>
  <c r="D20" i="7"/>
  <c r="D16" i="7"/>
  <c r="P33" i="5"/>
  <c r="P16" i="5"/>
  <c r="H15" i="5"/>
  <c r="D12" i="5"/>
  <c r="B25" i="4"/>
  <c r="H16" i="4"/>
  <c r="P13" i="4"/>
  <c r="T15" i="10"/>
  <c r="H29" i="5"/>
  <c r="D16" i="5"/>
  <c r="D29" i="4"/>
  <c r="D34" i="13"/>
  <c r="H29" i="11"/>
  <c r="T13" i="11"/>
  <c r="P16" i="10"/>
  <c r="P24" i="8"/>
  <c r="P34" i="7"/>
  <c r="T21" i="7"/>
  <c r="T21" i="5"/>
  <c r="D5" i="5"/>
  <c r="D21" i="4"/>
  <c r="T16" i="19"/>
  <c r="T25" i="14"/>
  <c r="P24" i="11"/>
  <c r="D12" i="8"/>
  <c r="P21" i="7"/>
  <c r="T15" i="7"/>
  <c r="H12" i="7"/>
  <c r="P29" i="5"/>
  <c r="P21" i="5"/>
  <c r="D20" i="5"/>
  <c r="B39" i="4"/>
  <c r="T24" i="4"/>
  <c r="H22" i="4"/>
  <c r="H13" i="4"/>
  <c r="D24" i="14"/>
  <c r="H33" i="11"/>
  <c r="B21" i="11"/>
  <c r="T16" i="11"/>
  <c r="P20" i="10"/>
  <c r="D16" i="10"/>
  <c r="H12" i="10"/>
  <c r="H34" i="8"/>
  <c r="P15" i="8"/>
  <c r="D5" i="8"/>
  <c r="D12" i="7"/>
  <c r="H33" i="5"/>
  <c r="H16" i="5"/>
  <c r="P13" i="5"/>
  <c r="B38" i="4"/>
  <c r="D33" i="4"/>
  <c r="P24" i="4"/>
  <c r="T20" i="4"/>
  <c r="D13" i="4"/>
  <c r="T20" i="11"/>
  <c r="D34" i="4"/>
  <c r="D13" i="17"/>
  <c r="P16" i="11"/>
  <c r="P34" i="10"/>
  <c r="D12" i="10"/>
  <c r="D24" i="8"/>
  <c r="B38" i="7"/>
  <c r="D34" i="7"/>
  <c r="H21" i="7"/>
  <c r="D33" i="5"/>
  <c r="P25" i="5"/>
  <c r="D22" i="4"/>
  <c r="T15" i="4"/>
  <c r="B13" i="4"/>
  <c r="P25" i="10"/>
  <c r="D21" i="7"/>
  <c r="D16" i="34"/>
  <c r="P20" i="11"/>
  <c r="D16" i="11"/>
  <c r="B22" i="10"/>
  <c r="T33" i="8"/>
  <c r="T29" i="8"/>
  <c r="T25" i="8"/>
  <c r="D15" i="8"/>
  <c r="B21" i="7"/>
  <c r="P34" i="5"/>
  <c r="D29" i="5"/>
  <c r="D21" i="5"/>
  <c r="D13" i="5"/>
  <c r="H24" i="4"/>
  <c r="P12" i="4"/>
  <c r="T34" i="11"/>
  <c r="P22" i="11"/>
  <c r="B16" i="11"/>
  <c r="D12" i="11"/>
  <c r="P29" i="10"/>
  <c r="H15" i="10"/>
  <c r="P22" i="8"/>
  <c r="T20" i="8"/>
  <c r="T16" i="8"/>
  <c r="T13" i="8"/>
  <c r="P33" i="7"/>
  <c r="P29" i="7"/>
  <c r="P25" i="7"/>
  <c r="B21" i="5"/>
  <c r="T15" i="5"/>
  <c r="B13" i="5"/>
  <c r="T16" i="4"/>
  <c r="Z16" i="4" l="1"/>
  <c r="Z15" i="5"/>
  <c r="X25" i="7"/>
  <c r="X29" i="7"/>
  <c r="X33" i="7"/>
  <c r="Z13" i="8"/>
  <c r="Z16" i="8"/>
  <c r="Z20" i="8"/>
  <c r="X22" i="8"/>
  <c r="N15" i="10"/>
  <c r="X29" i="10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F15" i="11"/>
  <c r="D18" i="11"/>
  <c r="L12" i="11"/>
  <c r="X22" i="11"/>
  <c r="Z34" i="11"/>
  <c r="X12" i="4"/>
  <c r="R24" i="4"/>
  <c r="R22" i="4"/>
  <c r="R16" i="4"/>
  <c r="R33" i="4"/>
  <c r="R27" i="4"/>
  <c r="R18" i="4"/>
  <c r="R15" i="4"/>
  <c r="P18" i="4"/>
  <c r="R34" i="4"/>
  <c r="R29" i="4"/>
  <c r="R20" i="4"/>
  <c r="R36" i="4"/>
  <c r="R31" i="4"/>
  <c r="R25" i="4"/>
  <c r="R21" i="4"/>
  <c r="N24" i="4"/>
  <c r="L13" i="5"/>
  <c r="L21" i="5"/>
  <c r="L29" i="5"/>
  <c r="X34" i="5"/>
  <c r="L15" i="8"/>
  <c r="Z25" i="8"/>
  <c r="Z29" i="8"/>
  <c r="Z33" i="8"/>
  <c r="L16" i="11"/>
  <c r="X20" i="11"/>
  <c r="L16" i="34"/>
  <c r="L21" i="7"/>
  <c r="X25" i="10"/>
  <c r="Z15" i="4"/>
  <c r="L22" i="4"/>
  <c r="X25" i="5"/>
  <c r="L33" i="5"/>
  <c r="N21" i="7"/>
  <c r="L34" i="7"/>
  <c r="L24" i="8"/>
  <c r="F36" i="10"/>
  <c r="F34" i="10"/>
  <c r="F33" i="10"/>
  <c r="F31" i="10"/>
  <c r="F29" i="10"/>
  <c r="F27" i="10"/>
  <c r="F25" i="10"/>
  <c r="F24" i="10"/>
  <c r="F22" i="10"/>
  <c r="F21" i="10"/>
  <c r="L12" i="10"/>
  <c r="F15" i="10"/>
  <c r="F18" i="10"/>
  <c r="D18" i="10"/>
  <c r="F16" i="10"/>
  <c r="F20" i="10"/>
  <c r="X34" i="10"/>
  <c r="X16" i="11"/>
  <c r="L13" i="17"/>
  <c r="L34" i="4"/>
  <c r="Z20" i="11"/>
  <c r="L13" i="4"/>
  <c r="Z20" i="4"/>
  <c r="X24" i="4"/>
  <c r="L33" i="4"/>
  <c r="X13" i="5"/>
  <c r="N16" i="5"/>
  <c r="N33" i="5"/>
  <c r="L12" i="7"/>
  <c r="F36" i="7"/>
  <c r="F34" i="7"/>
  <c r="F33" i="7"/>
  <c r="F31" i="7"/>
  <c r="F29" i="7"/>
  <c r="F27" i="7"/>
  <c r="F25" i="7"/>
  <c r="F21" i="7"/>
  <c r="F22" i="7"/>
  <c r="F20" i="7"/>
  <c r="F16" i="7"/>
  <c r="F18" i="7"/>
  <c r="F24" i="7"/>
  <c r="D18" i="7"/>
  <c r="F15" i="7"/>
  <c r="X15" i="8"/>
  <c r="N34" i="8"/>
  <c r="J24" i="10"/>
  <c r="J22" i="10"/>
  <c r="J21" i="10"/>
  <c r="J20" i="10"/>
  <c r="J18" i="10"/>
  <c r="J16" i="10"/>
  <c r="H18" i="10"/>
  <c r="J15" i="10"/>
  <c r="J29" i="10"/>
  <c r="J33" i="10"/>
  <c r="J36" i="10"/>
  <c r="J27" i="10"/>
  <c r="N12" i="10"/>
  <c r="J31" i="10"/>
  <c r="J34" i="10"/>
  <c r="J25" i="10"/>
  <c r="L16" i="10"/>
  <c r="X20" i="10"/>
  <c r="Z16" i="11"/>
  <c r="N33" i="11"/>
  <c r="L24" i="14"/>
  <c r="N13" i="4"/>
  <c r="N22" i="4"/>
  <c r="Z24" i="4"/>
  <c r="L20" i="5"/>
  <c r="X21" i="5"/>
  <c r="X29" i="5"/>
  <c r="J24" i="7"/>
  <c r="J22" i="7"/>
  <c r="J21" i="7"/>
  <c r="H18" i="7"/>
  <c r="J15" i="7"/>
  <c r="J36" i="7"/>
  <c r="J33" i="7"/>
  <c r="J29" i="7"/>
  <c r="J25" i="7"/>
  <c r="J20" i="7"/>
  <c r="J16" i="7"/>
  <c r="N12" i="7"/>
  <c r="J34" i="7"/>
  <c r="J31" i="7"/>
  <c r="J27" i="7"/>
  <c r="J18" i="7"/>
  <c r="Z15" i="7"/>
  <c r="X21" i="7"/>
  <c r="F36" i="8"/>
  <c r="F34" i="8"/>
  <c r="F33" i="8"/>
  <c r="F31" i="8"/>
  <c r="F29" i="8"/>
  <c r="F27" i="8"/>
  <c r="F25" i="8"/>
  <c r="F24" i="8"/>
  <c r="F22" i="8"/>
  <c r="F20" i="8"/>
  <c r="F18" i="8"/>
  <c r="F16" i="8"/>
  <c r="D18" i="8"/>
  <c r="L12" i="8"/>
  <c r="F21" i="8"/>
  <c r="F15" i="8"/>
  <c r="X24" i="11"/>
  <c r="Z25" i="14"/>
  <c r="Z16" i="19"/>
  <c r="L21" i="4"/>
  <c r="Z21" i="5"/>
  <c r="Z21" i="7"/>
  <c r="X34" i="7"/>
  <c r="X24" i="8"/>
  <c r="X16" i="10"/>
  <c r="Z13" i="11"/>
  <c r="N29" i="11"/>
  <c r="L34" i="13"/>
  <c r="L29" i="4"/>
  <c r="L16" i="5"/>
  <c r="N29" i="5"/>
  <c r="Z15" i="10"/>
  <c r="X13" i="4"/>
  <c r="N16" i="4"/>
  <c r="F36" i="5"/>
  <c r="F34" i="5"/>
  <c r="F33" i="5"/>
  <c r="F31" i="5"/>
  <c r="F29" i="5"/>
  <c r="F27" i="5"/>
  <c r="F25" i="5"/>
  <c r="F21" i="5"/>
  <c r="L12" i="5"/>
  <c r="F18" i="5"/>
  <c r="D18" i="5"/>
  <c r="F22" i="5"/>
  <c r="F20" i="5"/>
  <c r="F15" i="5"/>
  <c r="F24" i="5"/>
  <c r="F16" i="5"/>
  <c r="N15" i="5"/>
  <c r="X16" i="5"/>
  <c r="X33" i="5"/>
  <c r="L16" i="7"/>
  <c r="L20" i="7"/>
  <c r="V21" i="8"/>
  <c r="V20" i="8"/>
  <c r="V18" i="8"/>
  <c r="V16" i="8"/>
  <c r="Z12" i="8"/>
  <c r="V29" i="8"/>
  <c r="V33" i="8"/>
  <c r="V34" i="8"/>
  <c r="V31" i="8"/>
  <c r="V27" i="8"/>
  <c r="V24" i="8"/>
  <c r="T18" i="8"/>
  <c r="V15" i="8"/>
  <c r="V36" i="8"/>
  <c r="V25" i="8"/>
  <c r="V22" i="8"/>
  <c r="Z34" i="8"/>
  <c r="L15" i="11"/>
  <c r="Z33" i="11"/>
  <c r="Z29" i="14"/>
  <c r="L33" i="17"/>
  <c r="Z13" i="4"/>
  <c r="N21" i="4"/>
  <c r="X22" i="4"/>
  <c r="L25" i="4"/>
  <c r="J21" i="5"/>
  <c r="H18" i="5"/>
  <c r="J34" i="5"/>
  <c r="J31" i="5"/>
  <c r="J22" i="5"/>
  <c r="N12" i="5"/>
  <c r="J27" i="5"/>
  <c r="J15" i="5"/>
  <c r="J20" i="5"/>
  <c r="J36" i="5"/>
  <c r="J33" i="5"/>
  <c r="J24" i="5"/>
  <c r="J16" i="5"/>
  <c r="J29" i="5"/>
  <c r="J25" i="5"/>
  <c r="J18" i="5"/>
  <c r="L16" i="8"/>
  <c r="L20" i="8"/>
  <c r="L21" i="10"/>
  <c r="N25" i="11"/>
  <c r="L34" i="17"/>
  <c r="Z22" i="4"/>
  <c r="X20" i="5"/>
  <c r="L13" i="7"/>
  <c r="L25" i="7"/>
  <c r="L29" i="7"/>
  <c r="L33" i="7"/>
  <c r="N16" i="8"/>
  <c r="N20" i="8"/>
  <c r="L22" i="8"/>
  <c r="X13" i="10"/>
  <c r="X15" i="11"/>
  <c r="Z29" i="11"/>
  <c r="N34" i="11"/>
  <c r="L15" i="14"/>
  <c r="Z33" i="14"/>
  <c r="N25" i="5"/>
  <c r="X20" i="4"/>
  <c r="N15" i="7"/>
  <c r="L20" i="10"/>
  <c r="D18" i="4"/>
  <c r="F15" i="4"/>
  <c r="F20" i="4"/>
  <c r="F36" i="4"/>
  <c r="F31" i="4"/>
  <c r="F25" i="4"/>
  <c r="F21" i="4"/>
  <c r="F16" i="4"/>
  <c r="F33" i="4"/>
  <c r="F27" i="4"/>
  <c r="F22" i="4"/>
  <c r="F18" i="4"/>
  <c r="F34" i="4"/>
  <c r="F29" i="4"/>
  <c r="F24" i="4"/>
  <c r="L12" i="4"/>
  <c r="N15" i="4"/>
  <c r="X16" i="4"/>
  <c r="X15" i="5"/>
  <c r="L34" i="5"/>
  <c r="X16" i="7"/>
  <c r="X20" i="7"/>
  <c r="N25" i="8"/>
  <c r="N29" i="8"/>
  <c r="N33" i="8"/>
  <c r="X21" i="10"/>
  <c r="X33" i="10"/>
  <c r="N21" i="13"/>
  <c r="Z20" i="26"/>
  <c r="N21" i="5"/>
  <c r="Z12" i="11"/>
  <c r="V21" i="11"/>
  <c r="V20" i="11"/>
  <c r="V18" i="11"/>
  <c r="V16" i="11"/>
  <c r="V15" i="11"/>
  <c r="V29" i="11"/>
  <c r="T18" i="11"/>
  <c r="V33" i="11"/>
  <c r="V36" i="11"/>
  <c r="V24" i="11"/>
  <c r="V27" i="11"/>
  <c r="V31" i="11"/>
  <c r="V34" i="11"/>
  <c r="V22" i="11"/>
  <c r="V25" i="11"/>
  <c r="J24" i="4"/>
  <c r="J22" i="4"/>
  <c r="N12" i="4"/>
  <c r="J15" i="4"/>
  <c r="J36" i="4"/>
  <c r="J31" i="4"/>
  <c r="J25" i="4"/>
  <c r="J21" i="4"/>
  <c r="J34" i="4"/>
  <c r="J16" i="4"/>
  <c r="J29" i="4"/>
  <c r="J33" i="4"/>
  <c r="J27" i="4"/>
  <c r="J18" i="4"/>
  <c r="H18" i="4"/>
  <c r="J20" i="4"/>
  <c r="N20" i="4"/>
  <c r="X21" i="4"/>
  <c r="L24" i="4"/>
  <c r="L25" i="5"/>
  <c r="X13" i="7"/>
  <c r="X16" i="8"/>
  <c r="X20" i="8"/>
  <c r="Z21" i="10"/>
  <c r="L20" i="11"/>
  <c r="Z25" i="11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Z13" i="10"/>
  <c r="Z16" i="10"/>
  <c r="Z20" i="10"/>
  <c r="X22" i="10"/>
  <c r="X24" i="10"/>
  <c r="J21" i="11"/>
  <c r="J20" i="11"/>
  <c r="J18" i="11"/>
  <c r="J16" i="11"/>
  <c r="H18" i="11"/>
  <c r="J15" i="11"/>
  <c r="N12" i="11"/>
  <c r="J34" i="11"/>
  <c r="J22" i="11"/>
  <c r="J25" i="11"/>
  <c r="J29" i="11"/>
  <c r="J27" i="11"/>
  <c r="J33" i="11"/>
  <c r="J36" i="11"/>
  <c r="J24" i="11"/>
  <c r="J31" i="11"/>
  <c r="X13" i="11"/>
  <c r="Z15" i="11"/>
  <c r="X21" i="11"/>
  <c r="L24" i="13"/>
  <c r="N15" i="14"/>
  <c r="L21" i="14"/>
  <c r="N29" i="16"/>
  <c r="N13" i="17"/>
  <c r="N22" i="17"/>
  <c r="N24" i="20"/>
  <c r="V36" i="4"/>
  <c r="V34" i="4"/>
  <c r="V33" i="4"/>
  <c r="V31" i="4"/>
  <c r="V29" i="4"/>
  <c r="V27" i="4"/>
  <c r="V25" i="4"/>
  <c r="V24" i="4"/>
  <c r="V22" i="4"/>
  <c r="V20" i="4"/>
  <c r="V18" i="4"/>
  <c r="V16" i="4"/>
  <c r="Z12" i="4"/>
  <c r="T18" i="4"/>
  <c r="V15" i="4"/>
  <c r="V21" i="4"/>
  <c r="L15" i="4"/>
  <c r="Z25" i="4"/>
  <c r="Z29" i="4"/>
  <c r="Z33" i="4"/>
  <c r="Z34" i="4"/>
  <c r="R36" i="5"/>
  <c r="R34" i="5"/>
  <c r="R33" i="5"/>
  <c r="R31" i="5"/>
  <c r="R29" i="5"/>
  <c r="R27" i="5"/>
  <c r="R25" i="5"/>
  <c r="R21" i="5"/>
  <c r="R15" i="5"/>
  <c r="R20" i="5"/>
  <c r="X12" i="5"/>
  <c r="R24" i="5"/>
  <c r="R16" i="5"/>
  <c r="R18" i="5"/>
  <c r="P18" i="5"/>
  <c r="R22" i="5"/>
  <c r="Z22" i="5"/>
  <c r="Z24" i="5"/>
  <c r="N13" i="7"/>
  <c r="N22" i="7"/>
  <c r="N24" i="7"/>
  <c r="L13" i="8"/>
  <c r="N21" i="8"/>
  <c r="L25" i="8"/>
  <c r="L29" i="8"/>
  <c r="L33" i="8"/>
  <c r="L34" i="8"/>
  <c r="R36" i="10"/>
  <c r="R34" i="10"/>
  <c r="R33" i="10"/>
  <c r="R31" i="10"/>
  <c r="R29" i="10"/>
  <c r="R27" i="10"/>
  <c r="R25" i="10"/>
  <c r="R21" i="10"/>
  <c r="P18" i="10"/>
  <c r="R24" i="10"/>
  <c r="R16" i="10"/>
  <c r="X12" i="10"/>
  <c r="R20" i="10"/>
  <c r="R22" i="10"/>
  <c r="R15" i="10"/>
  <c r="R18" i="10"/>
  <c r="Z22" i="10"/>
  <c r="Z24" i="10"/>
  <c r="Z21" i="11"/>
  <c r="X25" i="11"/>
  <c r="X29" i="11"/>
  <c r="X33" i="11"/>
  <c r="X34" i="11"/>
  <c r="L12" i="13"/>
  <c r="F36" i="13"/>
  <c r="F34" i="13"/>
  <c r="F33" i="13"/>
  <c r="F31" i="13"/>
  <c r="F29" i="13"/>
  <c r="F27" i="13"/>
  <c r="F25" i="13"/>
  <c r="F20" i="13"/>
  <c r="F18" i="13"/>
  <c r="F16" i="13"/>
  <c r="F22" i="13"/>
  <c r="F21" i="13"/>
  <c r="D18" i="13"/>
  <c r="F15" i="13"/>
  <c r="F24" i="13"/>
  <c r="X15" i="14"/>
  <c r="N34" i="14"/>
  <c r="N24" i="17"/>
  <c r="N25" i="19"/>
  <c r="R20" i="23"/>
  <c r="R18" i="23"/>
  <c r="R16" i="23"/>
  <c r="P18" i="23"/>
  <c r="R15" i="23"/>
  <c r="X12" i="23"/>
  <c r="R24" i="23"/>
  <c r="R22" i="23"/>
  <c r="R36" i="23"/>
  <c r="R29" i="23"/>
  <c r="R34" i="23"/>
  <c r="R27" i="23"/>
  <c r="R21" i="23"/>
  <c r="R33" i="23"/>
  <c r="R25" i="23"/>
  <c r="R31" i="23"/>
  <c r="L16" i="4"/>
  <c r="L20" i="4"/>
  <c r="V24" i="5"/>
  <c r="V22" i="5"/>
  <c r="V21" i="5"/>
  <c r="T18" i="5"/>
  <c r="V15" i="5"/>
  <c r="V27" i="5"/>
  <c r="V20" i="5"/>
  <c r="Z12" i="5"/>
  <c r="V16" i="5"/>
  <c r="V36" i="5"/>
  <c r="V33" i="5"/>
  <c r="V29" i="5"/>
  <c r="V25" i="5"/>
  <c r="V18" i="5"/>
  <c r="V34" i="5"/>
  <c r="V3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V24" i="10"/>
  <c r="V22" i="10"/>
  <c r="V21" i="10"/>
  <c r="T18" i="10"/>
  <c r="V15" i="10"/>
  <c r="V33" i="10"/>
  <c r="V36" i="10"/>
  <c r="V27" i="10"/>
  <c r="V16" i="10"/>
  <c r="Z12" i="10"/>
  <c r="V31" i="10"/>
  <c r="V20" i="10"/>
  <c r="V34" i="10"/>
  <c r="V25" i="10"/>
  <c r="V29" i="10"/>
  <c r="V18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0" i="11"/>
  <c r="R18" i="11"/>
  <c r="R16" i="11"/>
  <c r="R15" i="11"/>
  <c r="P18" i="11"/>
  <c r="R21" i="11"/>
  <c r="X12" i="11"/>
  <c r="Z22" i="11"/>
  <c r="Z24" i="11"/>
  <c r="Z21" i="13"/>
  <c r="X34" i="13"/>
  <c r="X24" i="14"/>
  <c r="N13" i="16"/>
  <c r="N22" i="16"/>
  <c r="L25" i="17"/>
  <c r="R21" i="13"/>
  <c r="R20" i="13"/>
  <c r="R18" i="13"/>
  <c r="R16" i="13"/>
  <c r="R36" i="13"/>
  <c r="R33" i="13"/>
  <c r="R29" i="13"/>
  <c r="R25" i="13"/>
  <c r="R22" i="13"/>
  <c r="X12" i="13"/>
  <c r="R34" i="13"/>
  <c r="R31" i="13"/>
  <c r="R27" i="13"/>
  <c r="R24" i="13"/>
  <c r="P18" i="13"/>
  <c r="R15" i="13"/>
  <c r="Z24" i="13"/>
  <c r="Z21" i="14"/>
  <c r="X34" i="14"/>
  <c r="N33" i="16"/>
  <c r="L16" i="13"/>
  <c r="L20" i="13"/>
  <c r="V36" i="14"/>
  <c r="V34" i="14"/>
  <c r="V33" i="14"/>
  <c r="V31" i="14"/>
  <c r="V29" i="14"/>
  <c r="V27" i="14"/>
  <c r="V25" i="14"/>
  <c r="V21" i="14"/>
  <c r="V20" i="14"/>
  <c r="V16" i="14"/>
  <c r="Z12" i="14"/>
  <c r="V24" i="14"/>
  <c r="V18" i="14"/>
  <c r="T18" i="14"/>
  <c r="V15" i="14"/>
  <c r="V22" i="14"/>
  <c r="Z34" i="14"/>
  <c r="N24" i="16"/>
  <c r="X24" i="23"/>
  <c r="N20" i="5"/>
  <c r="L22" i="5"/>
  <c r="L24" i="5"/>
  <c r="Z13" i="7"/>
  <c r="Z16" i="7"/>
  <c r="Z20" i="7"/>
  <c r="X22" i="7"/>
  <c r="X24" i="7"/>
  <c r="N12" i="8"/>
  <c r="J21" i="8"/>
  <c r="J20" i="8"/>
  <c r="J18" i="8"/>
  <c r="J16" i="8"/>
  <c r="J36" i="8"/>
  <c r="J33" i="8"/>
  <c r="J29" i="8"/>
  <c r="J25" i="8"/>
  <c r="J22" i="8"/>
  <c r="J34" i="8"/>
  <c r="J31" i="8"/>
  <c r="J27" i="8"/>
  <c r="J24" i="8"/>
  <c r="H18" i="8"/>
  <c r="J15" i="8"/>
  <c r="X13" i="8"/>
  <c r="Z15" i="8"/>
  <c r="X21" i="8"/>
  <c r="N16" i="10"/>
  <c r="N20" i="10"/>
  <c r="L22" i="10"/>
  <c r="L24" i="10"/>
  <c r="N15" i="11"/>
  <c r="L21" i="11"/>
  <c r="N16" i="13"/>
  <c r="N20" i="13"/>
  <c r="L22" i="13"/>
  <c r="X15" i="16"/>
  <c r="N34" i="16"/>
  <c r="T18" i="22"/>
  <c r="V15" i="22"/>
  <c r="Z12" i="22"/>
  <c r="V36" i="22"/>
  <c r="V34" i="22"/>
  <c r="V33" i="22"/>
  <c r="V31" i="22"/>
  <c r="V29" i="22"/>
  <c r="V27" i="22"/>
  <c r="V25" i="22"/>
  <c r="V21" i="22"/>
  <c r="V22" i="22"/>
  <c r="V16" i="22"/>
  <c r="V20" i="22"/>
  <c r="V24" i="22"/>
  <c r="V18" i="22"/>
  <c r="Z24" i="23"/>
  <c r="Z29" i="32"/>
  <c r="L13" i="10"/>
  <c r="N21" i="10"/>
  <c r="L25" i="10"/>
  <c r="L29" i="10"/>
  <c r="L33" i="10"/>
  <c r="L34" i="10"/>
  <c r="N16" i="11"/>
  <c r="N20" i="11"/>
  <c r="L22" i="11"/>
  <c r="L24" i="11"/>
  <c r="L13" i="13"/>
  <c r="L25" i="13"/>
  <c r="L29" i="13"/>
  <c r="L33" i="13"/>
  <c r="N16" i="14"/>
  <c r="N20" i="14"/>
  <c r="L22" i="14"/>
  <c r="L29" i="17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1" i="7"/>
  <c r="R20" i="7"/>
  <c r="R16" i="7"/>
  <c r="X12" i="7"/>
  <c r="R24" i="7"/>
  <c r="R18" i="7"/>
  <c r="P18" i="7"/>
  <c r="R15" i="7"/>
  <c r="R22" i="7"/>
  <c r="Z22" i="7"/>
  <c r="Z24" i="7"/>
  <c r="Z21" i="8"/>
  <c r="X25" i="8"/>
  <c r="X29" i="8"/>
  <c r="X33" i="8"/>
  <c r="X34" i="8"/>
  <c r="N13" i="10"/>
  <c r="N22" i="10"/>
  <c r="N24" i="10"/>
  <c r="L13" i="11"/>
  <c r="N21" i="11"/>
  <c r="L25" i="11"/>
  <c r="L29" i="11"/>
  <c r="L33" i="11"/>
  <c r="L34" i="11"/>
  <c r="X16" i="13"/>
  <c r="X20" i="13"/>
  <c r="N25" i="14"/>
  <c r="N29" i="14"/>
  <c r="N33" i="14"/>
  <c r="N25" i="16"/>
  <c r="N25" i="25"/>
  <c r="N34" i="5"/>
  <c r="V24" i="7"/>
  <c r="V22" i="7"/>
  <c r="V21" i="7"/>
  <c r="T18" i="7"/>
  <c r="V15" i="7"/>
  <c r="Z12" i="7"/>
  <c r="V34" i="7"/>
  <c r="V31" i="7"/>
  <c r="V27" i="7"/>
  <c r="V18" i="7"/>
  <c r="V36" i="7"/>
  <c r="V33" i="7"/>
  <c r="V29" i="7"/>
  <c r="V25" i="7"/>
  <c r="V20" i="7"/>
  <c r="V16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0" i="8"/>
  <c r="R18" i="8"/>
  <c r="R16" i="8"/>
  <c r="X12" i="8"/>
  <c r="R21" i="8"/>
  <c r="P18" i="8"/>
  <c r="R15" i="8"/>
  <c r="Z22" i="8"/>
  <c r="Z24" i="8"/>
  <c r="X15" i="10"/>
  <c r="N25" i="10"/>
  <c r="N29" i="10"/>
  <c r="N33" i="10"/>
  <c r="N34" i="10"/>
  <c r="N13" i="11"/>
  <c r="N22" i="11"/>
  <c r="N24" i="11"/>
  <c r="X25" i="13"/>
  <c r="X29" i="13"/>
  <c r="X33" i="13"/>
  <c r="Z13" i="14"/>
  <c r="Z16" i="14"/>
  <c r="Z20" i="14"/>
  <c r="X22" i="14"/>
  <c r="N21" i="17"/>
  <c r="Z15" i="20"/>
  <c r="X25" i="25"/>
  <c r="Z22" i="13"/>
  <c r="X25" i="14"/>
  <c r="X29" i="14"/>
  <c r="X33" i="14"/>
  <c r="T18" i="13"/>
  <c r="V15" i="13"/>
  <c r="Z12" i="13"/>
  <c r="V24" i="13"/>
  <c r="V22" i="13"/>
  <c r="V20" i="13"/>
  <c r="V16" i="13"/>
  <c r="V34" i="13"/>
  <c r="V31" i="13"/>
  <c r="V27" i="13"/>
  <c r="V21" i="13"/>
  <c r="V18" i="13"/>
  <c r="V36" i="13"/>
  <c r="V33" i="13"/>
  <c r="V29" i="13"/>
  <c r="V25" i="13"/>
  <c r="L15" i="13"/>
  <c r="Z25" i="13"/>
  <c r="Z29" i="13"/>
  <c r="Z33" i="13"/>
  <c r="Z34" i="13"/>
  <c r="R20" i="14"/>
  <c r="R18" i="14"/>
  <c r="R16" i="14"/>
  <c r="P18" i="14"/>
  <c r="R15" i="14"/>
  <c r="X12" i="14"/>
  <c r="R36" i="14"/>
  <c r="R34" i="14"/>
  <c r="R33" i="14"/>
  <c r="R31" i="14"/>
  <c r="R29" i="14"/>
  <c r="R27" i="14"/>
  <c r="R25" i="14"/>
  <c r="R22" i="14"/>
  <c r="R24" i="14"/>
  <c r="R21" i="14"/>
  <c r="Z22" i="14"/>
  <c r="Z24" i="14"/>
  <c r="F24" i="16"/>
  <c r="F22" i="16"/>
  <c r="F21" i="16"/>
  <c r="F20" i="16"/>
  <c r="F18" i="16"/>
  <c r="F16" i="16"/>
  <c r="D18" i="16"/>
  <c r="F15" i="16"/>
  <c r="L12" i="16"/>
  <c r="F27" i="16"/>
  <c r="F36" i="16"/>
  <c r="F25" i="16"/>
  <c r="F34" i="16"/>
  <c r="F33" i="16"/>
  <c r="F31" i="16"/>
  <c r="F29" i="16"/>
  <c r="X16" i="16"/>
  <c r="X20" i="16"/>
  <c r="X15" i="17"/>
  <c r="N25" i="17"/>
  <c r="N29" i="17"/>
  <c r="N33" i="17"/>
  <c r="N34" i="17"/>
  <c r="Z21" i="19"/>
  <c r="X25" i="19"/>
  <c r="Z20" i="20"/>
  <c r="X24" i="20"/>
  <c r="N20" i="22"/>
  <c r="N29" i="25"/>
  <c r="N22" i="26"/>
  <c r="N12" i="29"/>
  <c r="J24" i="29"/>
  <c r="J22" i="29"/>
  <c r="J21" i="29"/>
  <c r="H18" i="29"/>
  <c r="J15" i="29"/>
  <c r="J34" i="29"/>
  <c r="J29" i="29"/>
  <c r="J20" i="29"/>
  <c r="J33" i="29"/>
  <c r="J27" i="29"/>
  <c r="J18" i="29"/>
  <c r="J36" i="29"/>
  <c r="J31" i="29"/>
  <c r="J25" i="29"/>
  <c r="J16" i="29"/>
  <c r="J20" i="16"/>
  <c r="J18" i="16"/>
  <c r="J16" i="16"/>
  <c r="H18" i="16"/>
  <c r="J15" i="16"/>
  <c r="N12" i="16"/>
  <c r="J36" i="16"/>
  <c r="J34" i="16"/>
  <c r="J33" i="16"/>
  <c r="J31" i="16"/>
  <c r="J29" i="16"/>
  <c r="J27" i="16"/>
  <c r="J25" i="16"/>
  <c r="J24" i="16"/>
  <c r="J22" i="16"/>
  <c r="J21" i="16"/>
  <c r="X13" i="16"/>
  <c r="Z15" i="16"/>
  <c r="X21" i="16"/>
  <c r="F21" i="17"/>
  <c r="F20" i="17"/>
  <c r="F18" i="17"/>
  <c r="F16" i="17"/>
  <c r="D18" i="17"/>
  <c r="F15" i="17"/>
  <c r="L12" i="17"/>
  <c r="F31" i="17"/>
  <c r="F29" i="17"/>
  <c r="F27" i="17"/>
  <c r="F36" i="17"/>
  <c r="F25" i="17"/>
  <c r="F34" i="17"/>
  <c r="F33" i="17"/>
  <c r="F24" i="17"/>
  <c r="F22" i="17"/>
  <c r="X16" i="17"/>
  <c r="X20" i="17"/>
  <c r="L13" i="19"/>
  <c r="L33" i="19"/>
  <c r="N16" i="20"/>
  <c r="X25" i="22"/>
  <c r="X33" i="22"/>
  <c r="Z13" i="23"/>
  <c r="Z20" i="23"/>
  <c r="X29" i="25"/>
  <c r="X22" i="26"/>
  <c r="N13" i="28"/>
  <c r="L34" i="34"/>
  <c r="N15" i="13"/>
  <c r="L21" i="13"/>
  <c r="L16" i="14"/>
  <c r="L20" i="14"/>
  <c r="Z13" i="16"/>
  <c r="Z16" i="16"/>
  <c r="Z20" i="16"/>
  <c r="X22" i="16"/>
  <c r="X24" i="16"/>
  <c r="H18" i="17"/>
  <c r="J15" i="17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X13" i="17"/>
  <c r="Z15" i="17"/>
  <c r="X21" i="17"/>
  <c r="N33" i="19"/>
  <c r="L15" i="22"/>
  <c r="Z25" i="22"/>
  <c r="Z33" i="22"/>
  <c r="N33" i="25"/>
  <c r="Z13" i="28"/>
  <c r="Z21" i="35"/>
  <c r="Z21" i="16"/>
  <c r="X25" i="16"/>
  <c r="X29" i="16"/>
  <c r="X33" i="16"/>
  <c r="X34" i="16"/>
  <c r="Z13" i="17"/>
  <c r="Z16" i="17"/>
  <c r="Z20" i="17"/>
  <c r="X22" i="17"/>
  <c r="X24" i="17"/>
  <c r="Z13" i="19"/>
  <c r="X22" i="19"/>
  <c r="N12" i="20"/>
  <c r="J36" i="20"/>
  <c r="J34" i="20"/>
  <c r="J33" i="20"/>
  <c r="J31" i="20"/>
  <c r="J29" i="20"/>
  <c r="J27" i="20"/>
  <c r="J25" i="20"/>
  <c r="J24" i="20"/>
  <c r="J22" i="20"/>
  <c r="J20" i="20"/>
  <c r="J18" i="20"/>
  <c r="J16" i="20"/>
  <c r="J15" i="20"/>
  <c r="H18" i="20"/>
  <c r="J21" i="20"/>
  <c r="X21" i="20"/>
  <c r="N15" i="23"/>
  <c r="L21" i="23"/>
  <c r="X33" i="25"/>
  <c r="N21" i="29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X33" i="19"/>
  <c r="Z16" i="20"/>
  <c r="Z21" i="22"/>
  <c r="X34" i="22"/>
  <c r="X21" i="29"/>
  <c r="L20" i="31"/>
  <c r="N13" i="13"/>
  <c r="N22" i="13"/>
  <c r="N24" i="13"/>
  <c r="L13" i="14"/>
  <c r="N21" i="14"/>
  <c r="L25" i="14"/>
  <c r="L29" i="14"/>
  <c r="L33" i="14"/>
  <c r="L34" i="14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L29" i="19"/>
  <c r="L34" i="19"/>
  <c r="L22" i="20"/>
  <c r="Z34" i="22"/>
  <c r="N22" i="28"/>
  <c r="L25" i="29"/>
  <c r="X15" i="13"/>
  <c r="N25" i="13"/>
  <c r="N29" i="13"/>
  <c r="N33" i="13"/>
  <c r="N34" i="13"/>
  <c r="N13" i="14"/>
  <c r="N22" i="14"/>
  <c r="N24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X15" i="19"/>
  <c r="N29" i="19"/>
  <c r="N34" i="19"/>
  <c r="N13" i="20"/>
  <c r="N22" i="20"/>
  <c r="N16" i="22"/>
  <c r="L22" i="22"/>
  <c r="N13" i="26"/>
  <c r="X22" i="28"/>
  <c r="N15" i="16"/>
  <c r="L21" i="16"/>
  <c r="L16" i="17"/>
  <c r="L20" i="17"/>
  <c r="Z20" i="19"/>
  <c r="X24" i="19"/>
  <c r="X13" i="20"/>
  <c r="X29" i="22"/>
  <c r="Z16" i="23"/>
  <c r="X22" i="23"/>
  <c r="Z13" i="26"/>
  <c r="J24" i="13"/>
  <c r="J22" i="13"/>
  <c r="J21" i="13"/>
  <c r="J36" i="13"/>
  <c r="J33" i="13"/>
  <c r="J29" i="13"/>
  <c r="J25" i="13"/>
  <c r="J20" i="13"/>
  <c r="J16" i="13"/>
  <c r="N12" i="13"/>
  <c r="J34" i="13"/>
  <c r="J31" i="13"/>
  <c r="J27" i="13"/>
  <c r="H18" i="13"/>
  <c r="J15" i="13"/>
  <c r="J18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D18" i="14"/>
  <c r="F15" i="14"/>
  <c r="F20" i="14"/>
  <c r="F16" i="14"/>
  <c r="L12" i="14"/>
  <c r="F18" i="14"/>
  <c r="F21" i="14"/>
  <c r="X16" i="14"/>
  <c r="X20" i="14"/>
  <c r="N16" i="16"/>
  <c r="N20" i="16"/>
  <c r="L22" i="16"/>
  <c r="L24" i="16"/>
  <c r="N15" i="17"/>
  <c r="L21" i="17"/>
  <c r="X29" i="19"/>
  <c r="X34" i="19"/>
  <c r="Z13" i="20"/>
  <c r="X22" i="20"/>
  <c r="Z29" i="22"/>
  <c r="Z22" i="23"/>
  <c r="T18" i="32"/>
  <c r="V15" i="32"/>
  <c r="Z12" i="32"/>
  <c r="V36" i="32"/>
  <c r="V34" i="32"/>
  <c r="V33" i="32"/>
  <c r="V31" i="32"/>
  <c r="V29" i="32"/>
  <c r="V27" i="32"/>
  <c r="V25" i="32"/>
  <c r="V21" i="32"/>
  <c r="V20" i="32"/>
  <c r="V18" i="32"/>
  <c r="V16" i="32"/>
  <c r="V24" i="32"/>
  <c r="V22" i="32"/>
  <c r="Z13" i="13"/>
  <c r="Z16" i="13"/>
  <c r="Z20" i="13"/>
  <c r="X22" i="13"/>
  <c r="X24" i="13"/>
  <c r="J36" i="14"/>
  <c r="J34" i="14"/>
  <c r="J33" i="14"/>
  <c r="J31" i="14"/>
  <c r="J29" i="14"/>
  <c r="J27" i="14"/>
  <c r="J25" i="14"/>
  <c r="J21" i="14"/>
  <c r="J20" i="14"/>
  <c r="J18" i="14"/>
  <c r="J16" i="14"/>
  <c r="J22" i="14"/>
  <c r="N12" i="14"/>
  <c r="J24" i="14"/>
  <c r="J15" i="14"/>
  <c r="H18" i="14"/>
  <c r="X13" i="14"/>
  <c r="Z15" i="14"/>
  <c r="X21" i="14"/>
  <c r="L13" i="16"/>
  <c r="N21" i="16"/>
  <c r="L25" i="16"/>
  <c r="L29" i="16"/>
  <c r="L33" i="16"/>
  <c r="L34" i="16"/>
  <c r="N16" i="17"/>
  <c r="N20" i="17"/>
  <c r="L22" i="17"/>
  <c r="L24" i="17"/>
  <c r="N21" i="19"/>
  <c r="L25" i="19"/>
  <c r="N20" i="20"/>
  <c r="L24" i="20"/>
  <c r="L24" i="22"/>
  <c r="Z16" i="26"/>
  <c r="N13" i="19"/>
  <c r="N22" i="19"/>
  <c r="N24" i="19"/>
  <c r="L13" i="20"/>
  <c r="N21" i="20"/>
  <c r="L25" i="20"/>
  <c r="L29" i="20"/>
  <c r="L33" i="20"/>
  <c r="L34" i="20"/>
  <c r="R21" i="22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R22" i="22"/>
  <c r="R24" i="22"/>
  <c r="Z22" i="22"/>
  <c r="Z24" i="22"/>
  <c r="Z21" i="23"/>
  <c r="X25" i="23"/>
  <c r="X29" i="23"/>
  <c r="X33" i="23"/>
  <c r="X34" i="23"/>
  <c r="Z13" i="25"/>
  <c r="Z16" i="25"/>
  <c r="Z20" i="25"/>
  <c r="X22" i="25"/>
  <c r="X13" i="26"/>
  <c r="X13" i="28"/>
  <c r="D18" i="29"/>
  <c r="F15" i="29"/>
  <c r="L12" i="29"/>
  <c r="F36" i="29"/>
  <c r="F34" i="29"/>
  <c r="F33" i="29"/>
  <c r="F31" i="29"/>
  <c r="F29" i="29"/>
  <c r="F27" i="29"/>
  <c r="F25" i="29"/>
  <c r="F21" i="29"/>
  <c r="F16" i="29"/>
  <c r="F24" i="29"/>
  <c r="F20" i="29"/>
  <c r="F22" i="29"/>
  <c r="F18" i="29"/>
  <c r="X16" i="29"/>
  <c r="Z21" i="32"/>
  <c r="F21" i="19"/>
  <c r="F20" i="19"/>
  <c r="F18" i="19"/>
  <c r="F16" i="19"/>
  <c r="D18" i="19"/>
  <c r="F15" i="19"/>
  <c r="F36" i="19"/>
  <c r="F34" i="19"/>
  <c r="F33" i="19"/>
  <c r="F31" i="19"/>
  <c r="F29" i="19"/>
  <c r="F27" i="19"/>
  <c r="F25" i="19"/>
  <c r="F24" i="19"/>
  <c r="F22" i="19"/>
  <c r="L12" i="19"/>
  <c r="X16" i="19"/>
  <c r="X20" i="19"/>
  <c r="X15" i="20"/>
  <c r="N25" i="20"/>
  <c r="N29" i="20"/>
  <c r="N33" i="20"/>
  <c r="N34" i="20"/>
  <c r="L16" i="22"/>
  <c r="L20" i="22"/>
  <c r="V36" i="23"/>
  <c r="V34" i="23"/>
  <c r="V33" i="23"/>
  <c r="V31" i="23"/>
  <c r="V29" i="23"/>
  <c r="V27" i="23"/>
  <c r="V25" i="23"/>
  <c r="V24" i="23"/>
  <c r="V22" i="23"/>
  <c r="V20" i="23"/>
  <c r="V18" i="23"/>
  <c r="V16" i="23"/>
  <c r="V21" i="23"/>
  <c r="V15" i="23"/>
  <c r="Z12" i="23"/>
  <c r="T18" i="23"/>
  <c r="L15" i="23"/>
  <c r="Z25" i="23"/>
  <c r="Z29" i="23"/>
  <c r="Z33" i="23"/>
  <c r="Z34" i="23"/>
  <c r="Z22" i="25"/>
  <c r="X25" i="26"/>
  <c r="X29" i="26"/>
  <c r="X33" i="26"/>
  <c r="N20" i="28"/>
  <c r="L24" i="28"/>
  <c r="X33" i="32"/>
  <c r="X34" i="37"/>
  <c r="H18" i="19"/>
  <c r="J15" i="19"/>
  <c r="J36" i="19"/>
  <c r="J34" i="19"/>
  <c r="J33" i="19"/>
  <c r="J31" i="19"/>
  <c r="J29" i="19"/>
  <c r="J27" i="19"/>
  <c r="J25" i="19"/>
  <c r="J21" i="19"/>
  <c r="J16" i="19"/>
  <c r="J24" i="19"/>
  <c r="J20" i="19"/>
  <c r="J22" i="19"/>
  <c r="J18" i="19"/>
  <c r="N12" i="19"/>
  <c r="X13" i="19"/>
  <c r="Z15" i="19"/>
  <c r="X21" i="19"/>
  <c r="F20" i="20"/>
  <c r="F18" i="20"/>
  <c r="F16" i="20"/>
  <c r="D18" i="20"/>
  <c r="F15" i="20"/>
  <c r="F24" i="20"/>
  <c r="F22" i="20"/>
  <c r="F33" i="20"/>
  <c r="F27" i="20"/>
  <c r="L12" i="20"/>
  <c r="F36" i="20"/>
  <c r="F31" i="20"/>
  <c r="F25" i="20"/>
  <c r="F21" i="20"/>
  <c r="F34" i="20"/>
  <c r="F29" i="20"/>
  <c r="X16" i="20"/>
  <c r="X20" i="20"/>
  <c r="N15" i="22"/>
  <c r="L21" i="22"/>
  <c r="L16" i="23"/>
  <c r="L20" i="23"/>
  <c r="N21" i="25"/>
  <c r="L34" i="25"/>
  <c r="L24" i="26"/>
  <c r="N24" i="28"/>
  <c r="L13" i="29"/>
  <c r="L33" i="29"/>
  <c r="L15" i="32"/>
  <c r="Z33" i="32"/>
  <c r="L15" i="40"/>
  <c r="N24" i="25"/>
  <c r="N21" i="26"/>
  <c r="L34" i="26"/>
  <c r="Z15" i="28"/>
  <c r="R24" i="31"/>
  <c r="R22" i="31"/>
  <c r="R21" i="31"/>
  <c r="R20" i="31"/>
  <c r="R18" i="31"/>
  <c r="R16" i="31"/>
  <c r="P18" i="31"/>
  <c r="R15" i="31"/>
  <c r="R36" i="31"/>
  <c r="R25" i="31"/>
  <c r="R34" i="31"/>
  <c r="R33" i="31"/>
  <c r="X12" i="31"/>
  <c r="R31" i="31"/>
  <c r="R29" i="31"/>
  <c r="R27" i="31"/>
  <c r="X34" i="32"/>
  <c r="L22" i="34"/>
  <c r="L13" i="35"/>
  <c r="L13" i="22"/>
  <c r="N21" i="22"/>
  <c r="L25" i="22"/>
  <c r="L29" i="22"/>
  <c r="L33" i="22"/>
  <c r="L34" i="22"/>
  <c r="N16" i="23"/>
  <c r="N20" i="23"/>
  <c r="L22" i="23"/>
  <c r="L24" i="23"/>
  <c r="X15" i="25"/>
  <c r="N34" i="25"/>
  <c r="N24" i="26"/>
  <c r="Z20" i="28"/>
  <c r="X24" i="28"/>
  <c r="X13" i="29"/>
  <c r="Z34" i="32"/>
  <c r="N22" i="34"/>
  <c r="Z13" i="35"/>
  <c r="X12" i="19"/>
  <c r="R36" i="19"/>
  <c r="R34" i="19"/>
  <c r="R33" i="19"/>
  <c r="R31" i="19"/>
  <c r="R29" i="19"/>
  <c r="R27" i="19"/>
  <c r="R25" i="19"/>
  <c r="R20" i="19"/>
  <c r="R18" i="19"/>
  <c r="R16" i="19"/>
  <c r="P18" i="19"/>
  <c r="R15" i="19"/>
  <c r="R24" i="19"/>
  <c r="R22" i="19"/>
  <c r="R21" i="19"/>
  <c r="Z22" i="19"/>
  <c r="Z24" i="19"/>
  <c r="Z21" i="20"/>
  <c r="X25" i="20"/>
  <c r="X29" i="20"/>
  <c r="X33" i="20"/>
  <c r="X34" i="20"/>
  <c r="N13" i="22"/>
  <c r="N22" i="22"/>
  <c r="N24" i="22"/>
  <c r="L13" i="23"/>
  <c r="N21" i="23"/>
  <c r="L25" i="23"/>
  <c r="L29" i="23"/>
  <c r="L33" i="23"/>
  <c r="L34" i="23"/>
  <c r="X24" i="25"/>
  <c r="J36" i="26"/>
  <c r="J34" i="26"/>
  <c r="J33" i="26"/>
  <c r="J31" i="26"/>
  <c r="J29" i="26"/>
  <c r="J27" i="26"/>
  <c r="J25" i="26"/>
  <c r="J24" i="26"/>
  <c r="J22" i="26"/>
  <c r="J20" i="26"/>
  <c r="J16" i="26"/>
  <c r="N12" i="26"/>
  <c r="J21" i="26"/>
  <c r="J18" i="26"/>
  <c r="H18" i="26"/>
  <c r="J15" i="26"/>
  <c r="Z15" i="26"/>
  <c r="X21" i="26"/>
  <c r="N16" i="28"/>
  <c r="N15" i="29"/>
  <c r="Z22" i="31"/>
  <c r="X25" i="32"/>
  <c r="Z24" i="34"/>
  <c r="L34" i="35"/>
  <c r="Z33" i="43"/>
  <c r="Z12" i="19"/>
  <c r="V36" i="19"/>
  <c r="V34" i="19"/>
  <c r="V33" i="19"/>
  <c r="V31" i="19"/>
  <c r="V29" i="19"/>
  <c r="V27" i="19"/>
  <c r="V25" i="19"/>
  <c r="V24" i="19"/>
  <c r="V22" i="19"/>
  <c r="V21" i="19"/>
  <c r="V20" i="19"/>
  <c r="V15" i="19"/>
  <c r="V18" i="19"/>
  <c r="T18" i="19"/>
  <c r="V16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P18" i="20"/>
  <c r="R15" i="20"/>
  <c r="R18" i="20"/>
  <c r="R21" i="20"/>
  <c r="R16" i="20"/>
  <c r="R20" i="20"/>
  <c r="Z22" i="20"/>
  <c r="Z24" i="20"/>
  <c r="X15" i="22"/>
  <c r="N25" i="22"/>
  <c r="N29" i="22"/>
  <c r="N33" i="22"/>
  <c r="N34" i="22"/>
  <c r="N13" i="23"/>
  <c r="N22" i="23"/>
  <c r="N24" i="23"/>
  <c r="Z21" i="25"/>
  <c r="X34" i="25"/>
  <c r="X24" i="26"/>
  <c r="L29" i="29"/>
  <c r="L34" i="29"/>
  <c r="Z25" i="32"/>
  <c r="X34" i="35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L12" i="22"/>
  <c r="F36" i="22"/>
  <c r="F34" i="22"/>
  <c r="F33" i="22"/>
  <c r="F31" i="22"/>
  <c r="F29" i="22"/>
  <c r="F27" i="22"/>
  <c r="F25" i="22"/>
  <c r="F24" i="22"/>
  <c r="F22" i="22"/>
  <c r="F20" i="22"/>
  <c r="F18" i="22"/>
  <c r="F16" i="22"/>
  <c r="D18" i="22"/>
  <c r="F15" i="22"/>
  <c r="F21" i="22"/>
  <c r="X16" i="22"/>
  <c r="X20" i="22"/>
  <c r="X15" i="23"/>
  <c r="N25" i="23"/>
  <c r="N29" i="23"/>
  <c r="N33" i="23"/>
  <c r="N34" i="23"/>
  <c r="X12" i="25"/>
  <c r="R20" i="25"/>
  <c r="R18" i="25"/>
  <c r="R16" i="25"/>
  <c r="P18" i="25"/>
  <c r="R15" i="25"/>
  <c r="R34" i="25"/>
  <c r="R31" i="25"/>
  <c r="R27" i="25"/>
  <c r="R24" i="25"/>
  <c r="R21" i="25"/>
  <c r="R36" i="25"/>
  <c r="R33" i="25"/>
  <c r="R29" i="25"/>
  <c r="R25" i="25"/>
  <c r="R22" i="25"/>
  <c r="Z24" i="25"/>
  <c r="Z21" i="26"/>
  <c r="X34" i="26"/>
  <c r="N12" i="28"/>
  <c r="J36" i="28"/>
  <c r="J34" i="28"/>
  <c r="J33" i="28"/>
  <c r="J31" i="28"/>
  <c r="J29" i="28"/>
  <c r="J27" i="28"/>
  <c r="J25" i="28"/>
  <c r="J24" i="28"/>
  <c r="J22" i="28"/>
  <c r="J20" i="28"/>
  <c r="J18" i="28"/>
  <c r="J16" i="28"/>
  <c r="H18" i="28"/>
  <c r="J21" i="28"/>
  <c r="J15" i="28"/>
  <c r="X21" i="28"/>
  <c r="X20" i="29"/>
  <c r="Z24" i="31"/>
  <c r="X13" i="41"/>
  <c r="N15" i="19"/>
  <c r="L21" i="19"/>
  <c r="L16" i="20"/>
  <c r="L20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D18" i="23"/>
  <c r="F15" i="23"/>
  <c r="F18" i="23"/>
  <c r="F16" i="23"/>
  <c r="F20" i="23"/>
  <c r="L12" i="23"/>
  <c r="X16" i="23"/>
  <c r="X20" i="23"/>
  <c r="L13" i="25"/>
  <c r="L25" i="25"/>
  <c r="L29" i="25"/>
  <c r="L33" i="25"/>
  <c r="N16" i="26"/>
  <c r="N20" i="26"/>
  <c r="L22" i="26"/>
  <c r="Z16" i="28"/>
  <c r="Z15" i="29"/>
  <c r="L16" i="31"/>
  <c r="Z13" i="34"/>
  <c r="X16" i="37"/>
  <c r="N29" i="38"/>
  <c r="N16" i="19"/>
  <c r="N20" i="19"/>
  <c r="L22" i="19"/>
  <c r="L24" i="19"/>
  <c r="N15" i="20"/>
  <c r="L21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N13" i="25"/>
  <c r="N22" i="25"/>
  <c r="L13" i="26"/>
  <c r="L25" i="26"/>
  <c r="L29" i="26"/>
  <c r="L33" i="26"/>
  <c r="L22" i="28"/>
  <c r="L21" i="29"/>
  <c r="X29" i="32"/>
  <c r="Z21" i="37"/>
  <c r="L13" i="28"/>
  <c r="N21" i="28"/>
  <c r="L25" i="28"/>
  <c r="L29" i="28"/>
  <c r="L33" i="28"/>
  <c r="L34" i="28"/>
  <c r="N16" i="29"/>
  <c r="N20" i="29"/>
  <c r="L22" i="29"/>
  <c r="L24" i="29"/>
  <c r="V20" i="31"/>
  <c r="V18" i="31"/>
  <c r="V16" i="31"/>
  <c r="T18" i="31"/>
  <c r="V15" i="31"/>
  <c r="Z12" i="31"/>
  <c r="V24" i="31"/>
  <c r="V22" i="31"/>
  <c r="V34" i="31"/>
  <c r="V33" i="31"/>
  <c r="V31" i="31"/>
  <c r="V21" i="31"/>
  <c r="V29" i="31"/>
  <c r="V36" i="31"/>
  <c r="V27" i="31"/>
  <c r="V25" i="31"/>
  <c r="L15" i="31"/>
  <c r="Z25" i="31"/>
  <c r="Z29" i="31"/>
  <c r="Z33" i="31"/>
  <c r="Z34" i="31"/>
  <c r="R21" i="32"/>
  <c r="R20" i="32"/>
  <c r="R18" i="32"/>
  <c r="R16" i="32"/>
  <c r="P18" i="32"/>
  <c r="R15" i="32"/>
  <c r="X12" i="32"/>
  <c r="R36" i="32"/>
  <c r="R34" i="32"/>
  <c r="R33" i="32"/>
  <c r="R31" i="32"/>
  <c r="R29" i="32"/>
  <c r="R27" i="32"/>
  <c r="R25" i="32"/>
  <c r="R24" i="32"/>
  <c r="R22" i="32"/>
  <c r="Z22" i="32"/>
  <c r="Z24" i="32"/>
  <c r="X20" i="34"/>
  <c r="N16" i="35"/>
  <c r="N34" i="35"/>
  <c r="N22" i="37"/>
  <c r="L29" i="38"/>
  <c r="N15" i="40"/>
  <c r="X25" i="41"/>
  <c r="F21" i="25"/>
  <c r="F20" i="25"/>
  <c r="F18" i="25"/>
  <c r="F16" i="25"/>
  <c r="D18" i="25"/>
  <c r="F15" i="25"/>
  <c r="F36" i="25"/>
  <c r="F33" i="25"/>
  <c r="F29" i="25"/>
  <c r="F25" i="25"/>
  <c r="F22" i="25"/>
  <c r="L12" i="25"/>
  <c r="F34" i="25"/>
  <c r="F31" i="25"/>
  <c r="F27" i="25"/>
  <c r="F24" i="25"/>
  <c r="X16" i="25"/>
  <c r="X20" i="25"/>
  <c r="X15" i="26"/>
  <c r="N25" i="26"/>
  <c r="N29" i="26"/>
  <c r="N33" i="26"/>
  <c r="N34" i="26"/>
  <c r="X15" i="28"/>
  <c r="N25" i="28"/>
  <c r="N29" i="28"/>
  <c r="N33" i="28"/>
  <c r="N34" i="28"/>
  <c r="N13" i="29"/>
  <c r="N22" i="29"/>
  <c r="N24" i="29"/>
  <c r="N15" i="31"/>
  <c r="L21" i="31"/>
  <c r="L16" i="32"/>
  <c r="L20" i="32"/>
  <c r="N16" i="34"/>
  <c r="L25" i="34"/>
  <c r="N20" i="35"/>
  <c r="Z34" i="35"/>
  <c r="X29" i="37"/>
  <c r="Z16" i="38"/>
  <c r="X22" i="38"/>
  <c r="Z34" i="43"/>
  <c r="L34" i="46"/>
  <c r="H18" i="25"/>
  <c r="J15" i="25"/>
  <c r="J36" i="25"/>
  <c r="J34" i="25"/>
  <c r="J33" i="25"/>
  <c r="J31" i="25"/>
  <c r="J29" i="25"/>
  <c r="J27" i="25"/>
  <c r="J25" i="25"/>
  <c r="J20" i="25"/>
  <c r="J16" i="25"/>
  <c r="N12" i="25"/>
  <c r="J24" i="25"/>
  <c r="J21" i="25"/>
  <c r="J18" i="25"/>
  <c r="J22" i="25"/>
  <c r="X13" i="25"/>
  <c r="Z15" i="25"/>
  <c r="X21" i="25"/>
  <c r="F20" i="26"/>
  <c r="F18" i="26"/>
  <c r="F16" i="26"/>
  <c r="D18" i="26"/>
  <c r="F15" i="26"/>
  <c r="F22" i="26"/>
  <c r="L12" i="26"/>
  <c r="F34" i="26"/>
  <c r="F31" i="26"/>
  <c r="F27" i="26"/>
  <c r="F24" i="26"/>
  <c r="F21" i="26"/>
  <c r="F36" i="26"/>
  <c r="F33" i="26"/>
  <c r="F29" i="26"/>
  <c r="F25" i="26"/>
  <c r="X16" i="26"/>
  <c r="X20" i="26"/>
  <c r="F20" i="28"/>
  <c r="F18" i="28"/>
  <c r="F16" i="28"/>
  <c r="D18" i="28"/>
  <c r="F15" i="28"/>
  <c r="F24" i="28"/>
  <c r="F22" i="28"/>
  <c r="L12" i="28"/>
  <c r="F36" i="28"/>
  <c r="F31" i="28"/>
  <c r="F25" i="28"/>
  <c r="F21" i="28"/>
  <c r="F34" i="28"/>
  <c r="F29" i="28"/>
  <c r="F33" i="28"/>
  <c r="F27" i="28"/>
  <c r="X16" i="28"/>
  <c r="X20" i="28"/>
  <c r="X15" i="29"/>
  <c r="N25" i="29"/>
  <c r="N29" i="29"/>
  <c r="N33" i="29"/>
  <c r="N34" i="29"/>
  <c r="N16" i="31"/>
  <c r="N20" i="31"/>
  <c r="L22" i="31"/>
  <c r="L24" i="31"/>
  <c r="N15" i="32"/>
  <c r="L21" i="32"/>
  <c r="F20" i="34"/>
  <c r="F18" i="34"/>
  <c r="F16" i="34"/>
  <c r="F27" i="34"/>
  <c r="D18" i="34"/>
  <c r="F36" i="34"/>
  <c r="F33" i="34"/>
  <c r="F24" i="34"/>
  <c r="F29" i="34"/>
  <c r="F21" i="34"/>
  <c r="F15" i="34"/>
  <c r="L12" i="34"/>
  <c r="F25" i="34"/>
  <c r="F34" i="34"/>
  <c r="F31" i="34"/>
  <c r="F22" i="34"/>
  <c r="L15" i="35"/>
  <c r="Z16" i="35"/>
  <c r="N24" i="37"/>
  <c r="J36" i="47"/>
  <c r="J34" i="47"/>
  <c r="J33" i="47"/>
  <c r="J31" i="47"/>
  <c r="J29" i="47"/>
  <c r="J27" i="47"/>
  <c r="J25" i="47"/>
  <c r="J24" i="47"/>
  <c r="J22" i="47"/>
  <c r="J20" i="47"/>
  <c r="J18" i="47"/>
  <c r="J16" i="47"/>
  <c r="J15" i="47"/>
  <c r="H18" i="47"/>
  <c r="J21" i="47"/>
  <c r="N12" i="47"/>
  <c r="L13" i="31"/>
  <c r="N21" i="31"/>
  <c r="L25" i="31"/>
  <c r="L29" i="31"/>
  <c r="L33" i="31"/>
  <c r="L34" i="31"/>
  <c r="N16" i="32"/>
  <c r="N20" i="32"/>
  <c r="L22" i="32"/>
  <c r="L24" i="32"/>
  <c r="Z22" i="34"/>
  <c r="L29" i="34"/>
  <c r="X34" i="34"/>
  <c r="N15" i="35"/>
  <c r="L22" i="35"/>
  <c r="F24" i="37"/>
  <c r="F22" i="37"/>
  <c r="F21" i="37"/>
  <c r="F20" i="37"/>
  <c r="F18" i="37"/>
  <c r="F16" i="37"/>
  <c r="D18" i="37"/>
  <c r="F15" i="37"/>
  <c r="L12" i="37"/>
  <c r="F34" i="37"/>
  <c r="F27" i="37"/>
  <c r="F33" i="37"/>
  <c r="F25" i="37"/>
  <c r="F31" i="37"/>
  <c r="F36" i="37"/>
  <c r="F29" i="37"/>
  <c r="N13" i="31"/>
  <c r="N22" i="31"/>
  <c r="N24" i="31"/>
  <c r="L13" i="32"/>
  <c r="N21" i="32"/>
  <c r="L25" i="32"/>
  <c r="L29" i="32"/>
  <c r="L33" i="32"/>
  <c r="L34" i="32"/>
  <c r="N21" i="34"/>
  <c r="X25" i="34"/>
  <c r="Z20" i="35"/>
  <c r="L25" i="35"/>
  <c r="L29" i="35"/>
  <c r="L33" i="35"/>
  <c r="X24" i="38"/>
  <c r="Z21" i="28"/>
  <c r="X25" i="28"/>
  <c r="X29" i="28"/>
  <c r="X33" i="28"/>
  <c r="X34" i="28"/>
  <c r="Z13" i="29"/>
  <c r="Z16" i="29"/>
  <c r="Z20" i="29"/>
  <c r="X22" i="29"/>
  <c r="X24" i="29"/>
  <c r="X15" i="31"/>
  <c r="N25" i="31"/>
  <c r="N29" i="31"/>
  <c r="N33" i="31"/>
  <c r="N34" i="31"/>
  <c r="N13" i="32"/>
  <c r="N22" i="32"/>
  <c r="N24" i="32"/>
  <c r="R21" i="34"/>
  <c r="R20" i="34"/>
  <c r="R18" i="34"/>
  <c r="R16" i="34"/>
  <c r="R33" i="34"/>
  <c r="R24" i="34"/>
  <c r="R15" i="34"/>
  <c r="R29" i="34"/>
  <c r="X12" i="34"/>
  <c r="R25" i="34"/>
  <c r="R34" i="34"/>
  <c r="R31" i="34"/>
  <c r="R22" i="34"/>
  <c r="P18" i="34"/>
  <c r="R36" i="34"/>
  <c r="R27" i="34"/>
  <c r="X16" i="34"/>
  <c r="L24" i="34"/>
  <c r="L33" i="34"/>
  <c r="N25" i="35"/>
  <c r="N29" i="35"/>
  <c r="N33" i="35"/>
  <c r="N13" i="37"/>
  <c r="L13" i="38"/>
  <c r="L25" i="38"/>
  <c r="L33" i="38"/>
  <c r="Z12" i="25"/>
  <c r="V36" i="25"/>
  <c r="V34" i="25"/>
  <c r="V33" i="25"/>
  <c r="V31" i="25"/>
  <c r="V29" i="25"/>
  <c r="V27" i="25"/>
  <c r="V25" i="25"/>
  <c r="V24" i="25"/>
  <c r="V22" i="25"/>
  <c r="V21" i="25"/>
  <c r="V18" i="25"/>
  <c r="T18" i="25"/>
  <c r="V15" i="25"/>
  <c r="V20" i="25"/>
  <c r="V16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P18" i="26"/>
  <c r="R15" i="26"/>
  <c r="R24" i="26"/>
  <c r="R21" i="26"/>
  <c r="R18" i="26"/>
  <c r="R22" i="26"/>
  <c r="R20" i="26"/>
  <c r="R16" i="26"/>
  <c r="Z22" i="26"/>
  <c r="Z24" i="26"/>
  <c r="X12" i="28"/>
  <c r="R36" i="28"/>
  <c r="R34" i="28"/>
  <c r="R33" i="28"/>
  <c r="R31" i="28"/>
  <c r="R29" i="28"/>
  <c r="R27" i="28"/>
  <c r="R25" i="28"/>
  <c r="R24" i="28"/>
  <c r="R22" i="28"/>
  <c r="P18" i="28"/>
  <c r="R15" i="28"/>
  <c r="R21" i="28"/>
  <c r="R16" i="28"/>
  <c r="R20" i="28"/>
  <c r="R18" i="28"/>
  <c r="Z22" i="28"/>
  <c r="Z24" i="28"/>
  <c r="Z21" i="29"/>
  <c r="X25" i="29"/>
  <c r="X29" i="29"/>
  <c r="X33" i="29"/>
  <c r="X34" i="29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F15" i="31"/>
  <c r="D18" i="31"/>
  <c r="X16" i="31"/>
  <c r="X20" i="31"/>
  <c r="X15" i="32"/>
  <c r="N25" i="32"/>
  <c r="N29" i="32"/>
  <c r="N33" i="32"/>
  <c r="N34" i="32"/>
  <c r="Z16" i="34"/>
  <c r="L20" i="34"/>
  <c r="X29" i="34"/>
  <c r="X15" i="35"/>
  <c r="X25" i="35"/>
  <c r="X29" i="35"/>
  <c r="X33" i="35"/>
  <c r="X20" i="37"/>
  <c r="N25" i="38"/>
  <c r="N33" i="38"/>
  <c r="L21" i="41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18" i="26"/>
  <c r="T18" i="26"/>
  <c r="V15" i="26"/>
  <c r="V20" i="26"/>
  <c r="V16" i="26"/>
  <c r="L15" i="26"/>
  <c r="Z25" i="26"/>
  <c r="Z29" i="26"/>
  <c r="Z33" i="26"/>
  <c r="Z3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V15" i="28"/>
  <c r="T18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5" i="29"/>
  <c r="R18" i="29"/>
  <c r="P18" i="29"/>
  <c r="R16" i="29"/>
  <c r="Z22" i="29"/>
  <c r="Z2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X15" i="34"/>
  <c r="N20" i="34"/>
  <c r="Z21" i="34"/>
  <c r="N24" i="34"/>
  <c r="V36" i="35"/>
  <c r="V34" i="35"/>
  <c r="V33" i="35"/>
  <c r="V31" i="35"/>
  <c r="V29" i="35"/>
  <c r="V27" i="35"/>
  <c r="V25" i="35"/>
  <c r="V21" i="35"/>
  <c r="T18" i="35"/>
  <c r="Z12" i="35"/>
  <c r="V22" i="35"/>
  <c r="V15" i="35"/>
  <c r="V20" i="35"/>
  <c r="V16" i="35"/>
  <c r="V24" i="35"/>
  <c r="V18" i="35"/>
  <c r="L21" i="35"/>
  <c r="Z25" i="35"/>
  <c r="Z29" i="35"/>
  <c r="Z33" i="35"/>
  <c r="X25" i="37"/>
  <c r="X33" i="37"/>
  <c r="Z13" i="38"/>
  <c r="Z20" i="38"/>
  <c r="L21" i="40"/>
  <c r="N15" i="25"/>
  <c r="L21" i="25"/>
  <c r="L16" i="26"/>
  <c r="L20" i="26"/>
  <c r="L16" i="28"/>
  <c r="L20" i="28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Z12" i="29"/>
  <c r="L15" i="29"/>
  <c r="Z25" i="29"/>
  <c r="Z29" i="29"/>
  <c r="Z33" i="29"/>
  <c r="Z34" i="29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L13" i="34"/>
  <c r="X33" i="34"/>
  <c r="N21" i="38"/>
  <c r="L34" i="38"/>
  <c r="V36" i="40"/>
  <c r="V34" i="40"/>
  <c r="V33" i="40"/>
  <c r="V31" i="40"/>
  <c r="V29" i="40"/>
  <c r="V27" i="40"/>
  <c r="V24" i="40"/>
  <c r="V22" i="40"/>
  <c r="V21" i="40"/>
  <c r="V20" i="40"/>
  <c r="V18" i="40"/>
  <c r="V16" i="40"/>
  <c r="T18" i="40"/>
  <c r="V15" i="40"/>
  <c r="V25" i="40"/>
  <c r="Z12" i="40"/>
  <c r="L15" i="43"/>
  <c r="N16" i="25"/>
  <c r="N20" i="25"/>
  <c r="L22" i="25"/>
  <c r="L24" i="25"/>
  <c r="N15" i="26"/>
  <c r="L21" i="26"/>
  <c r="N15" i="28"/>
  <c r="L21" i="28"/>
  <c r="L16" i="29"/>
  <c r="L20" i="29"/>
  <c r="Z21" i="31"/>
  <c r="X25" i="31"/>
  <c r="X29" i="31"/>
  <c r="X33" i="31"/>
  <c r="X34" i="31"/>
  <c r="Z13" i="32"/>
  <c r="Z16" i="32"/>
  <c r="Z20" i="32"/>
  <c r="X22" i="32"/>
  <c r="X24" i="32"/>
  <c r="N13" i="34"/>
  <c r="N21" i="35"/>
  <c r="L24" i="35"/>
  <c r="X15" i="38"/>
  <c r="N34" i="38"/>
  <c r="Z25" i="49"/>
  <c r="Z12" i="34"/>
  <c r="V24" i="34"/>
  <c r="V22" i="34"/>
  <c r="V15" i="34"/>
  <c r="V29" i="34"/>
  <c r="V21" i="34"/>
  <c r="V16" i="34"/>
  <c r="V25" i="34"/>
  <c r="V34" i="34"/>
  <c r="V18" i="34"/>
  <c r="V31" i="34"/>
  <c r="T18" i="34"/>
  <c r="V27" i="34"/>
  <c r="V36" i="34"/>
  <c r="V20" i="34"/>
  <c r="V33" i="34"/>
  <c r="L15" i="34"/>
  <c r="Z25" i="34"/>
  <c r="Z29" i="34"/>
  <c r="Z33" i="34"/>
  <c r="Z34" i="34"/>
  <c r="R20" i="35"/>
  <c r="R18" i="35"/>
  <c r="R16" i="35"/>
  <c r="P18" i="35"/>
  <c r="R15" i="35"/>
  <c r="X12" i="35"/>
  <c r="R36" i="35"/>
  <c r="R34" i="35"/>
  <c r="R33" i="35"/>
  <c r="R31" i="35"/>
  <c r="R29" i="35"/>
  <c r="R27" i="35"/>
  <c r="R25" i="35"/>
  <c r="R22" i="35"/>
  <c r="R21" i="35"/>
  <c r="R24" i="35"/>
  <c r="Z22" i="35"/>
  <c r="Z24" i="35"/>
  <c r="X15" i="37"/>
  <c r="N25" i="37"/>
  <c r="N29" i="37"/>
  <c r="N33" i="37"/>
  <c r="N34" i="37"/>
  <c r="N13" i="38"/>
  <c r="N22" i="38"/>
  <c r="N24" i="38"/>
  <c r="L16" i="40"/>
  <c r="L20" i="40"/>
  <c r="L22" i="40"/>
  <c r="N24" i="40"/>
  <c r="X34" i="40"/>
  <c r="Z13" i="41"/>
  <c r="N16" i="41"/>
  <c r="N29" i="41"/>
  <c r="X34" i="41"/>
  <c r="X34" i="43"/>
  <c r="N15" i="34"/>
  <c r="L21" i="34"/>
  <c r="L16" i="35"/>
  <c r="L20" i="35"/>
  <c r="J20" i="37"/>
  <c r="J18" i="37"/>
  <c r="J16" i="37"/>
  <c r="H18" i="37"/>
  <c r="J15" i="37"/>
  <c r="J24" i="37"/>
  <c r="J22" i="37"/>
  <c r="J34" i="37"/>
  <c r="J27" i="37"/>
  <c r="J21" i="37"/>
  <c r="J33" i="37"/>
  <c r="J25" i="37"/>
  <c r="N12" i="37"/>
  <c r="J31" i="37"/>
  <c r="J36" i="37"/>
  <c r="J29" i="37"/>
  <c r="X13" i="37"/>
  <c r="Z15" i="37"/>
  <c r="X21" i="37"/>
  <c r="F21" i="38"/>
  <c r="F20" i="38"/>
  <c r="F18" i="38"/>
  <c r="F16" i="38"/>
  <c r="D18" i="38"/>
  <c r="F15" i="38"/>
  <c r="F36" i="38"/>
  <c r="F34" i="38"/>
  <c r="F33" i="38"/>
  <c r="F31" i="38"/>
  <c r="F29" i="38"/>
  <c r="F27" i="38"/>
  <c r="F25" i="38"/>
  <c r="L12" i="38"/>
  <c r="F24" i="38"/>
  <c r="F22" i="38"/>
  <c r="X16" i="38"/>
  <c r="X20" i="38"/>
  <c r="N16" i="40"/>
  <c r="N20" i="40"/>
  <c r="N22" i="40"/>
  <c r="X25" i="40"/>
  <c r="L20" i="41"/>
  <c r="X21" i="41"/>
  <c r="L24" i="41"/>
  <c r="N33" i="41"/>
  <c r="X25" i="43"/>
  <c r="Z20" i="44"/>
  <c r="R24" i="50"/>
  <c r="R20" i="50"/>
  <c r="R18" i="50"/>
  <c r="R16" i="50"/>
  <c r="R27" i="50"/>
  <c r="P18" i="50"/>
  <c r="R15" i="50"/>
  <c r="R34" i="50"/>
  <c r="R29" i="50"/>
  <c r="R36" i="50"/>
  <c r="R31" i="50"/>
  <c r="X12" i="50"/>
  <c r="R33" i="50"/>
  <c r="R22" i="50"/>
  <c r="R25" i="50"/>
  <c r="R21" i="50"/>
  <c r="Z13" i="37"/>
  <c r="Z16" i="37"/>
  <c r="Z20" i="37"/>
  <c r="X22" i="37"/>
  <c r="X24" i="37"/>
  <c r="H18" i="38"/>
  <c r="J15" i="38"/>
  <c r="N12" i="38"/>
  <c r="J36" i="38"/>
  <c r="J34" i="38"/>
  <c r="J33" i="38"/>
  <c r="J31" i="38"/>
  <c r="J29" i="38"/>
  <c r="J27" i="38"/>
  <c r="J25" i="38"/>
  <c r="J21" i="38"/>
  <c r="J20" i="38"/>
  <c r="J24" i="38"/>
  <c r="J18" i="38"/>
  <c r="J16" i="38"/>
  <c r="J22" i="38"/>
  <c r="X13" i="38"/>
  <c r="Z15" i="38"/>
  <c r="X21" i="38"/>
  <c r="L13" i="40"/>
  <c r="N21" i="40"/>
  <c r="X24" i="40"/>
  <c r="X33" i="40"/>
  <c r="J36" i="41"/>
  <c r="J34" i="41"/>
  <c r="J33" i="41"/>
  <c r="J31" i="41"/>
  <c r="J29" i="41"/>
  <c r="J27" i="41"/>
  <c r="J25" i="41"/>
  <c r="J21" i="41"/>
  <c r="J18" i="41"/>
  <c r="J22" i="41"/>
  <c r="H18" i="41"/>
  <c r="J20" i="41"/>
  <c r="N12" i="41"/>
  <c r="J15" i="41"/>
  <c r="J24" i="41"/>
  <c r="J16" i="41"/>
  <c r="N15" i="41"/>
  <c r="X29" i="41"/>
  <c r="Z25" i="43"/>
  <c r="N13" i="40"/>
  <c r="L29" i="40"/>
  <c r="Z16" i="41"/>
  <c r="N20" i="41"/>
  <c r="Z21" i="41"/>
  <c r="X12" i="37"/>
  <c r="R36" i="37"/>
  <c r="R34" i="37"/>
  <c r="R33" i="37"/>
  <c r="R31" i="37"/>
  <c r="R29" i="37"/>
  <c r="R27" i="37"/>
  <c r="R25" i="37"/>
  <c r="R21" i="37"/>
  <c r="R20" i="37"/>
  <c r="R18" i="37"/>
  <c r="R16" i="37"/>
  <c r="R15" i="37"/>
  <c r="R24" i="37"/>
  <c r="P18" i="37"/>
  <c r="R22" i="37"/>
  <c r="Z22" i="37"/>
  <c r="Z24" i="37"/>
  <c r="Z21" i="38"/>
  <c r="X25" i="38"/>
  <c r="X29" i="38"/>
  <c r="X33" i="38"/>
  <c r="X34" i="38"/>
  <c r="X15" i="40"/>
  <c r="X22" i="40"/>
  <c r="Z24" i="40"/>
  <c r="X24" i="41"/>
  <c r="X33" i="41"/>
  <c r="R20" i="44"/>
  <c r="R18" i="44"/>
  <c r="R16" i="44"/>
  <c r="P18" i="44"/>
  <c r="R15" i="44"/>
  <c r="X12" i="44"/>
  <c r="R24" i="44"/>
  <c r="R22" i="44"/>
  <c r="R34" i="44"/>
  <c r="R33" i="44"/>
  <c r="R31" i="44"/>
  <c r="R21" i="44"/>
  <c r="R29" i="44"/>
  <c r="R36" i="44"/>
  <c r="R27" i="44"/>
  <c r="R25" i="44"/>
  <c r="N25" i="34"/>
  <c r="N29" i="34"/>
  <c r="N33" i="34"/>
  <c r="N34" i="34"/>
  <c r="N13" i="35"/>
  <c r="N22" i="35"/>
  <c r="N24" i="35"/>
  <c r="Z12" i="37"/>
  <c r="V36" i="37"/>
  <c r="V34" i="37"/>
  <c r="V33" i="37"/>
  <c r="V31" i="37"/>
  <c r="V29" i="37"/>
  <c r="V27" i="37"/>
  <c r="V25" i="37"/>
  <c r="V24" i="37"/>
  <c r="V22" i="37"/>
  <c r="V21" i="37"/>
  <c r="T18" i="37"/>
  <c r="V15" i="37"/>
  <c r="V20" i="37"/>
  <c r="V18" i="37"/>
  <c r="V16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0" i="38"/>
  <c r="R18" i="38"/>
  <c r="R16" i="38"/>
  <c r="P18" i="38"/>
  <c r="R15" i="38"/>
  <c r="R21" i="38"/>
  <c r="Z22" i="38"/>
  <c r="Z24" i="38"/>
  <c r="F25" i="40"/>
  <c r="F34" i="40"/>
  <c r="F27" i="40"/>
  <c r="L12" i="40"/>
  <c r="F36" i="40"/>
  <c r="F29" i="40"/>
  <c r="F31" i="40"/>
  <c r="F21" i="40"/>
  <c r="D18" i="40"/>
  <c r="F15" i="40"/>
  <c r="F22" i="40"/>
  <c r="F33" i="40"/>
  <c r="F20" i="40"/>
  <c r="F18" i="40"/>
  <c r="F16" i="40"/>
  <c r="F24" i="40"/>
  <c r="X16" i="40"/>
  <c r="X20" i="40"/>
  <c r="X21" i="40"/>
  <c r="X15" i="41"/>
  <c r="X29" i="43"/>
  <c r="Z13" i="44"/>
  <c r="X22" i="44"/>
  <c r="Z20" i="47"/>
  <c r="Z33" i="50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J24" i="40"/>
  <c r="J22" i="40"/>
  <c r="J34" i="40"/>
  <c r="J27" i="40"/>
  <c r="N12" i="40"/>
  <c r="J36" i="40"/>
  <c r="J29" i="40"/>
  <c r="J21" i="40"/>
  <c r="J31" i="40"/>
  <c r="J20" i="40"/>
  <c r="J18" i="40"/>
  <c r="J16" i="40"/>
  <c r="H18" i="40"/>
  <c r="J15" i="40"/>
  <c r="J33" i="40"/>
  <c r="J25" i="40"/>
  <c r="X13" i="40"/>
  <c r="Z15" i="40"/>
  <c r="Z22" i="40"/>
  <c r="L34" i="40"/>
  <c r="Z15" i="41"/>
  <c r="L22" i="41"/>
  <c r="Z29" i="43"/>
  <c r="Z22" i="44"/>
  <c r="N25" i="46"/>
  <c r="X22" i="47"/>
  <c r="J24" i="34"/>
  <c r="J22" i="34"/>
  <c r="J36" i="34"/>
  <c r="J20" i="34"/>
  <c r="J33" i="34"/>
  <c r="J29" i="34"/>
  <c r="J21" i="34"/>
  <c r="J15" i="34"/>
  <c r="N12" i="34"/>
  <c r="J25" i="34"/>
  <c r="J34" i="34"/>
  <c r="J16" i="34"/>
  <c r="J18" i="34"/>
  <c r="J27" i="34"/>
  <c r="H18" i="34"/>
  <c r="J31" i="34"/>
  <c r="X13" i="34"/>
  <c r="Z15" i="34"/>
  <c r="X21" i="34"/>
  <c r="F36" i="35"/>
  <c r="F34" i="35"/>
  <c r="F33" i="35"/>
  <c r="F31" i="35"/>
  <c r="F29" i="35"/>
  <c r="F27" i="35"/>
  <c r="F25" i="35"/>
  <c r="D18" i="35"/>
  <c r="F15" i="35"/>
  <c r="F21" i="35"/>
  <c r="F18" i="35"/>
  <c r="L12" i="35"/>
  <c r="F22" i="35"/>
  <c r="F20" i="35"/>
  <c r="F16" i="35"/>
  <c r="F24" i="35"/>
  <c r="X16" i="35"/>
  <c r="X20" i="35"/>
  <c r="N15" i="37"/>
  <c r="L21" i="37"/>
  <c r="L16" i="38"/>
  <c r="L20" i="38"/>
  <c r="Z13" i="40"/>
  <c r="Z16" i="40"/>
  <c r="Z20" i="40"/>
  <c r="Z21" i="40"/>
  <c r="Z20" i="41"/>
  <c r="Z21" i="43"/>
  <c r="X24" i="44"/>
  <c r="X25" i="46"/>
  <c r="L24" i="47"/>
  <c r="Z22" i="53"/>
  <c r="Z20" i="34"/>
  <c r="X22" i="34"/>
  <c r="X24" i="34"/>
  <c r="J36" i="35"/>
  <c r="J34" i="35"/>
  <c r="J33" i="35"/>
  <c r="J31" i="35"/>
  <c r="J29" i="35"/>
  <c r="J27" i="35"/>
  <c r="J25" i="35"/>
  <c r="J21" i="35"/>
  <c r="J18" i="35"/>
  <c r="H18" i="35"/>
  <c r="N12" i="35"/>
  <c r="J22" i="35"/>
  <c r="J15" i="35"/>
  <c r="J20" i="35"/>
  <c r="J24" i="35"/>
  <c r="J16" i="35"/>
  <c r="X13" i="35"/>
  <c r="Z15" i="35"/>
  <c r="X21" i="35"/>
  <c r="N16" i="37"/>
  <c r="N20" i="37"/>
  <c r="L22" i="37"/>
  <c r="L24" i="37"/>
  <c r="N15" i="38"/>
  <c r="L21" i="38"/>
  <c r="L25" i="40"/>
  <c r="X29" i="40"/>
  <c r="L13" i="41"/>
  <c r="N34" i="41"/>
  <c r="T18" i="43"/>
  <c r="V15" i="43"/>
  <c r="Z12" i="43"/>
  <c r="V36" i="43"/>
  <c r="V34" i="43"/>
  <c r="V33" i="43"/>
  <c r="V31" i="43"/>
  <c r="V29" i="43"/>
  <c r="V27" i="43"/>
  <c r="V25" i="43"/>
  <c r="V21" i="43"/>
  <c r="V20" i="43"/>
  <c r="V18" i="43"/>
  <c r="V16" i="43"/>
  <c r="V24" i="43"/>
  <c r="V22" i="43"/>
  <c r="Z24" i="44"/>
  <c r="X29" i="46"/>
  <c r="X22" i="35"/>
  <c r="X24" i="35"/>
  <c r="L13" i="37"/>
  <c r="N21" i="37"/>
  <c r="L25" i="37"/>
  <c r="L29" i="37"/>
  <c r="L33" i="37"/>
  <c r="L34" i="37"/>
  <c r="N16" i="38"/>
  <c r="N20" i="38"/>
  <c r="L22" i="38"/>
  <c r="L24" i="38"/>
  <c r="R29" i="40"/>
  <c r="R36" i="40"/>
  <c r="R31" i="40"/>
  <c r="R21" i="40"/>
  <c r="R20" i="40"/>
  <c r="R18" i="40"/>
  <c r="R16" i="40"/>
  <c r="R22" i="40"/>
  <c r="P18" i="40"/>
  <c r="R15" i="40"/>
  <c r="R33" i="40"/>
  <c r="R24" i="40"/>
  <c r="R25" i="40"/>
  <c r="X12" i="40"/>
  <c r="R34" i="40"/>
  <c r="R27" i="40"/>
  <c r="L24" i="40"/>
  <c r="L33" i="40"/>
  <c r="L16" i="41"/>
  <c r="X22" i="41"/>
  <c r="N25" i="41"/>
  <c r="X33" i="43"/>
  <c r="Z16" i="44"/>
  <c r="R21" i="43"/>
  <c r="R20" i="43"/>
  <c r="R18" i="43"/>
  <c r="R16" i="43"/>
  <c r="P18" i="43"/>
  <c r="R15" i="43"/>
  <c r="X12" i="43"/>
  <c r="R36" i="43"/>
  <c r="R34" i="43"/>
  <c r="R33" i="43"/>
  <c r="R31" i="43"/>
  <c r="R29" i="43"/>
  <c r="R27" i="43"/>
  <c r="R25" i="43"/>
  <c r="R22" i="43"/>
  <c r="R24" i="43"/>
  <c r="Z22" i="43"/>
  <c r="Z24" i="43"/>
  <c r="Z21" i="44"/>
  <c r="X25" i="44"/>
  <c r="X29" i="44"/>
  <c r="X33" i="44"/>
  <c r="X34" i="44"/>
  <c r="X15" i="46"/>
  <c r="N34" i="46"/>
  <c r="N16" i="47"/>
  <c r="L22" i="52"/>
  <c r="Z20" i="53"/>
  <c r="Z25" i="40"/>
  <c r="Z29" i="40"/>
  <c r="Z33" i="40"/>
  <c r="Z34" i="40"/>
  <c r="P18" i="41"/>
  <c r="R15" i="41"/>
  <c r="R36" i="41"/>
  <c r="R34" i="41"/>
  <c r="R33" i="41"/>
  <c r="R31" i="41"/>
  <c r="R29" i="41"/>
  <c r="R27" i="41"/>
  <c r="R25" i="41"/>
  <c r="R20" i="41"/>
  <c r="R24" i="41"/>
  <c r="X12" i="41"/>
  <c r="R21" i="41"/>
  <c r="R16" i="41"/>
  <c r="R22" i="41"/>
  <c r="R18" i="41"/>
  <c r="Z22" i="41"/>
  <c r="Z24" i="41"/>
  <c r="L16" i="43"/>
  <c r="L20" i="43"/>
  <c r="Z12" i="44"/>
  <c r="V36" i="44"/>
  <c r="V34" i="44"/>
  <c r="V33" i="44"/>
  <c r="V31" i="44"/>
  <c r="V29" i="44"/>
  <c r="V27" i="44"/>
  <c r="V25" i="44"/>
  <c r="V24" i="44"/>
  <c r="V22" i="44"/>
  <c r="V20" i="44"/>
  <c r="V18" i="44"/>
  <c r="V16" i="44"/>
  <c r="V15" i="44"/>
  <c r="V21" i="44"/>
  <c r="T18" i="44"/>
  <c r="L15" i="44"/>
  <c r="Z25" i="44"/>
  <c r="Z29" i="44"/>
  <c r="Z33" i="44"/>
  <c r="Z34" i="44"/>
  <c r="X22" i="46"/>
  <c r="X34" i="46"/>
  <c r="N24" i="47"/>
  <c r="X29" i="49"/>
  <c r="Z13" i="50"/>
  <c r="X22" i="50"/>
  <c r="X25" i="52"/>
  <c r="L24" i="53"/>
  <c r="V24" i="41"/>
  <c r="V22" i="41"/>
  <c r="V21" i="41"/>
  <c r="V27" i="41"/>
  <c r="V20" i="41"/>
  <c r="V36" i="41"/>
  <c r="V15" i="41"/>
  <c r="Z12" i="41"/>
  <c r="V33" i="41"/>
  <c r="V16" i="41"/>
  <c r="V29" i="41"/>
  <c r="V25" i="41"/>
  <c r="T18" i="41"/>
  <c r="V34" i="41"/>
  <c r="V18" i="41"/>
  <c r="V31" i="41"/>
  <c r="L15" i="41"/>
  <c r="Z25" i="41"/>
  <c r="Z29" i="41"/>
  <c r="Z33" i="41"/>
  <c r="Z34" i="41"/>
  <c r="N15" i="43"/>
  <c r="L21" i="43"/>
  <c r="L16" i="44"/>
  <c r="L20" i="44"/>
  <c r="N13" i="47"/>
  <c r="Z16" i="47"/>
  <c r="Z29" i="49"/>
  <c r="Z22" i="50"/>
  <c r="X29" i="52"/>
  <c r="N16" i="43"/>
  <c r="N20" i="43"/>
  <c r="L22" i="43"/>
  <c r="L24" i="43"/>
  <c r="N15" i="44"/>
  <c r="L21" i="44"/>
  <c r="Z20" i="46"/>
  <c r="Z22" i="46"/>
  <c r="X13" i="47"/>
  <c r="X24" i="47"/>
  <c r="X33" i="47"/>
  <c r="Z21" i="49"/>
  <c r="X24" i="50"/>
  <c r="Z29" i="52"/>
  <c r="L13" i="43"/>
  <c r="N21" i="43"/>
  <c r="L25" i="43"/>
  <c r="L29" i="43"/>
  <c r="L33" i="43"/>
  <c r="L34" i="43"/>
  <c r="N16" i="44"/>
  <c r="N20" i="44"/>
  <c r="L22" i="44"/>
  <c r="L24" i="44"/>
  <c r="X12" i="46"/>
  <c r="R20" i="46"/>
  <c r="R18" i="46"/>
  <c r="R16" i="46"/>
  <c r="P18" i="46"/>
  <c r="R15" i="46"/>
  <c r="R33" i="46"/>
  <c r="R21" i="46"/>
  <c r="R36" i="46"/>
  <c r="R24" i="46"/>
  <c r="R27" i="46"/>
  <c r="R31" i="46"/>
  <c r="R34" i="46"/>
  <c r="R22" i="46"/>
  <c r="R25" i="46"/>
  <c r="R29" i="46"/>
  <c r="Z13" i="47"/>
  <c r="X21" i="47"/>
  <c r="T18" i="49"/>
  <c r="V15" i="49"/>
  <c r="Z12" i="49"/>
  <c r="V36" i="49"/>
  <c r="V34" i="49"/>
  <c r="V33" i="49"/>
  <c r="V31" i="49"/>
  <c r="V29" i="49"/>
  <c r="V27" i="49"/>
  <c r="V25" i="49"/>
  <c r="V21" i="49"/>
  <c r="V16" i="49"/>
  <c r="V24" i="49"/>
  <c r="V22" i="49"/>
  <c r="V20" i="49"/>
  <c r="V18" i="49"/>
  <c r="Z33" i="52"/>
  <c r="N13" i="43"/>
  <c r="N22" i="43"/>
  <c r="N24" i="43"/>
  <c r="L13" i="44"/>
  <c r="N21" i="44"/>
  <c r="L25" i="44"/>
  <c r="L29" i="44"/>
  <c r="L33" i="44"/>
  <c r="L34" i="44"/>
  <c r="L13" i="46"/>
  <c r="Z16" i="46"/>
  <c r="L33" i="46"/>
  <c r="X33" i="49"/>
  <c r="Z16" i="50"/>
  <c r="L34" i="52"/>
  <c r="N21" i="41"/>
  <c r="L25" i="41"/>
  <c r="L29" i="41"/>
  <c r="L33" i="41"/>
  <c r="L34" i="41"/>
  <c r="X15" i="43"/>
  <c r="N25" i="43"/>
  <c r="N29" i="43"/>
  <c r="N33" i="43"/>
  <c r="N34" i="43"/>
  <c r="N13" i="44"/>
  <c r="N22" i="44"/>
  <c r="N24" i="44"/>
  <c r="N21" i="46"/>
  <c r="X24" i="46"/>
  <c r="N33" i="46"/>
  <c r="Z21" i="47"/>
  <c r="L15" i="49"/>
  <c r="Z33" i="49"/>
  <c r="L15" i="52"/>
  <c r="N25" i="40"/>
  <c r="N29" i="40"/>
  <c r="N33" i="40"/>
  <c r="N34" i="40"/>
  <c r="N13" i="41"/>
  <c r="N22" i="41"/>
  <c r="N24" i="41"/>
  <c r="L12" i="43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X16" i="43"/>
  <c r="X20" i="43"/>
  <c r="X15" i="44"/>
  <c r="N25" i="44"/>
  <c r="N29" i="44"/>
  <c r="N33" i="44"/>
  <c r="N34" i="44"/>
  <c r="Z13" i="46"/>
  <c r="L29" i="46"/>
  <c r="L22" i="47"/>
  <c r="X29" i="47"/>
  <c r="X34" i="47"/>
  <c r="X34" i="49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N12" i="43"/>
  <c r="X13" i="43"/>
  <c r="Z15" i="43"/>
  <c r="X21" i="43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L12" i="44"/>
  <c r="X16" i="44"/>
  <c r="X20" i="44"/>
  <c r="Z24" i="46"/>
  <c r="N29" i="46"/>
  <c r="X33" i="46"/>
  <c r="Z15" i="47"/>
  <c r="N22" i="47"/>
  <c r="Z34" i="49"/>
  <c r="F36" i="41"/>
  <c r="F34" i="41"/>
  <c r="F33" i="41"/>
  <c r="F31" i="41"/>
  <c r="F29" i="41"/>
  <c r="F27" i="41"/>
  <c r="F25" i="41"/>
  <c r="F24" i="41"/>
  <c r="F22" i="41"/>
  <c r="F18" i="41"/>
  <c r="D18" i="41"/>
  <c r="L12" i="41"/>
  <c r="F20" i="41"/>
  <c r="F15" i="41"/>
  <c r="F21" i="41"/>
  <c r="F16" i="41"/>
  <c r="X16" i="41"/>
  <c r="X20" i="41"/>
  <c r="Z13" i="43"/>
  <c r="Z16" i="43"/>
  <c r="Z20" i="43"/>
  <c r="X22" i="43"/>
  <c r="X24" i="43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N12" i="44"/>
  <c r="X13" i="44"/>
  <c r="Z15" i="44"/>
  <c r="X21" i="44"/>
  <c r="Z21" i="46"/>
  <c r="L25" i="46"/>
  <c r="N20" i="47"/>
  <c r="X25" i="47"/>
  <c r="X25" i="49"/>
  <c r="Z20" i="50"/>
  <c r="N13" i="46"/>
  <c r="N22" i="46"/>
  <c r="N24" i="46"/>
  <c r="L13" i="47"/>
  <c r="N21" i="47"/>
  <c r="L25" i="47"/>
  <c r="L29" i="47"/>
  <c r="L33" i="47"/>
  <c r="L34" i="47"/>
  <c r="R21" i="49"/>
  <c r="R20" i="49"/>
  <c r="R18" i="49"/>
  <c r="R16" i="49"/>
  <c r="P18" i="49"/>
  <c r="R15" i="49"/>
  <c r="X12" i="49"/>
  <c r="R36" i="49"/>
  <c r="R34" i="49"/>
  <c r="R33" i="49"/>
  <c r="R31" i="49"/>
  <c r="R29" i="49"/>
  <c r="R27" i="49"/>
  <c r="R25" i="49"/>
  <c r="R24" i="49"/>
  <c r="R22" i="49"/>
  <c r="Z22" i="49"/>
  <c r="Z24" i="49"/>
  <c r="Z21" i="50"/>
  <c r="Z24" i="50"/>
  <c r="Z25" i="50"/>
  <c r="L29" i="50"/>
  <c r="L25" i="52"/>
  <c r="N20" i="53"/>
  <c r="F21" i="46"/>
  <c r="F20" i="46"/>
  <c r="F18" i="46"/>
  <c r="F16" i="46"/>
  <c r="D18" i="46"/>
  <c r="F15" i="46"/>
  <c r="F36" i="46"/>
  <c r="F34" i="46"/>
  <c r="F33" i="46"/>
  <c r="F31" i="46"/>
  <c r="F29" i="46"/>
  <c r="F27" i="46"/>
  <c r="F25" i="46"/>
  <c r="F24" i="46"/>
  <c r="L12" i="46"/>
  <c r="F22" i="46"/>
  <c r="X16" i="46"/>
  <c r="X20" i="46"/>
  <c r="X15" i="47"/>
  <c r="N25" i="47"/>
  <c r="N29" i="47"/>
  <c r="N33" i="47"/>
  <c r="N34" i="47"/>
  <c r="L16" i="49"/>
  <c r="L20" i="49"/>
  <c r="V36" i="50"/>
  <c r="V34" i="50"/>
  <c r="V33" i="50"/>
  <c r="V31" i="50"/>
  <c r="V29" i="50"/>
  <c r="V27" i="50"/>
  <c r="V25" i="50"/>
  <c r="Z12" i="50"/>
  <c r="V22" i="50"/>
  <c r="V20" i="50"/>
  <c r="V18" i="50"/>
  <c r="V16" i="50"/>
  <c r="T18" i="50"/>
  <c r="V24" i="50"/>
  <c r="V15" i="50"/>
  <c r="V21" i="50"/>
  <c r="L15" i="50"/>
  <c r="N29" i="50"/>
  <c r="X34" i="52"/>
  <c r="R20" i="53"/>
  <c r="R18" i="53"/>
  <c r="R16" i="53"/>
  <c r="P18" i="53"/>
  <c r="R15" i="53"/>
  <c r="X12" i="53"/>
  <c r="R24" i="53"/>
  <c r="R22" i="53"/>
  <c r="R36" i="53"/>
  <c r="R31" i="53"/>
  <c r="R25" i="53"/>
  <c r="R21" i="53"/>
  <c r="R34" i="53"/>
  <c r="R29" i="53"/>
  <c r="R33" i="53"/>
  <c r="R27" i="53"/>
  <c r="N16" i="53"/>
  <c r="X24" i="53"/>
  <c r="H18" i="46"/>
  <c r="J15" i="46"/>
  <c r="J36" i="46"/>
  <c r="J34" i="46"/>
  <c r="J33" i="46"/>
  <c r="J31" i="46"/>
  <c r="J29" i="46"/>
  <c r="J27" i="46"/>
  <c r="J25" i="46"/>
  <c r="J21" i="46"/>
  <c r="J18" i="46"/>
  <c r="J24" i="46"/>
  <c r="J16" i="46"/>
  <c r="N12" i="46"/>
  <c r="J20" i="46"/>
  <c r="J22" i="46"/>
  <c r="X13" i="46"/>
  <c r="Z15" i="46"/>
  <c r="X21" i="46"/>
  <c r="F20" i="47"/>
  <c r="F18" i="47"/>
  <c r="F16" i="47"/>
  <c r="D18" i="47"/>
  <c r="F15" i="47"/>
  <c r="F24" i="47"/>
  <c r="F22" i="47"/>
  <c r="F36" i="47"/>
  <c r="F31" i="47"/>
  <c r="F25" i="47"/>
  <c r="F34" i="47"/>
  <c r="F29" i="47"/>
  <c r="F21" i="47"/>
  <c r="F33" i="47"/>
  <c r="F27" i="47"/>
  <c r="L12" i="47"/>
  <c r="X16" i="47"/>
  <c r="X20" i="47"/>
  <c r="N15" i="49"/>
  <c r="L21" i="49"/>
  <c r="L16" i="50"/>
  <c r="L20" i="50"/>
  <c r="L34" i="50"/>
  <c r="N20" i="52"/>
  <c r="Z25" i="52"/>
  <c r="Z16" i="53"/>
  <c r="Z24" i="53"/>
  <c r="N16" i="49"/>
  <c r="N20" i="49"/>
  <c r="L22" i="49"/>
  <c r="L24" i="49"/>
  <c r="N15" i="50"/>
  <c r="L21" i="50"/>
  <c r="N34" i="50"/>
  <c r="Z22" i="52"/>
  <c r="Z34" i="52"/>
  <c r="L21" i="53"/>
  <c r="L13" i="49"/>
  <c r="N21" i="49"/>
  <c r="L25" i="49"/>
  <c r="L29" i="49"/>
  <c r="L33" i="49"/>
  <c r="L34" i="49"/>
  <c r="N16" i="50"/>
  <c r="N20" i="50"/>
  <c r="L22" i="50"/>
  <c r="L24" i="50"/>
  <c r="L25" i="50"/>
  <c r="R21" i="52"/>
  <c r="R20" i="52"/>
  <c r="R18" i="52"/>
  <c r="R16" i="52"/>
  <c r="P18" i="52"/>
  <c r="R15" i="52"/>
  <c r="X12" i="52"/>
  <c r="R33" i="52"/>
  <c r="R36" i="52"/>
  <c r="R24" i="52"/>
  <c r="R27" i="52"/>
  <c r="R31" i="52"/>
  <c r="R34" i="52"/>
  <c r="R22" i="52"/>
  <c r="R25" i="52"/>
  <c r="R29" i="52"/>
  <c r="N16" i="52"/>
  <c r="Z13" i="53"/>
  <c r="N13" i="49"/>
  <c r="N22" i="49"/>
  <c r="N24" i="49"/>
  <c r="L13" i="50"/>
  <c r="N21" i="50"/>
  <c r="L33" i="50"/>
  <c r="T18" i="52"/>
  <c r="V15" i="52"/>
  <c r="Z12" i="52"/>
  <c r="V36" i="52"/>
  <c r="V34" i="52"/>
  <c r="V33" i="52"/>
  <c r="V31" i="52"/>
  <c r="V29" i="52"/>
  <c r="V27" i="52"/>
  <c r="V25" i="52"/>
  <c r="V24" i="52"/>
  <c r="V16" i="52"/>
  <c r="V22" i="52"/>
  <c r="V20" i="52"/>
  <c r="V18" i="52"/>
  <c r="V21" i="52"/>
  <c r="L24" i="52"/>
  <c r="Z12" i="46"/>
  <c r="V36" i="46"/>
  <c r="V34" i="46"/>
  <c r="V33" i="46"/>
  <c r="V31" i="46"/>
  <c r="V29" i="46"/>
  <c r="V27" i="46"/>
  <c r="V25" i="46"/>
  <c r="V24" i="46"/>
  <c r="V22" i="46"/>
  <c r="V16" i="46"/>
  <c r="V20" i="46"/>
  <c r="V18" i="46"/>
  <c r="V21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P18" i="47"/>
  <c r="R15" i="47"/>
  <c r="R18" i="47"/>
  <c r="R21" i="47"/>
  <c r="R24" i="47"/>
  <c r="R16" i="47"/>
  <c r="R22" i="47"/>
  <c r="R20" i="47"/>
  <c r="Z22" i="47"/>
  <c r="Z24" i="47"/>
  <c r="X15" i="49"/>
  <c r="N25" i="49"/>
  <c r="N29" i="49"/>
  <c r="N33" i="49"/>
  <c r="N34" i="49"/>
  <c r="N13" i="50"/>
  <c r="N22" i="50"/>
  <c r="N24" i="50"/>
  <c r="N25" i="50"/>
  <c r="Z29" i="50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15" i="47"/>
  <c r="V18" i="47"/>
  <c r="T18" i="47"/>
  <c r="V16" i="47"/>
  <c r="V20" i="47"/>
  <c r="L15" i="47"/>
  <c r="Z25" i="47"/>
  <c r="Z29" i="47"/>
  <c r="Z33" i="47"/>
  <c r="Z34" i="47"/>
  <c r="L12" i="49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X16" i="49"/>
  <c r="X20" i="49"/>
  <c r="X15" i="50"/>
  <c r="N33" i="50"/>
  <c r="L13" i="52"/>
  <c r="L33" i="52"/>
  <c r="N15" i="53"/>
  <c r="N15" i="46"/>
  <c r="L21" i="46"/>
  <c r="L16" i="47"/>
  <c r="L20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13" i="49"/>
  <c r="Z15" i="49"/>
  <c r="X21" i="49"/>
  <c r="F36" i="50"/>
  <c r="F34" i="50"/>
  <c r="F31" i="50"/>
  <c r="F33" i="50"/>
  <c r="F25" i="50"/>
  <c r="F24" i="50"/>
  <c r="F22" i="50"/>
  <c r="F21" i="50"/>
  <c r="F27" i="50"/>
  <c r="F20" i="50"/>
  <c r="F18" i="50"/>
  <c r="F16" i="50"/>
  <c r="D18" i="50"/>
  <c r="F15" i="50"/>
  <c r="F29" i="50"/>
  <c r="L12" i="50"/>
  <c r="X16" i="50"/>
  <c r="X20" i="50"/>
  <c r="Z34" i="50"/>
  <c r="N21" i="52"/>
  <c r="Z24" i="52"/>
  <c r="X33" i="52"/>
  <c r="L22" i="53"/>
  <c r="N16" i="46"/>
  <c r="N20" i="46"/>
  <c r="L22" i="46"/>
  <c r="L24" i="46"/>
  <c r="N15" i="47"/>
  <c r="L21" i="47"/>
  <c r="Z13" i="49"/>
  <c r="Z16" i="49"/>
  <c r="Z20" i="49"/>
  <c r="X22" i="49"/>
  <c r="X24" i="49"/>
  <c r="J33" i="50"/>
  <c r="J25" i="50"/>
  <c r="J24" i="50"/>
  <c r="J22" i="50"/>
  <c r="J21" i="50"/>
  <c r="J27" i="50"/>
  <c r="J20" i="50"/>
  <c r="J18" i="50"/>
  <c r="J16" i="50"/>
  <c r="J34" i="50"/>
  <c r="H18" i="50"/>
  <c r="J15" i="50"/>
  <c r="J29" i="50"/>
  <c r="J31" i="50"/>
  <c r="N12" i="50"/>
  <c r="J36" i="50"/>
  <c r="X13" i="50"/>
  <c r="Z15" i="50"/>
  <c r="X21" i="50"/>
  <c r="Z21" i="52"/>
  <c r="L29" i="52"/>
  <c r="X22" i="53"/>
  <c r="Z21" i="53"/>
  <c r="X25" i="53"/>
  <c r="X29" i="53"/>
  <c r="X33" i="53"/>
  <c r="X34" i="53"/>
  <c r="L16" i="52"/>
  <c r="L20" i="52"/>
  <c r="V36" i="53"/>
  <c r="V34" i="53"/>
  <c r="V33" i="53"/>
  <c r="V31" i="53"/>
  <c r="V29" i="53"/>
  <c r="V27" i="53"/>
  <c r="V25" i="53"/>
  <c r="V24" i="53"/>
  <c r="V22" i="53"/>
  <c r="V15" i="53"/>
  <c r="V18" i="53"/>
  <c r="T18" i="53"/>
  <c r="V21" i="53"/>
  <c r="V16" i="53"/>
  <c r="Z12" i="53"/>
  <c r="V20" i="53"/>
  <c r="L15" i="53"/>
  <c r="Z25" i="53"/>
  <c r="Z29" i="53"/>
  <c r="Z33" i="53"/>
  <c r="Z34" i="53"/>
  <c r="X25" i="50"/>
  <c r="X29" i="50"/>
  <c r="X33" i="50"/>
  <c r="X34" i="50"/>
  <c r="N15" i="52"/>
  <c r="L21" i="52"/>
  <c r="L16" i="53"/>
  <c r="L20" i="53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L12" i="52"/>
  <c r="F36" i="52"/>
  <c r="F34" i="52"/>
  <c r="F33" i="52"/>
  <c r="F31" i="52"/>
  <c r="F29" i="52"/>
  <c r="F27" i="52"/>
  <c r="F25" i="52"/>
  <c r="F20" i="52"/>
  <c r="F18" i="52"/>
  <c r="F16" i="52"/>
  <c r="D18" i="52"/>
  <c r="F15" i="52"/>
  <c r="F21" i="52"/>
  <c r="F24" i="52"/>
  <c r="F22" i="52"/>
  <c r="X16" i="52"/>
  <c r="X20" i="52"/>
  <c r="X15" i="53"/>
  <c r="N25" i="53"/>
  <c r="N29" i="53"/>
  <c r="N33" i="53"/>
  <c r="N34" i="53"/>
  <c r="J36" i="52"/>
  <c r="J34" i="52"/>
  <c r="J33" i="52"/>
  <c r="J31" i="52"/>
  <c r="J29" i="52"/>
  <c r="J27" i="52"/>
  <c r="J25" i="52"/>
  <c r="J24" i="52"/>
  <c r="J22" i="52"/>
  <c r="J21" i="52"/>
  <c r="H18" i="52"/>
  <c r="J16" i="52"/>
  <c r="J20" i="52"/>
  <c r="N12" i="52"/>
  <c r="J15" i="52"/>
  <c r="J18" i="52"/>
  <c r="X13" i="52"/>
  <c r="Z15" i="52"/>
  <c r="X21" i="52"/>
  <c r="F36" i="53"/>
  <c r="F34" i="53"/>
  <c r="F33" i="53"/>
  <c r="F31" i="53"/>
  <c r="F29" i="53"/>
  <c r="F27" i="53"/>
  <c r="F25" i="53"/>
  <c r="F24" i="53"/>
  <c r="F22" i="53"/>
  <c r="D18" i="53"/>
  <c r="F15" i="53"/>
  <c r="F18" i="53"/>
  <c r="F21" i="53"/>
  <c r="L12" i="53"/>
  <c r="F16" i="53"/>
  <c r="F20" i="53"/>
  <c r="X16" i="53"/>
  <c r="X20" i="53"/>
  <c r="Z13" i="52"/>
  <c r="Z16" i="52"/>
  <c r="Z20" i="52"/>
  <c r="X22" i="52"/>
  <c r="X24" i="52"/>
  <c r="J36" i="53"/>
  <c r="J34" i="53"/>
  <c r="J33" i="53"/>
  <c r="J31" i="53"/>
  <c r="J29" i="53"/>
  <c r="J27" i="53"/>
  <c r="J25" i="53"/>
  <c r="J24" i="53"/>
  <c r="J22" i="53"/>
  <c r="J21" i="53"/>
  <c r="J20" i="53"/>
  <c r="J18" i="53"/>
  <c r="J16" i="53"/>
  <c r="J15" i="53"/>
  <c r="H18" i="53"/>
  <c r="N12" i="53"/>
  <c r="X13" i="53"/>
  <c r="Z15" i="53"/>
  <c r="X21" i="53"/>
  <c r="T18" i="110"/>
  <c r="V15" i="110"/>
  <c r="Z12" i="110"/>
  <c r="V36" i="110"/>
  <c r="V34" i="110"/>
  <c r="V33" i="110"/>
  <c r="V31" i="110"/>
  <c r="V29" i="110"/>
  <c r="V27" i="110"/>
  <c r="V25" i="110"/>
  <c r="V21" i="110"/>
  <c r="V20" i="110"/>
  <c r="V18" i="110"/>
  <c r="V16" i="110"/>
  <c r="V24" i="110"/>
  <c r="V22" i="110"/>
  <c r="L15" i="110"/>
  <c r="L13" i="111"/>
  <c r="L29" i="111"/>
  <c r="L33" i="111"/>
  <c r="X15" i="110"/>
  <c r="L34" i="111"/>
  <c r="N25" i="110"/>
  <c r="Z25" i="110"/>
  <c r="N21" i="111"/>
  <c r="N15" i="112"/>
  <c r="N29" i="110"/>
  <c r="N33" i="110"/>
  <c r="L25" i="111"/>
  <c r="N34" i="110"/>
  <c r="L21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H18" i="111"/>
  <c r="J15" i="111"/>
  <c r="N12" i="111"/>
  <c r="J20" i="111"/>
  <c r="J18" i="111"/>
  <c r="J16" i="111"/>
  <c r="X13" i="111"/>
  <c r="Z15" i="111"/>
  <c r="X21" i="111"/>
  <c r="X15" i="112"/>
  <c r="N25" i="112"/>
  <c r="N29" i="112"/>
  <c r="N33" i="112"/>
  <c r="N34" i="112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D18" i="112"/>
  <c r="F15" i="112"/>
  <c r="L12" i="112"/>
  <c r="F20" i="112"/>
  <c r="F18" i="112"/>
  <c r="F16" i="112"/>
  <c r="X16" i="112"/>
  <c r="X20" i="112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Z12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1" i="110"/>
  <c r="J20" i="110"/>
  <c r="J18" i="110"/>
  <c r="J16" i="110"/>
  <c r="H18" i="110"/>
  <c r="J15" i="110"/>
  <c r="N12" i="110"/>
  <c r="J24" i="110"/>
  <c r="J2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1" i="111"/>
  <c r="F20" i="111"/>
  <c r="F18" i="111"/>
  <c r="F16" i="111"/>
  <c r="D18" i="111"/>
  <c r="F15" i="111"/>
  <c r="L12" i="111"/>
  <c r="F24" i="111"/>
  <c r="F22" i="111"/>
  <c r="X16" i="111"/>
  <c r="X20" i="111"/>
  <c r="N13" i="112"/>
  <c r="N22" i="112"/>
  <c r="N24" i="112"/>
  <c r="Z16" i="3"/>
  <c r="Z72" i="3"/>
  <c r="Z74" i="3"/>
  <c r="Z239" i="3"/>
  <c r="Z260" i="3"/>
  <c r="N285" i="3"/>
  <c r="Z299" i="3"/>
  <c r="Z304" i="3"/>
  <c r="N23" i="3"/>
  <c r="Z68" i="3"/>
  <c r="N100" i="3"/>
  <c r="N308" i="3"/>
  <c r="Z311" i="3"/>
  <c r="V324" i="3"/>
  <c r="V313" i="3"/>
  <c r="V307" i="3"/>
  <c r="V295" i="3"/>
  <c r="V291" i="3"/>
  <c r="V275" i="3"/>
  <c r="V267" i="3"/>
  <c r="V247" i="3"/>
  <c r="V231" i="3"/>
  <c r="V227" i="3"/>
  <c r="V166" i="3"/>
  <c r="V158" i="3"/>
  <c r="V278" i="3"/>
  <c r="V254" i="3"/>
  <c r="V314" i="3"/>
  <c r="V208" i="3"/>
  <c r="V196" i="3"/>
  <c r="V164" i="3"/>
  <c r="V333" i="3"/>
  <c r="V312" i="3"/>
  <c r="V302" i="3"/>
  <c r="V286" i="3"/>
  <c r="V274" i="3"/>
  <c r="V270" i="3"/>
  <c r="V258" i="3"/>
  <c r="V250" i="3"/>
  <c r="V234" i="3"/>
  <c r="V222" i="3"/>
  <c r="V218" i="3"/>
  <c r="V214" i="3"/>
  <c r="V190" i="3"/>
  <c r="V154" i="3"/>
  <c r="V150" i="3"/>
  <c r="V316" i="3"/>
  <c r="V298" i="3"/>
  <c r="V232" i="3"/>
  <c r="V188" i="3"/>
  <c r="V176" i="3"/>
  <c r="V311" i="3"/>
  <c r="V309" i="3"/>
  <c r="V301" i="3"/>
  <c r="V281" i="3"/>
  <c r="V269" i="3"/>
  <c r="V257" i="3"/>
  <c r="V249" i="3"/>
  <c r="V241" i="3"/>
  <c r="V233" i="3"/>
  <c r="V213" i="3"/>
  <c r="V211" i="3"/>
  <c r="V209" i="3"/>
  <c r="V205" i="3"/>
  <c r="V201" i="3"/>
  <c r="V197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238" i="3"/>
  <c r="V230" i="3"/>
  <c r="V226" i="3"/>
  <c r="V204" i="3"/>
  <c r="V184" i="3"/>
  <c r="V168" i="3"/>
  <c r="V156" i="3"/>
  <c r="V304" i="3"/>
  <c r="V296" i="3"/>
  <c r="V292" i="3"/>
  <c r="V288" i="3"/>
  <c r="V276" i="3"/>
  <c r="V260" i="3"/>
  <c r="V252" i="3"/>
  <c r="V228" i="3"/>
  <c r="V224" i="3"/>
  <c r="T211" i="3"/>
  <c r="V262" i="3"/>
  <c r="V242" i="3"/>
  <c r="V268" i="3"/>
  <c r="V160" i="3"/>
  <c r="V152" i="3"/>
  <c r="V148" i="3"/>
  <c r="V328" i="3"/>
  <c r="V322" i="3"/>
  <c r="V321" i="3"/>
  <c r="V303" i="3"/>
  <c r="V287" i="3"/>
  <c r="V271" i="3"/>
  <c r="V259" i="3"/>
  <c r="V251" i="3"/>
  <c r="V243" i="3"/>
  <c r="V235" i="3"/>
  <c r="V223" i="3"/>
  <c r="V219" i="3"/>
  <c r="V215" i="3"/>
  <c r="V206" i="3"/>
  <c r="V194" i="3"/>
  <c r="V186" i="3"/>
  <c r="V170" i="3"/>
  <c r="V162" i="3"/>
  <c r="V266" i="3"/>
  <c r="V200" i="3"/>
  <c r="V192" i="3"/>
  <c r="V323" i="3"/>
  <c r="V320" i="3"/>
  <c r="V282" i="3"/>
  <c r="V202" i="3"/>
  <c r="V198" i="3"/>
  <c r="V182" i="3"/>
  <c r="V178" i="3"/>
  <c r="V174" i="3"/>
  <c r="V319" i="3"/>
  <c r="V305" i="3"/>
  <c r="V297" i="3"/>
  <c r="V293" i="3"/>
  <c r="V289" i="3"/>
  <c r="V277" i="3"/>
  <c r="V261" i="3"/>
  <c r="V253" i="3"/>
  <c r="V237" i="3"/>
  <c r="V229" i="3"/>
  <c r="V225" i="3"/>
  <c r="V172" i="3"/>
  <c r="V318" i="3"/>
  <c r="V272" i="3"/>
  <c r="V264" i="3"/>
  <c r="V244" i="3"/>
  <c r="V236" i="3"/>
  <c r="V220" i="3"/>
  <c r="V216" i="3"/>
  <c r="V187" i="3"/>
  <c r="V175" i="3"/>
  <c r="V171" i="3"/>
  <c r="V159" i="3"/>
  <c r="V246" i="3"/>
  <c r="V248" i="3"/>
  <c r="V240" i="3"/>
  <c r="V317" i="3"/>
  <c r="V299" i="3"/>
  <c r="V283" i="3"/>
  <c r="V279" i="3"/>
  <c r="V263" i="3"/>
  <c r="V255" i="3"/>
  <c r="V239" i="3"/>
  <c r="V207" i="3"/>
  <c r="V203" i="3"/>
  <c r="V199" i="3"/>
  <c r="V195" i="3"/>
  <c r="V191" i="3"/>
  <c r="V183" i="3"/>
  <c r="V179" i="3"/>
  <c r="V167" i="3"/>
  <c r="V163" i="3"/>
  <c r="V155" i="3"/>
  <c r="V151" i="3"/>
  <c r="V306" i="3"/>
  <c r="V294" i="3"/>
  <c r="V290" i="3"/>
  <c r="V180" i="3"/>
  <c r="V332" i="3"/>
  <c r="V315" i="3"/>
  <c r="V285" i="3"/>
  <c r="V273" i="3"/>
  <c r="V265" i="3"/>
  <c r="V245" i="3"/>
  <c r="V221" i="3"/>
  <c r="V217" i="3"/>
  <c r="V308" i="3"/>
  <c r="V300" i="3"/>
  <c r="V284" i="3"/>
  <c r="V280" i="3"/>
  <c r="V256" i="3"/>
  <c r="N32" i="3"/>
  <c r="Z36" i="3"/>
  <c r="N60" i="3"/>
  <c r="Z92" i="3"/>
  <c r="Z96" i="3"/>
  <c r="N132" i="3"/>
  <c r="Z213" i="3"/>
  <c r="N266" i="3"/>
  <c r="Z279" i="3"/>
  <c r="F333" i="3"/>
  <c r="F332" i="3"/>
  <c r="F323" i="3"/>
  <c r="F321" i="3"/>
  <c r="F272" i="3"/>
  <c r="F244" i="3"/>
  <c r="F243" i="3"/>
  <c r="F236" i="3"/>
  <c r="F220" i="3"/>
  <c r="F216" i="3"/>
  <c r="F287" i="3"/>
  <c r="F270" i="3"/>
  <c r="F250" i="3"/>
  <c r="F324" i="3"/>
  <c r="F320" i="3"/>
  <c r="F283" i="3"/>
  <c r="F263" i="3"/>
  <c r="F262" i="3"/>
  <c r="F207" i="3"/>
  <c r="F203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259" i="3"/>
  <c r="F289" i="3"/>
  <c r="F277" i="3"/>
  <c r="F319" i="3"/>
  <c r="F306" i="3"/>
  <c r="F298" i="3"/>
  <c r="F294" i="3"/>
  <c r="F290" i="3"/>
  <c r="F278" i="3"/>
  <c r="F254" i="3"/>
  <c r="F238" i="3"/>
  <c r="F237" i="3"/>
  <c r="F230" i="3"/>
  <c r="F226" i="3"/>
  <c r="F271" i="3"/>
  <c r="F258" i="3"/>
  <c r="F234" i="3"/>
  <c r="F215" i="3"/>
  <c r="F293" i="3"/>
  <c r="F261" i="3"/>
  <c r="F252" i="3"/>
  <c r="F318" i="3"/>
  <c r="F273" i="3"/>
  <c r="F265" i="3"/>
  <c r="F264" i="3"/>
  <c r="F245" i="3"/>
  <c r="F221" i="3"/>
  <c r="F217" i="3"/>
  <c r="F253" i="3"/>
  <c r="F317" i="3"/>
  <c r="F300" i="3"/>
  <c r="F299" i="3"/>
  <c r="F284" i="3"/>
  <c r="F280" i="3"/>
  <c r="F279" i="3"/>
  <c r="F256" i="3"/>
  <c r="F255" i="3"/>
  <c r="F240" i="3"/>
  <c r="F239" i="3"/>
  <c r="F208" i="3"/>
  <c r="F204" i="3"/>
  <c r="F200" i="3"/>
  <c r="F196" i="3"/>
  <c r="F192" i="3"/>
  <c r="F188" i="3"/>
  <c r="F184" i="3"/>
  <c r="F180" i="3"/>
  <c r="F176" i="3"/>
  <c r="F172" i="3"/>
  <c r="F168" i="3"/>
  <c r="F164" i="3"/>
  <c r="F160" i="3"/>
  <c r="F156" i="3"/>
  <c r="F152" i="3"/>
  <c r="F227" i="3"/>
  <c r="F312" i="3"/>
  <c r="F302" i="3"/>
  <c r="F251" i="3"/>
  <c r="F223" i="3"/>
  <c r="F316" i="3"/>
  <c r="F307" i="3"/>
  <c r="F295" i="3"/>
  <c r="F291" i="3"/>
  <c r="F267" i="3"/>
  <c r="F266" i="3"/>
  <c r="F247" i="3"/>
  <c r="F246" i="3"/>
  <c r="F231" i="3"/>
  <c r="F315" i="3"/>
  <c r="F286" i="3"/>
  <c r="F285" i="3"/>
  <c r="F274" i="3"/>
  <c r="F222" i="3"/>
  <c r="F218" i="3"/>
  <c r="F328" i="3"/>
  <c r="F314" i="3"/>
  <c r="F309" i="3"/>
  <c r="F308" i="3"/>
  <c r="F301" i="3"/>
  <c r="F281" i="3"/>
  <c r="F269" i="3"/>
  <c r="F268" i="3"/>
  <c r="F257" i="3"/>
  <c r="F249" i="3"/>
  <c r="F248" i="3"/>
  <c r="F241" i="3"/>
  <c r="F233" i="3"/>
  <c r="F232" i="3"/>
  <c r="F209" i="3"/>
  <c r="F205" i="3"/>
  <c r="F201" i="3"/>
  <c r="F197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8" i="3"/>
  <c r="F219" i="3"/>
  <c r="F214" i="3"/>
  <c r="F260" i="3"/>
  <c r="F224" i="3"/>
  <c r="D211" i="3"/>
  <c r="F313" i="3"/>
  <c r="F296" i="3"/>
  <c r="F292" i="3"/>
  <c r="F276" i="3"/>
  <c r="F275" i="3"/>
  <c r="F228" i="3"/>
  <c r="L12" i="3"/>
  <c r="N12" i="3" s="1"/>
  <c r="F303" i="3"/>
  <c r="F235" i="3"/>
  <c r="F297" i="3"/>
  <c r="F288" i="3"/>
  <c r="F229" i="3"/>
  <c r="F311" i="3"/>
  <c r="F282" i="3"/>
  <c r="F242" i="3"/>
  <c r="F213" i="3"/>
  <c r="F211" i="3"/>
  <c r="F206" i="3"/>
  <c r="F202" i="3"/>
  <c r="F198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322" i="3"/>
  <c r="F305" i="3"/>
  <c r="F304" i="3"/>
  <c r="F225" i="3"/>
  <c r="Z90" i="3"/>
  <c r="Z104" i="3"/>
  <c r="Z112" i="3"/>
  <c r="Z116" i="3"/>
  <c r="Z124" i="3"/>
  <c r="Z128" i="3"/>
  <c r="Z132" i="3"/>
  <c r="Z288" i="3"/>
  <c r="Z60" i="3"/>
  <c r="Z120" i="3"/>
  <c r="N39" i="3"/>
  <c r="Z43" i="3"/>
  <c r="Z84" i="3"/>
  <c r="Z102" i="3"/>
  <c r="Z114" i="3"/>
  <c r="Z130" i="3"/>
  <c r="Z136" i="3"/>
  <c r="Z321" i="3"/>
  <c r="Z126" i="3"/>
  <c r="R328" i="3"/>
  <c r="R333" i="3"/>
  <c r="R332" i="3"/>
  <c r="R315" i="3"/>
  <c r="R300" i="3"/>
  <c r="R285" i="3"/>
  <c r="R284" i="3"/>
  <c r="R280" i="3"/>
  <c r="R256" i="3"/>
  <c r="R240" i="3"/>
  <c r="R208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74" i="3"/>
  <c r="R264" i="3"/>
  <c r="R175" i="3"/>
  <c r="R314" i="3"/>
  <c r="R308" i="3"/>
  <c r="R307" i="3"/>
  <c r="R295" i="3"/>
  <c r="R291" i="3"/>
  <c r="R268" i="3"/>
  <c r="R267" i="3"/>
  <c r="R248" i="3"/>
  <c r="R247" i="3"/>
  <c r="R232" i="3"/>
  <c r="R231" i="3"/>
  <c r="R227" i="3"/>
  <c r="R207" i="3"/>
  <c r="R313" i="3"/>
  <c r="R286" i="3"/>
  <c r="R275" i="3"/>
  <c r="R274" i="3"/>
  <c r="R222" i="3"/>
  <c r="R218" i="3"/>
  <c r="R166" i="3"/>
  <c r="R158" i="3"/>
  <c r="R154" i="3"/>
  <c r="R318" i="3"/>
  <c r="R263" i="3"/>
  <c r="R167" i="3"/>
  <c r="R273" i="3"/>
  <c r="R265" i="3"/>
  <c r="R246" i="3"/>
  <c r="R312" i="3"/>
  <c r="R309" i="3"/>
  <c r="R302" i="3"/>
  <c r="R301" i="3"/>
  <c r="R281" i="3"/>
  <c r="R270" i="3"/>
  <c r="R269" i="3"/>
  <c r="R258" i="3"/>
  <c r="R257" i="3"/>
  <c r="R250" i="3"/>
  <c r="R249" i="3"/>
  <c r="R241" i="3"/>
  <c r="R234" i="3"/>
  <c r="R233" i="3"/>
  <c r="R214" i="3"/>
  <c r="R209" i="3"/>
  <c r="R205" i="3"/>
  <c r="R20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X12" i="3"/>
  <c r="Z12" i="3" s="1"/>
  <c r="R235" i="3"/>
  <c r="R224" i="3"/>
  <c r="R219" i="3"/>
  <c r="R215" i="3"/>
  <c r="R182" i="3"/>
  <c r="R179" i="3"/>
  <c r="R151" i="3"/>
  <c r="R311" i="3"/>
  <c r="R296" i="3"/>
  <c r="R292" i="3"/>
  <c r="R276" i="3"/>
  <c r="R228" i="3"/>
  <c r="R213" i="3"/>
  <c r="R211" i="3"/>
  <c r="R223" i="3"/>
  <c r="P211" i="3"/>
  <c r="R304" i="3"/>
  <c r="R303" i="3"/>
  <c r="R288" i="3"/>
  <c r="R287" i="3"/>
  <c r="R271" i="3"/>
  <c r="R260" i="3"/>
  <c r="R259" i="3"/>
  <c r="R252" i="3"/>
  <c r="R251" i="3"/>
  <c r="R194" i="3"/>
  <c r="R245" i="3"/>
  <c r="R322" i="3"/>
  <c r="R321" i="3"/>
  <c r="R282" i="3"/>
  <c r="R243" i="3"/>
  <c r="R242" i="3"/>
  <c r="R206" i="3"/>
  <c r="R202" i="3"/>
  <c r="R198" i="3"/>
  <c r="R190" i="3"/>
  <c r="R186" i="3"/>
  <c r="R178" i="3"/>
  <c r="R170" i="3"/>
  <c r="R162" i="3"/>
  <c r="R150" i="3"/>
  <c r="R323" i="3"/>
  <c r="R320" i="3"/>
  <c r="R305" i="3"/>
  <c r="R297" i="3"/>
  <c r="R293" i="3"/>
  <c r="R289" i="3"/>
  <c r="R277" i="3"/>
  <c r="R262" i="3"/>
  <c r="R261" i="3"/>
  <c r="R253" i="3"/>
  <c r="R229" i="3"/>
  <c r="R225" i="3"/>
  <c r="R199" i="3"/>
  <c r="R187" i="3"/>
  <c r="R183" i="3"/>
  <c r="R171" i="3"/>
  <c r="R155" i="3"/>
  <c r="R324" i="3"/>
  <c r="R319" i="3"/>
  <c r="R272" i="3"/>
  <c r="R244" i="3"/>
  <c r="R237" i="3"/>
  <c r="R236" i="3"/>
  <c r="R220" i="3"/>
  <c r="R216" i="3"/>
  <c r="R283" i="3"/>
  <c r="R203" i="3"/>
  <c r="R195" i="3"/>
  <c r="R191" i="3"/>
  <c r="R163" i="3"/>
  <c r="R159" i="3"/>
  <c r="R221" i="3"/>
  <c r="R317" i="3"/>
  <c r="R306" i="3"/>
  <c r="R299" i="3"/>
  <c r="R298" i="3"/>
  <c r="R294" i="3"/>
  <c r="R290" i="3"/>
  <c r="R279" i="3"/>
  <c r="R278" i="3"/>
  <c r="R255" i="3"/>
  <c r="R254" i="3"/>
  <c r="R239" i="3"/>
  <c r="R238" i="3"/>
  <c r="R230" i="3"/>
  <c r="R226" i="3"/>
  <c r="R316" i="3"/>
  <c r="R266" i="3"/>
  <c r="R217" i="3"/>
  <c r="Z28" i="3"/>
  <c r="Z30" i="3"/>
  <c r="Z56" i="3"/>
  <c r="N67" i="3"/>
  <c r="Z134" i="3"/>
  <c r="N40" i="3"/>
  <c r="Z62" i="3"/>
  <c r="Z108" i="3"/>
  <c r="Z39" i="3"/>
  <c r="N48" i="3"/>
  <c r="Z82" i="3"/>
  <c r="L311" i="3"/>
  <c r="N311" i="3" s="1"/>
  <c r="Z50" i="3"/>
  <c r="Z42" i="3"/>
  <c r="N15" i="3"/>
  <c r="Z32" i="3"/>
  <c r="N20" i="3"/>
  <c r="Z67" i="3"/>
  <c r="N87" i="3"/>
  <c r="N44" i="3"/>
  <c r="Z48" i="3"/>
  <c r="Z63" i="3"/>
  <c r="Z76" i="3"/>
  <c r="P31" i="6"/>
  <c r="L19" i="9"/>
  <c r="N19" i="9" s="1"/>
  <c r="Z21" i="12"/>
  <c r="X21" i="12"/>
  <c r="X44" i="12"/>
  <c r="Z44" i="12" s="1"/>
  <c r="X57" i="12"/>
  <c r="Z57" i="12" s="1"/>
  <c r="X80" i="12"/>
  <c r="Z80" i="12" s="1"/>
  <c r="Z89" i="12"/>
  <c r="X89" i="12"/>
  <c r="Z105" i="15"/>
  <c r="X105" i="15"/>
  <c r="X237" i="15"/>
  <c r="Z237" i="15" s="1"/>
  <c r="T82" i="80"/>
  <c r="Z54" i="97"/>
  <c r="X54" i="97"/>
  <c r="X14" i="3"/>
  <c r="X18" i="3"/>
  <c r="Z18" i="3" s="1"/>
  <c r="X22" i="3"/>
  <c r="Z22" i="3" s="1"/>
  <c r="X26" i="3"/>
  <c r="Z26" i="3" s="1"/>
  <c r="X30" i="3"/>
  <c r="X34" i="3"/>
  <c r="Z34" i="3" s="1"/>
  <c r="X38" i="3"/>
  <c r="Z38" i="3" s="1"/>
  <c r="X42" i="3"/>
  <c r="X46" i="3"/>
  <c r="Z46" i="3" s="1"/>
  <c r="X50" i="3"/>
  <c r="X54" i="3"/>
  <c r="X58" i="3"/>
  <c r="Z58" i="3" s="1"/>
  <c r="X62" i="3"/>
  <c r="X66" i="3"/>
  <c r="Z66" i="3" s="1"/>
  <c r="X70" i="3"/>
  <c r="Z70" i="3" s="1"/>
  <c r="X74" i="3"/>
  <c r="X78" i="3"/>
  <c r="Z78" i="3" s="1"/>
  <c r="X82" i="3"/>
  <c r="X86" i="3"/>
  <c r="Z86" i="3" s="1"/>
  <c r="X90" i="3"/>
  <c r="X94" i="3"/>
  <c r="Z94" i="3" s="1"/>
  <c r="X98" i="3"/>
  <c r="Z98" i="3" s="1"/>
  <c r="X102" i="3"/>
  <c r="X106" i="3"/>
  <c r="Z106" i="3" s="1"/>
  <c r="X110" i="3"/>
  <c r="Z110" i="3" s="1"/>
  <c r="X114" i="3"/>
  <c r="X118" i="3"/>
  <c r="Z118" i="3" s="1"/>
  <c r="X122" i="3"/>
  <c r="X126" i="3"/>
  <c r="J225" i="3"/>
  <c r="J229" i="3"/>
  <c r="J243" i="3"/>
  <c r="J253" i="3"/>
  <c r="J261" i="3"/>
  <c r="J277" i="3"/>
  <c r="J289" i="3"/>
  <c r="J293" i="3"/>
  <c r="J297" i="3"/>
  <c r="J305" i="3"/>
  <c r="J321" i="3"/>
  <c r="N322" i="3"/>
  <c r="J323" i="3"/>
  <c r="J22" i="6"/>
  <c r="J20" i="6"/>
  <c r="J18" i="6"/>
  <c r="J16" i="6"/>
  <c r="J14" i="6"/>
  <c r="H16" i="6"/>
  <c r="J24" i="6"/>
  <c r="V29" i="9"/>
  <c r="Z50" i="9"/>
  <c r="X50" i="9"/>
  <c r="Z16" i="12"/>
  <c r="Z23" i="12"/>
  <c r="X48" i="12"/>
  <c r="Z48" i="12" s="1"/>
  <c r="Z50" i="12"/>
  <c r="Z61" i="12"/>
  <c r="X61" i="12"/>
  <c r="Z63" i="12"/>
  <c r="Z108" i="12"/>
  <c r="X108" i="12"/>
  <c r="Z110" i="12"/>
  <c r="Z117" i="12"/>
  <c r="X117" i="12"/>
  <c r="Z177" i="12"/>
  <c r="R180" i="12"/>
  <c r="N206" i="12"/>
  <c r="R210" i="12"/>
  <c r="J245" i="12"/>
  <c r="X267" i="12"/>
  <c r="Z267" i="12" s="1"/>
  <c r="J278" i="12"/>
  <c r="N26" i="15"/>
  <c r="L26" i="15"/>
  <c r="Z79" i="15"/>
  <c r="N17" i="18"/>
  <c r="F24" i="6"/>
  <c r="D16" i="6"/>
  <c r="F31" i="6"/>
  <c r="F29" i="6"/>
  <c r="F28" i="6"/>
  <c r="F26" i="6"/>
  <c r="L12" i="6"/>
  <c r="J154" i="3"/>
  <c r="J170" i="3"/>
  <c r="J174" i="3"/>
  <c r="J182" i="3"/>
  <c r="J186" i="3"/>
  <c r="H211" i="3"/>
  <c r="J252" i="3"/>
  <c r="J288" i="3"/>
  <c r="J266" i="12"/>
  <c r="N42" i="15"/>
  <c r="L42" i="15"/>
  <c r="L20" i="3"/>
  <c r="L24" i="3"/>
  <c r="N24" i="3" s="1"/>
  <c r="L32" i="3"/>
  <c r="L36" i="3"/>
  <c r="N36" i="3" s="1"/>
  <c r="L40" i="3"/>
  <c r="L52" i="3"/>
  <c r="N52" i="3" s="1"/>
  <c r="L60" i="3"/>
  <c r="L64" i="3"/>
  <c r="L68" i="3"/>
  <c r="N68" i="3" s="1"/>
  <c r="L72" i="3"/>
  <c r="N72" i="3" s="1"/>
  <c r="L76" i="3"/>
  <c r="N76" i="3" s="1"/>
  <c r="L80" i="3"/>
  <c r="N80" i="3" s="1"/>
  <c r="L84" i="3"/>
  <c r="N84" i="3" s="1"/>
  <c r="L92" i="3"/>
  <c r="N92" i="3" s="1"/>
  <c r="L104" i="3"/>
  <c r="L108" i="3"/>
  <c r="N108" i="3" s="1"/>
  <c r="L112" i="3"/>
  <c r="L124" i="3"/>
  <c r="N124" i="3" s="1"/>
  <c r="L128" i="3"/>
  <c r="N128" i="3" s="1"/>
  <c r="J211" i="3"/>
  <c r="J213" i="3"/>
  <c r="J215" i="3"/>
  <c r="J219" i="3"/>
  <c r="J223" i="3"/>
  <c r="J235" i="3"/>
  <c r="N243" i="3"/>
  <c r="J251" i="3"/>
  <c r="J259" i="3"/>
  <c r="J271" i="3"/>
  <c r="Z285" i="3"/>
  <c r="J287" i="3"/>
  <c r="J303" i="3"/>
  <c r="J311" i="3"/>
  <c r="Z315" i="3"/>
  <c r="N321" i="3"/>
  <c r="X323" i="3"/>
  <c r="Z323" i="3" s="1"/>
  <c r="F35" i="9"/>
  <c r="F37" i="9"/>
  <c r="F51" i="9"/>
  <c r="F56" i="9"/>
  <c r="F66" i="9"/>
  <c r="N22" i="12"/>
  <c r="X29" i="12"/>
  <c r="Z29" i="12" s="1"/>
  <c r="Z31" i="12"/>
  <c r="N58" i="12"/>
  <c r="X69" i="12"/>
  <c r="Z69" i="12" s="1"/>
  <c r="N90" i="12"/>
  <c r="X97" i="12"/>
  <c r="Z97" i="12" s="1"/>
  <c r="J183" i="12"/>
  <c r="R190" i="12"/>
  <c r="R200" i="12"/>
  <c r="X22" i="15"/>
  <c r="Z22" i="15" s="1"/>
  <c r="Z24" i="15"/>
  <c r="Z17" i="18"/>
  <c r="J324" i="3"/>
  <c r="J194" i="3"/>
  <c r="J206" i="3"/>
  <c r="L321" i="3"/>
  <c r="Z85" i="9"/>
  <c r="X85" i="9"/>
  <c r="L16" i="3"/>
  <c r="N16" i="3" s="1"/>
  <c r="L28" i="3"/>
  <c r="N28" i="3" s="1"/>
  <c r="L44" i="3"/>
  <c r="L48" i="3"/>
  <c r="L56" i="3"/>
  <c r="N56" i="3" s="1"/>
  <c r="L88" i="3"/>
  <c r="L96" i="3"/>
  <c r="N96" i="3" s="1"/>
  <c r="L100" i="3"/>
  <c r="L116" i="3"/>
  <c r="L120" i="3"/>
  <c r="N120" i="3" s="1"/>
  <c r="L132" i="3"/>
  <c r="L136" i="3"/>
  <c r="L140" i="3"/>
  <c r="N140" i="3" s="1"/>
  <c r="L144" i="3"/>
  <c r="N144" i="3" s="1"/>
  <c r="X13" i="3"/>
  <c r="Z13" i="3" s="1"/>
  <c r="J214" i="3"/>
  <c r="J228" i="3"/>
  <c r="J234" i="3"/>
  <c r="J250" i="3"/>
  <c r="J258" i="3"/>
  <c r="J270" i="3"/>
  <c r="J276" i="3"/>
  <c r="J292" i="3"/>
  <c r="J296" i="3"/>
  <c r="J302" i="3"/>
  <c r="J312" i="3"/>
  <c r="X317" i="3"/>
  <c r="Z317" i="3" s="1"/>
  <c r="V19" i="9"/>
  <c r="Z45" i="9"/>
  <c r="V52" i="9"/>
  <c r="L56" i="9"/>
  <c r="N56" i="9" s="1"/>
  <c r="Z73" i="9"/>
  <c r="X73" i="9"/>
  <c r="Z20" i="12"/>
  <c r="X33" i="12"/>
  <c r="Z33" i="12" s="1"/>
  <c r="Z35" i="12"/>
  <c r="N62" i="12"/>
  <c r="Z112" i="12"/>
  <c r="X112" i="12"/>
  <c r="Z114" i="12"/>
  <c r="N178" i="12"/>
  <c r="L188" i="12"/>
  <c r="N188" i="12" s="1"/>
  <c r="J193" i="12"/>
  <c r="L198" i="12"/>
  <c r="L226" i="12"/>
  <c r="L228" i="12"/>
  <c r="N228" i="12" s="1"/>
  <c r="J260" i="12"/>
  <c r="R266" i="12"/>
  <c r="T270" i="12"/>
  <c r="X273" i="12"/>
  <c r="Z273" i="12" s="1"/>
  <c r="Z275" i="12"/>
  <c r="Z38" i="15"/>
  <c r="X38" i="15"/>
  <c r="Z40" i="15"/>
  <c r="L58" i="15"/>
  <c r="N58" i="15" s="1"/>
  <c r="J165" i="3"/>
  <c r="J169" i="3"/>
  <c r="J173" i="3"/>
  <c r="J177" i="3"/>
  <c r="J181" i="3"/>
  <c r="J185" i="3"/>
  <c r="J189" i="3"/>
  <c r="J193" i="3"/>
  <c r="J197" i="3"/>
  <c r="J201" i="3"/>
  <c r="J205" i="3"/>
  <c r="J209" i="3"/>
  <c r="J233" i="3"/>
  <c r="J241" i="3"/>
  <c r="J249" i="3"/>
  <c r="J257" i="3"/>
  <c r="J269" i="3"/>
  <c r="J275" i="3"/>
  <c r="J281" i="3"/>
  <c r="J301" i="3"/>
  <c r="J309" i="3"/>
  <c r="J313" i="3"/>
  <c r="J328" i="3"/>
  <c r="N333" i="3"/>
  <c r="F16" i="6"/>
  <c r="F100" i="9"/>
  <c r="F97" i="9"/>
  <c r="F86" i="9"/>
  <c r="F85" i="9"/>
  <c r="F74" i="9"/>
  <c r="F73" i="9"/>
  <c r="F62" i="9"/>
  <c r="F42" i="9"/>
  <c r="F41" i="9"/>
  <c r="F30" i="9"/>
  <c r="F26" i="9"/>
  <c r="F22" i="9"/>
  <c r="F53" i="9"/>
  <c r="F52" i="9"/>
  <c r="F88" i="9"/>
  <c r="F87" i="9"/>
  <c r="F80" i="9"/>
  <c r="F68" i="9"/>
  <c r="F44" i="9"/>
  <c r="F43" i="9"/>
  <c r="F36" i="9"/>
  <c r="F32" i="9"/>
  <c r="F31" i="9"/>
  <c r="F75" i="9"/>
  <c r="F63" i="9"/>
  <c r="F55" i="9"/>
  <c r="F54" i="9"/>
  <c r="F27" i="9"/>
  <c r="F23" i="9"/>
  <c r="F64" i="9"/>
  <c r="F28" i="9"/>
  <c r="F24" i="9"/>
  <c r="F20" i="9"/>
  <c r="F19" i="9"/>
  <c r="F83" i="9"/>
  <c r="F82" i="9"/>
  <c r="F71" i="9"/>
  <c r="F70" i="9"/>
  <c r="F59" i="9"/>
  <c r="F58" i="9"/>
  <c r="F47" i="9"/>
  <c r="F18" i="9"/>
  <c r="F16" i="9"/>
  <c r="F14" i="9"/>
  <c r="F95" i="9"/>
  <c r="F61" i="9"/>
  <c r="F60" i="9"/>
  <c r="F49" i="9"/>
  <c r="F48" i="9"/>
  <c r="F29" i="9"/>
  <c r="F25" i="9"/>
  <c r="F21" i="9"/>
  <c r="F39" i="9"/>
  <c r="F77" i="9"/>
  <c r="F93" i="9"/>
  <c r="X37" i="12"/>
  <c r="Z37" i="12" s="1"/>
  <c r="Z56" i="12"/>
  <c r="X56" i="12"/>
  <c r="X73" i="12"/>
  <c r="Z73" i="12" s="1"/>
  <c r="Z88" i="12"/>
  <c r="X88" i="12"/>
  <c r="Z101" i="12"/>
  <c r="X101" i="12"/>
  <c r="N198" i="12"/>
  <c r="J207" i="12"/>
  <c r="J217" i="12"/>
  <c r="L248" i="12"/>
  <c r="N248" i="12" s="1"/>
  <c r="X54" i="15"/>
  <c r="Z54" i="15" s="1"/>
  <c r="Z91" i="15"/>
  <c r="Z85" i="18"/>
  <c r="J153" i="3"/>
  <c r="J157" i="3"/>
  <c r="L15" i="3"/>
  <c r="L23" i="3"/>
  <c r="L27" i="3"/>
  <c r="N27" i="3" s="1"/>
  <c r="L31" i="3"/>
  <c r="N31" i="3" s="1"/>
  <c r="L39" i="3"/>
  <c r="L43" i="3"/>
  <c r="N43" i="3" s="1"/>
  <c r="L55" i="3"/>
  <c r="N55" i="3" s="1"/>
  <c r="L67" i="3"/>
  <c r="L71" i="3"/>
  <c r="N71" i="3" s="1"/>
  <c r="L75" i="3"/>
  <c r="N75" i="3" s="1"/>
  <c r="L79" i="3"/>
  <c r="L83" i="3"/>
  <c r="N83" i="3" s="1"/>
  <c r="L87" i="3"/>
  <c r="L91" i="3"/>
  <c r="N91" i="3" s="1"/>
  <c r="L103" i="3"/>
  <c r="L115" i="3"/>
  <c r="N115" i="3" s="1"/>
  <c r="J218" i="3"/>
  <c r="J248" i="3"/>
  <c r="J268" i="3"/>
  <c r="J274" i="3"/>
  <c r="J286" i="3"/>
  <c r="J308" i="3"/>
  <c r="J314" i="3"/>
  <c r="Z322" i="3"/>
  <c r="J333" i="3"/>
  <c r="F65" i="9"/>
  <c r="F72" i="9"/>
  <c r="Z13" i="12"/>
  <c r="X13" i="12"/>
  <c r="N30" i="12"/>
  <c r="Z41" i="12"/>
  <c r="X41" i="12"/>
  <c r="Z43" i="12"/>
  <c r="X60" i="12"/>
  <c r="Z60" i="12" s="1"/>
  <c r="N70" i="12"/>
  <c r="X77" i="12"/>
  <c r="Z77" i="12" s="1"/>
  <c r="Z79" i="12"/>
  <c r="N98" i="12"/>
  <c r="X105" i="12"/>
  <c r="Z105" i="12" s="1"/>
  <c r="Z116" i="12"/>
  <c r="X116" i="12"/>
  <c r="Z188" i="12"/>
  <c r="R202" i="12"/>
  <c r="Z228" i="12"/>
  <c r="Z235" i="12"/>
  <c r="J277" i="12"/>
  <c r="Z56" i="15"/>
  <c r="L74" i="15"/>
  <c r="N74" i="15" s="1"/>
  <c r="J282" i="3"/>
  <c r="Z25" i="12"/>
  <c r="X25" i="12"/>
  <c r="Z84" i="12"/>
  <c r="X84" i="12"/>
  <c r="J149" i="3"/>
  <c r="L143" i="3"/>
  <c r="J232" i="3"/>
  <c r="N19" i="3"/>
  <c r="N51" i="3"/>
  <c r="N59" i="3"/>
  <c r="N63" i="3"/>
  <c r="N95" i="3"/>
  <c r="N99" i="3"/>
  <c r="N107" i="3"/>
  <c r="N111" i="3"/>
  <c r="N119" i="3"/>
  <c r="N123" i="3"/>
  <c r="N127" i="3"/>
  <c r="N131" i="3"/>
  <c r="N135" i="3"/>
  <c r="N139" i="3"/>
  <c r="J227" i="3"/>
  <c r="J231" i="3"/>
  <c r="J247" i="3"/>
  <c r="J267" i="3"/>
  <c r="J285" i="3"/>
  <c r="J291" i="3"/>
  <c r="J295" i="3"/>
  <c r="J307" i="3"/>
  <c r="J315" i="3"/>
  <c r="L333" i="3"/>
  <c r="F22" i="6"/>
  <c r="L12" i="9"/>
  <c r="F46" i="9"/>
  <c r="Z56" i="9"/>
  <c r="V63" i="9"/>
  <c r="F79" i="9"/>
  <c r="F81" i="9"/>
  <c r="Z15" i="12"/>
  <c r="X24" i="12"/>
  <c r="Z24" i="12" s="1"/>
  <c r="N34" i="12"/>
  <c r="X45" i="12"/>
  <c r="Z45" i="12" s="1"/>
  <c r="Z47" i="12"/>
  <c r="Z64" i="12"/>
  <c r="X64" i="12"/>
  <c r="X81" i="12"/>
  <c r="Z81" i="12" s="1"/>
  <c r="Z83" i="12"/>
  <c r="Z92" i="12"/>
  <c r="X92" i="12"/>
  <c r="J175" i="12"/>
  <c r="R209" i="12"/>
  <c r="R211" i="12"/>
  <c r="N258" i="12"/>
  <c r="Z15" i="15"/>
  <c r="T12" i="15"/>
  <c r="Z14" i="3"/>
  <c r="J162" i="3"/>
  <c r="J198" i="3"/>
  <c r="J242" i="3"/>
  <c r="J222" i="3"/>
  <c r="N35" i="3"/>
  <c r="N47" i="3"/>
  <c r="J152" i="3"/>
  <c r="J156" i="3"/>
  <c r="J160" i="3"/>
  <c r="J164" i="3"/>
  <c r="J168" i="3"/>
  <c r="J172" i="3"/>
  <c r="J176" i="3"/>
  <c r="J180" i="3"/>
  <c r="J184" i="3"/>
  <c r="J188" i="3"/>
  <c r="J192" i="3"/>
  <c r="J196" i="3"/>
  <c r="J200" i="3"/>
  <c r="J204" i="3"/>
  <c r="J208" i="3"/>
  <c r="J240" i="3"/>
  <c r="X243" i="3"/>
  <c r="Z243" i="3" s="1"/>
  <c r="J246" i="3"/>
  <c r="J256" i="3"/>
  <c r="J266" i="3"/>
  <c r="J280" i="3"/>
  <c r="J284" i="3"/>
  <c r="J300" i="3"/>
  <c r="J316" i="3"/>
  <c r="X321" i="3"/>
  <c r="N332" i="3"/>
  <c r="F14" i="6"/>
  <c r="Z29" i="6"/>
  <c r="D16" i="9"/>
  <c r="V18" i="9"/>
  <c r="N41" i="9"/>
  <c r="F50" i="9"/>
  <c r="X56" i="9"/>
  <c r="V72" i="9"/>
  <c r="D12" i="12"/>
  <c r="Z28" i="12"/>
  <c r="X28" i="12"/>
  <c r="Z30" i="12"/>
  <c r="N38" i="12"/>
  <c r="Z49" i="12"/>
  <c r="X49" i="12"/>
  <c r="Z51" i="12"/>
  <c r="Z68" i="12"/>
  <c r="X68" i="12"/>
  <c r="Z70" i="12"/>
  <c r="N74" i="12"/>
  <c r="Z96" i="12"/>
  <c r="X96" i="12"/>
  <c r="Z98" i="12"/>
  <c r="X109" i="12"/>
  <c r="Z109" i="12" s="1"/>
  <c r="J179" i="12"/>
  <c r="R184" i="12"/>
  <c r="J189" i="12"/>
  <c r="J229" i="12"/>
  <c r="J234" i="12"/>
  <c r="Z31" i="15"/>
  <c r="Z72" i="15"/>
  <c r="J190" i="3"/>
  <c r="J202" i="3"/>
  <c r="J161" i="3"/>
  <c r="J217" i="3"/>
  <c r="J221" i="3"/>
  <c r="J239" i="3"/>
  <c r="J245" i="3"/>
  <c r="J255" i="3"/>
  <c r="J265" i="3"/>
  <c r="J273" i="3"/>
  <c r="J279" i="3"/>
  <c r="J299" i="3"/>
  <c r="J317" i="3"/>
  <c r="J332" i="3"/>
  <c r="X16" i="6"/>
  <c r="V93" i="9"/>
  <c r="V91" i="9"/>
  <c r="V89" i="9"/>
  <c r="V81" i="9"/>
  <c r="V77" i="9"/>
  <c r="V69" i="9"/>
  <c r="V65" i="9"/>
  <c r="V57" i="9"/>
  <c r="V37" i="9"/>
  <c r="V33" i="9"/>
  <c r="T16" i="9"/>
  <c r="V64" i="9"/>
  <c r="V60" i="9"/>
  <c r="V48" i="9"/>
  <c r="V28" i="9"/>
  <c r="V24" i="9"/>
  <c r="V20" i="9"/>
  <c r="V83" i="9"/>
  <c r="V71" i="9"/>
  <c r="V59" i="9"/>
  <c r="V47" i="9"/>
  <c r="V39" i="9"/>
  <c r="V78" i="9"/>
  <c r="V66" i="9"/>
  <c r="V50" i="9"/>
  <c r="V38" i="9"/>
  <c r="V34" i="9"/>
  <c r="V87" i="9"/>
  <c r="V79" i="9"/>
  <c r="V67" i="9"/>
  <c r="V51" i="9"/>
  <c r="V43" i="9"/>
  <c r="V35" i="9"/>
  <c r="V31" i="9"/>
  <c r="V86" i="9"/>
  <c r="V74" i="9"/>
  <c r="V62" i="9"/>
  <c r="V54" i="9"/>
  <c r="V42" i="9"/>
  <c r="V30" i="9"/>
  <c r="V26" i="9"/>
  <c r="V22" i="9"/>
  <c r="V88" i="9"/>
  <c r="V80" i="9"/>
  <c r="V76" i="9"/>
  <c r="V68" i="9"/>
  <c r="V56" i="9"/>
  <c r="V44" i="9"/>
  <c r="V36" i="9"/>
  <c r="V32" i="9"/>
  <c r="Z12" i="9"/>
  <c r="V25" i="9"/>
  <c r="F34" i="9"/>
  <c r="V46" i="9"/>
  <c r="N50" i="9"/>
  <c r="V53" i="9"/>
  <c r="F67" i="9"/>
  <c r="F69" i="9"/>
  <c r="L85" i="9"/>
  <c r="N85" i="9" s="1"/>
  <c r="F91" i="9"/>
  <c r="V97" i="9"/>
  <c r="X17" i="12"/>
  <c r="Z17" i="12" s="1"/>
  <c r="Z32" i="12"/>
  <c r="X32" i="12"/>
  <c r="Z34" i="12"/>
  <c r="X53" i="12"/>
  <c r="Z53" i="12" s="1"/>
  <c r="Z85" i="12"/>
  <c r="X85" i="12"/>
  <c r="Z196" i="12"/>
  <c r="J199" i="12"/>
  <c r="Z224" i="12"/>
  <c r="J227" i="12"/>
  <c r="X279" i="12"/>
  <c r="Z47" i="15"/>
  <c r="J178" i="3"/>
  <c r="J224" i="3"/>
  <c r="J304" i="3"/>
  <c r="J322" i="3"/>
  <c r="Z76" i="9"/>
  <c r="J276" i="12"/>
  <c r="J258" i="12"/>
  <c r="J273" i="12"/>
  <c r="J267" i="12"/>
  <c r="J263" i="12"/>
  <c r="J241" i="12"/>
  <c r="J235" i="12"/>
  <c r="J279" i="12"/>
  <c r="J271" i="12"/>
  <c r="J253" i="12"/>
  <c r="J242" i="12"/>
  <c r="J238" i="12"/>
  <c r="J230" i="12"/>
  <c r="J218" i="12"/>
  <c r="J208" i="12"/>
  <c r="J200" i="12"/>
  <c r="J184" i="12"/>
  <c r="J180" i="12"/>
  <c r="J283" i="12"/>
  <c r="J272" i="12"/>
  <c r="J246" i="12"/>
  <c r="J231" i="12"/>
  <c r="J219" i="12"/>
  <c r="J209" i="12"/>
  <c r="J201" i="12"/>
  <c r="J171" i="12"/>
  <c r="J167" i="12"/>
  <c r="J163" i="12"/>
  <c r="J159" i="12"/>
  <c r="J155" i="12"/>
  <c r="J151" i="12"/>
  <c r="J147" i="12"/>
  <c r="J143" i="12"/>
  <c r="J139" i="12"/>
  <c r="J135" i="12"/>
  <c r="J131" i="12"/>
  <c r="J127" i="12"/>
  <c r="J123" i="12"/>
  <c r="J264" i="12"/>
  <c r="J261" i="12"/>
  <c r="J250" i="12"/>
  <c r="J239" i="12"/>
  <c r="J220" i="12"/>
  <c r="J210" i="12"/>
  <c r="J202" i="12"/>
  <c r="J194" i="12"/>
  <c r="J190" i="12"/>
  <c r="J257" i="12"/>
  <c r="J221" i="12"/>
  <c r="J211" i="12"/>
  <c r="J203" i="12"/>
  <c r="J185" i="12"/>
  <c r="J181" i="12"/>
  <c r="J254" i="12"/>
  <c r="J243" i="12"/>
  <c r="J240" i="12"/>
  <c r="J236" i="12"/>
  <c r="J232" i="12"/>
  <c r="J222" i="12"/>
  <c r="J212" i="12"/>
  <c r="J204" i="12"/>
  <c r="J172" i="12"/>
  <c r="J168" i="12"/>
  <c r="J164" i="12"/>
  <c r="J160" i="12"/>
  <c r="J156" i="12"/>
  <c r="J152" i="12"/>
  <c r="J148" i="12"/>
  <c r="J144" i="12"/>
  <c r="J140" i="12"/>
  <c r="J136" i="12"/>
  <c r="J132" i="12"/>
  <c r="J128" i="12"/>
  <c r="J124" i="12"/>
  <c r="J274" i="12"/>
  <c r="J268" i="12"/>
  <c r="J262" i="12"/>
  <c r="J251" i="12"/>
  <c r="J247" i="12"/>
  <c r="J223" i="12"/>
  <c r="J213" i="12"/>
  <c r="J195" i="12"/>
  <c r="J191" i="12"/>
  <c r="J265" i="12"/>
  <c r="J224" i="12"/>
  <c r="J214" i="12"/>
  <c r="J196" i="12"/>
  <c r="J186" i="12"/>
  <c r="J182" i="12"/>
  <c r="J275" i="12"/>
  <c r="J259" i="12"/>
  <c r="J233" i="12"/>
  <c r="J225" i="12"/>
  <c r="J215" i="12"/>
  <c r="J205" i="12"/>
  <c r="J197" i="12"/>
  <c r="J173" i="12"/>
  <c r="J169" i="12"/>
  <c r="J165" i="12"/>
  <c r="J161" i="12"/>
  <c r="J157" i="12"/>
  <c r="J153" i="12"/>
  <c r="J149" i="12"/>
  <c r="J145" i="12"/>
  <c r="J141" i="12"/>
  <c r="J137" i="12"/>
  <c r="J133" i="12"/>
  <c r="J129" i="12"/>
  <c r="J125" i="12"/>
  <c r="J121" i="12"/>
  <c r="J255" i="12"/>
  <c r="J252" i="12"/>
  <c r="J248" i="12"/>
  <c r="J244" i="12"/>
  <c r="J237" i="12"/>
  <c r="J226" i="12"/>
  <c r="J216" i="12"/>
  <c r="J206" i="12"/>
  <c r="J198" i="12"/>
  <c r="J192" i="12"/>
  <c r="J178" i="12"/>
  <c r="J249" i="12"/>
  <c r="J228" i="12"/>
  <c r="J188" i="12"/>
  <c r="H175" i="12"/>
  <c r="J170" i="12"/>
  <c r="J166" i="12"/>
  <c r="J162" i="12"/>
  <c r="J158" i="12"/>
  <c r="J154" i="12"/>
  <c r="J150" i="12"/>
  <c r="J146" i="12"/>
  <c r="J142" i="12"/>
  <c r="J138" i="12"/>
  <c r="J134" i="12"/>
  <c r="J130" i="12"/>
  <c r="J126" i="12"/>
  <c r="J122" i="12"/>
  <c r="Z52" i="12"/>
  <c r="X52" i="12"/>
  <c r="X65" i="12"/>
  <c r="Z65" i="12" s="1"/>
  <c r="Z93" i="12"/>
  <c r="X93" i="12"/>
  <c r="J148" i="3"/>
  <c r="X15" i="3"/>
  <c r="Z15" i="3" s="1"/>
  <c r="X19" i="3"/>
  <c r="Z19" i="3" s="1"/>
  <c r="X23" i="3"/>
  <c r="Z23" i="3" s="1"/>
  <c r="X27" i="3"/>
  <c r="Z27" i="3" s="1"/>
  <c r="X31" i="3"/>
  <c r="Z31" i="3" s="1"/>
  <c r="X35" i="3"/>
  <c r="Z35" i="3" s="1"/>
  <c r="X39" i="3"/>
  <c r="X47" i="3"/>
  <c r="Z47" i="3" s="1"/>
  <c r="X55" i="3"/>
  <c r="Z55" i="3" s="1"/>
  <c r="X59" i="3"/>
  <c r="Z59" i="3" s="1"/>
  <c r="X67" i="3"/>
  <c r="X75" i="3"/>
  <c r="Z75" i="3" s="1"/>
  <c r="X91" i="3"/>
  <c r="Z91" i="3" s="1"/>
  <c r="J226" i="3"/>
  <c r="J230" i="3"/>
  <c r="J238" i="3"/>
  <c r="J254" i="3"/>
  <c r="J264" i="3"/>
  <c r="J278" i="3"/>
  <c r="J290" i="3"/>
  <c r="J294" i="3"/>
  <c r="J298" i="3"/>
  <c r="J306" i="3"/>
  <c r="J318" i="3"/>
  <c r="L323" i="3"/>
  <c r="F20" i="6"/>
  <c r="F38" i="9"/>
  <c r="X41" i="9"/>
  <c r="Z41" i="9" s="1"/>
  <c r="V55" i="9"/>
  <c r="F57" i="9"/>
  <c r="Z58" i="9"/>
  <c r="V70" i="9"/>
  <c r="F76" i="9"/>
  <c r="T12" i="12"/>
  <c r="R272" i="12"/>
  <c r="R263" i="12"/>
  <c r="R262" i="12"/>
  <c r="R277" i="12"/>
  <c r="R242" i="12"/>
  <c r="R275" i="12"/>
  <c r="R273" i="12"/>
  <c r="R257" i="12"/>
  <c r="R222" i="12"/>
  <c r="R221" i="12"/>
  <c r="R185" i="12"/>
  <c r="R181" i="12"/>
  <c r="R243" i="12"/>
  <c r="R240" i="12"/>
  <c r="R236" i="12"/>
  <c r="R232" i="12"/>
  <c r="R213" i="12"/>
  <c r="R212" i="12"/>
  <c r="R204" i="12"/>
  <c r="R172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274" i="12"/>
  <c r="R268" i="12"/>
  <c r="R258" i="12"/>
  <c r="R254" i="12"/>
  <c r="R251" i="12"/>
  <c r="R224" i="12"/>
  <c r="R223" i="12"/>
  <c r="R196" i="12"/>
  <c r="R195" i="12"/>
  <c r="R191" i="12"/>
  <c r="R120" i="12"/>
  <c r="R265" i="12"/>
  <c r="R247" i="12"/>
  <c r="R215" i="12"/>
  <c r="R214" i="12"/>
  <c r="R186" i="12"/>
  <c r="R182" i="12"/>
  <c r="R259" i="12"/>
  <c r="R248" i="12"/>
  <c r="R233" i="12"/>
  <c r="R226" i="12"/>
  <c r="R225" i="12"/>
  <c r="R206" i="12"/>
  <c r="R205" i="12"/>
  <c r="R198" i="12"/>
  <c r="R197" i="12"/>
  <c r="R178" i="12"/>
  <c r="R173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255" i="12"/>
  <c r="R252" i="12"/>
  <c r="R244" i="12"/>
  <c r="R237" i="12"/>
  <c r="R216" i="12"/>
  <c r="R192" i="12"/>
  <c r="R177" i="12"/>
  <c r="R276" i="12"/>
  <c r="R241" i="12"/>
  <c r="R228" i="12"/>
  <c r="R227" i="12"/>
  <c r="R207" i="12"/>
  <c r="R199" i="12"/>
  <c r="R188" i="12"/>
  <c r="R187" i="12"/>
  <c r="R183" i="12"/>
  <c r="R179" i="12"/>
  <c r="P175" i="12"/>
  <c r="R175" i="12" s="1"/>
  <c r="R249" i="12"/>
  <c r="R245" i="12"/>
  <c r="R170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278" i="12"/>
  <c r="R260" i="12"/>
  <c r="R256" i="12"/>
  <c r="R234" i="12"/>
  <c r="R230" i="12"/>
  <c r="R229" i="12"/>
  <c r="R218" i="12"/>
  <c r="R217" i="12"/>
  <c r="R193" i="12"/>
  <c r="R189" i="12"/>
  <c r="R279" i="12"/>
  <c r="R267" i="12"/>
  <c r="R246" i="12"/>
  <c r="R239" i="12"/>
  <c r="R238" i="12"/>
  <c r="R235" i="12"/>
  <c r="R231" i="12"/>
  <c r="R220" i="12"/>
  <c r="R219" i="12"/>
  <c r="R171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Z19" i="12"/>
  <c r="X36" i="12"/>
  <c r="Z36" i="12" s="1"/>
  <c r="X72" i="12"/>
  <c r="Z72" i="12" s="1"/>
  <c r="Z87" i="12"/>
  <c r="Z100" i="12"/>
  <c r="X100" i="12"/>
  <c r="J120" i="12"/>
  <c r="J187" i="12"/>
  <c r="R208" i="12"/>
  <c r="Z279" i="12"/>
  <c r="X261" i="15"/>
  <c r="J150" i="3"/>
  <c r="J158" i="3"/>
  <c r="J166" i="3"/>
  <c r="J260" i="3"/>
  <c r="X43" i="3"/>
  <c r="X51" i="3"/>
  <c r="Z51" i="3" s="1"/>
  <c r="X63" i="3"/>
  <c r="X71" i="3"/>
  <c r="Z71" i="3" s="1"/>
  <c r="X79" i="3"/>
  <c r="X83" i="3"/>
  <c r="Z83" i="3" s="1"/>
  <c r="X87" i="3"/>
  <c r="Z87" i="3" s="1"/>
  <c r="J151" i="3"/>
  <c r="J155" i="3"/>
  <c r="J159" i="3"/>
  <c r="J163" i="3"/>
  <c r="J167" i="3"/>
  <c r="J171" i="3"/>
  <c r="J175" i="3"/>
  <c r="J179" i="3"/>
  <c r="J183" i="3"/>
  <c r="J187" i="3"/>
  <c r="J191" i="3"/>
  <c r="J195" i="3"/>
  <c r="J199" i="3"/>
  <c r="J203" i="3"/>
  <c r="J207" i="3"/>
  <c r="J237" i="3"/>
  <c r="J263" i="3"/>
  <c r="J283" i="3"/>
  <c r="J319" i="3"/>
  <c r="Z28" i="6"/>
  <c r="P100" i="9"/>
  <c r="V27" i="9"/>
  <c r="V41" i="9"/>
  <c r="F45" i="9"/>
  <c r="V58" i="9"/>
  <c r="L73" i="9"/>
  <c r="L76" i="9"/>
  <c r="N76" i="9" s="1"/>
  <c r="X12" i="12"/>
  <c r="Z14" i="12"/>
  <c r="X40" i="12"/>
  <c r="Z40" i="12" s="1"/>
  <c r="Z42" i="12"/>
  <c r="N50" i="12"/>
  <c r="X76" i="12"/>
  <c r="Z76" i="12" s="1"/>
  <c r="Z78" i="12"/>
  <c r="Z104" i="12"/>
  <c r="X104" i="12"/>
  <c r="Z106" i="12"/>
  <c r="N110" i="12"/>
  <c r="Z113" i="12"/>
  <c r="X113" i="12"/>
  <c r="J177" i="12"/>
  <c r="R194" i="12"/>
  <c r="N218" i="12"/>
  <c r="X220" i="12"/>
  <c r="Z220" i="12" s="1"/>
  <c r="Z222" i="12"/>
  <c r="X239" i="12"/>
  <c r="Z239" i="12" s="1"/>
  <c r="Z123" i="18"/>
  <c r="X123" i="18"/>
  <c r="Z50" i="24"/>
  <c r="J40" i="9"/>
  <c r="J50" i="9"/>
  <c r="R53" i="9"/>
  <c r="R54" i="9"/>
  <c r="J72" i="9"/>
  <c r="J84" i="9"/>
  <c r="P270" i="12"/>
  <c r="X270" i="12" s="1"/>
  <c r="Z13" i="15"/>
  <c r="X15" i="15"/>
  <c r="P12" i="15"/>
  <c r="Z29" i="15"/>
  <c r="X31" i="15"/>
  <c r="X47" i="15"/>
  <c r="Z61" i="15"/>
  <c r="X63" i="15"/>
  <c r="Z63" i="15" s="1"/>
  <c r="Z77" i="15"/>
  <c r="X79" i="15"/>
  <c r="N86" i="15"/>
  <c r="Z89" i="15"/>
  <c r="X91" i="15"/>
  <c r="N111" i="15"/>
  <c r="Z172" i="15"/>
  <c r="T12" i="18"/>
  <c r="N21" i="18"/>
  <c r="L25" i="18"/>
  <c r="N25" i="18" s="1"/>
  <c r="Z38" i="18"/>
  <c r="L61" i="18"/>
  <c r="N61" i="18" s="1"/>
  <c r="L93" i="18"/>
  <c r="Z64" i="21"/>
  <c r="T16" i="6"/>
  <c r="J34" i="9"/>
  <c r="R35" i="9"/>
  <c r="J38" i="9"/>
  <c r="J48" i="9"/>
  <c r="R51" i="9"/>
  <c r="R52" i="9"/>
  <c r="J60" i="9"/>
  <c r="J66" i="9"/>
  <c r="R67" i="9"/>
  <c r="J78" i="9"/>
  <c r="R79" i="9"/>
  <c r="N83" i="15"/>
  <c r="X95" i="15"/>
  <c r="Z95" i="15" s="1"/>
  <c r="Z111" i="15"/>
  <c r="X270" i="15"/>
  <c r="Z270" i="15" s="1"/>
  <c r="Z21" i="18"/>
  <c r="N29" i="18"/>
  <c r="N65" i="18"/>
  <c r="N97" i="18"/>
  <c r="N112" i="18"/>
  <c r="X249" i="18"/>
  <c r="Z46" i="24"/>
  <c r="X72" i="33"/>
  <c r="Z72" i="33" s="1"/>
  <c r="V14" i="6"/>
  <c r="V16" i="6"/>
  <c r="V18" i="6"/>
  <c r="V20" i="6"/>
  <c r="H16" i="9"/>
  <c r="R40" i="9"/>
  <c r="R41" i="9"/>
  <c r="J47" i="9"/>
  <c r="J59" i="9"/>
  <c r="J65" i="9"/>
  <c r="J71" i="9"/>
  <c r="R72" i="9"/>
  <c r="R73" i="9"/>
  <c r="J83" i="9"/>
  <c r="R84" i="9"/>
  <c r="R85" i="9"/>
  <c r="J91" i="9"/>
  <c r="J93" i="9"/>
  <c r="R97" i="9"/>
  <c r="R100" i="9"/>
  <c r="X263" i="12"/>
  <c r="Z263" i="12" s="1"/>
  <c r="Z17" i="15"/>
  <c r="X19" i="15"/>
  <c r="Z19" i="15" s="1"/>
  <c r="Z33" i="15"/>
  <c r="X35" i="15"/>
  <c r="Z49" i="15"/>
  <c r="X51" i="15"/>
  <c r="Z65" i="15"/>
  <c r="X67" i="15"/>
  <c r="X88" i="15"/>
  <c r="Z88" i="15" s="1"/>
  <c r="Z93" i="15"/>
  <c r="Z102" i="15"/>
  <c r="L191" i="15"/>
  <c r="N191" i="15" s="1"/>
  <c r="L219" i="15"/>
  <c r="D261" i="15"/>
  <c r="L265" i="15"/>
  <c r="N265" i="15" s="1"/>
  <c r="Z25" i="18"/>
  <c r="N33" i="18"/>
  <c r="L37" i="18"/>
  <c r="Z61" i="18"/>
  <c r="L69" i="18"/>
  <c r="Z93" i="18"/>
  <c r="L101" i="18"/>
  <c r="Z116" i="18"/>
  <c r="Z249" i="18"/>
  <c r="L24" i="21"/>
  <c r="N14" i="15"/>
  <c r="Z26" i="15"/>
  <c r="X26" i="15"/>
  <c r="Z35" i="15"/>
  <c r="X42" i="15"/>
  <c r="Z42" i="15" s="1"/>
  <c r="N46" i="15"/>
  <c r="Z51" i="15"/>
  <c r="Z58" i="15"/>
  <c r="Z67" i="15"/>
  <c r="N78" i="15"/>
  <c r="Z81" i="15"/>
  <c r="N258" i="15"/>
  <c r="L258" i="15"/>
  <c r="N37" i="18"/>
  <c r="Z65" i="18"/>
  <c r="N69" i="18"/>
  <c r="N101" i="18"/>
  <c r="Z110" i="18"/>
  <c r="D287" i="18"/>
  <c r="L287" i="18" s="1"/>
  <c r="L296" i="18"/>
  <c r="N296" i="18" s="1"/>
  <c r="L258" i="12"/>
  <c r="Z277" i="12"/>
  <c r="L14" i="15"/>
  <c r="L30" i="15"/>
  <c r="N30" i="15" s="1"/>
  <c r="L46" i="15"/>
  <c r="L62" i="15"/>
  <c r="N62" i="15" s="1"/>
  <c r="L78" i="15"/>
  <c r="X81" i="15"/>
  <c r="Z83" i="15"/>
  <c r="L90" i="15"/>
  <c r="Z113" i="15"/>
  <c r="N217" i="15"/>
  <c r="Z263" i="15"/>
  <c r="Z265" i="15"/>
  <c r="N269" i="15"/>
  <c r="P12" i="18"/>
  <c r="X14" i="18"/>
  <c r="Z14" i="18" s="1"/>
  <c r="N41" i="18"/>
  <c r="X110" i="18"/>
  <c r="Z115" i="24"/>
  <c r="J46" i="9"/>
  <c r="R47" i="9"/>
  <c r="R48" i="9"/>
  <c r="J56" i="9"/>
  <c r="R59" i="9"/>
  <c r="R60" i="9"/>
  <c r="R71" i="9"/>
  <c r="J76" i="9"/>
  <c r="R83" i="9"/>
  <c r="L213" i="12"/>
  <c r="N213" i="12" s="1"/>
  <c r="Z37" i="15"/>
  <c r="Z69" i="15"/>
  <c r="N87" i="15"/>
  <c r="Z99" i="15"/>
  <c r="N103" i="15"/>
  <c r="Z106" i="15"/>
  <c r="X113" i="15"/>
  <c r="L223" i="15"/>
  <c r="N223" i="15" s="1"/>
  <c r="Z37" i="18"/>
  <c r="N77" i="18"/>
  <c r="Z101" i="18"/>
  <c r="N105" i="18"/>
  <c r="J55" i="9"/>
  <c r="J63" i="9"/>
  <c r="R64" i="9"/>
  <c r="R65" i="9"/>
  <c r="J75" i="9"/>
  <c r="R91" i="9"/>
  <c r="R93" i="9"/>
  <c r="N261" i="12"/>
  <c r="X14" i="15"/>
  <c r="Z14" i="15" s="1"/>
  <c r="X16" i="15"/>
  <c r="Z16" i="15" s="1"/>
  <c r="X21" i="15"/>
  <c r="Z21" i="15" s="1"/>
  <c r="Z23" i="15"/>
  <c r="N27" i="15"/>
  <c r="Z30" i="15"/>
  <c r="X30" i="15"/>
  <c r="X32" i="15"/>
  <c r="Z32" i="15" s="1"/>
  <c r="N34" i="15"/>
  <c r="X37" i="15"/>
  <c r="Z39" i="15"/>
  <c r="N43" i="15"/>
  <c r="Z46" i="15"/>
  <c r="X46" i="15"/>
  <c r="X48" i="15"/>
  <c r="Z48" i="15" s="1"/>
  <c r="N50" i="15"/>
  <c r="X53" i="15"/>
  <c r="Z53" i="15" s="1"/>
  <c r="N59" i="15"/>
  <c r="X64" i="15"/>
  <c r="Z64" i="15" s="1"/>
  <c r="N66" i="15"/>
  <c r="X69" i="15"/>
  <c r="Z71" i="15"/>
  <c r="Z78" i="15"/>
  <c r="X80" i="15"/>
  <c r="Z80" i="15" s="1"/>
  <c r="X92" i="15"/>
  <c r="Z92" i="15" s="1"/>
  <c r="X97" i="15"/>
  <c r="Z97" i="15" s="1"/>
  <c r="X103" i="15"/>
  <c r="L110" i="15"/>
  <c r="Z213" i="15"/>
  <c r="Z258" i="15"/>
  <c r="Z18" i="18"/>
  <c r="Z41" i="18"/>
  <c r="L49" i="18"/>
  <c r="N49" i="18" s="1"/>
  <c r="P287" i="18"/>
  <c r="X287" i="18" s="1"/>
  <c r="X288" i="18"/>
  <c r="N12" i="9"/>
  <c r="R14" i="9"/>
  <c r="R16" i="9"/>
  <c r="R18" i="9"/>
  <c r="J32" i="9"/>
  <c r="R33" i="9"/>
  <c r="J36" i="9"/>
  <c r="R37" i="9"/>
  <c r="J44" i="9"/>
  <c r="J54" i="9"/>
  <c r="R57" i="9"/>
  <c r="R58" i="9"/>
  <c r="J68" i="9"/>
  <c r="R69" i="9"/>
  <c r="R70" i="9"/>
  <c r="R77" i="9"/>
  <c r="J80" i="9"/>
  <c r="R81" i="9"/>
  <c r="R82" i="9"/>
  <c r="J88" i="9"/>
  <c r="R89" i="9"/>
  <c r="D270" i="12"/>
  <c r="Z85" i="15"/>
  <c r="X87" i="15"/>
  <c r="Z87" i="15" s="1"/>
  <c r="Z101" i="15"/>
  <c r="Z103" i="15"/>
  <c r="L183" i="15"/>
  <c r="N183" i="15" s="1"/>
  <c r="N208" i="15"/>
  <c r="X217" i="15"/>
  <c r="Z217" i="15" s="1"/>
  <c r="H261" i="15"/>
  <c r="N264" i="15"/>
  <c r="L264" i="15"/>
  <c r="L53" i="18"/>
  <c r="N53" i="18" s="1"/>
  <c r="Z77" i="18"/>
  <c r="L85" i="18"/>
  <c r="N85" i="18" s="1"/>
  <c r="X113" i="18"/>
  <c r="L119" i="18"/>
  <c r="N119" i="18" s="1"/>
  <c r="L125" i="18"/>
  <c r="T287" i="18"/>
  <c r="Z288" i="18"/>
  <c r="R19" i="9"/>
  <c r="J31" i="9"/>
  <c r="J43" i="9"/>
  <c r="J53" i="9"/>
  <c r="N271" i="12"/>
  <c r="H270" i="12"/>
  <c r="L278" i="12"/>
  <c r="N278" i="12" s="1"/>
  <c r="H12" i="15"/>
  <c r="D12" i="15"/>
  <c r="Z25" i="15"/>
  <c r="X27" i="15"/>
  <c r="Z41" i="15"/>
  <c r="X43" i="15"/>
  <c r="Z57" i="15"/>
  <c r="X59" i="15"/>
  <c r="Z59" i="15" s="1"/>
  <c r="Z73" i="15"/>
  <c r="X75" i="15"/>
  <c r="Z232" i="15"/>
  <c r="X232" i="15"/>
  <c r="D12" i="18"/>
  <c r="L13" i="18"/>
  <c r="Z45" i="18"/>
  <c r="Z113" i="18"/>
  <c r="Z198" i="18"/>
  <c r="N15" i="15"/>
  <c r="Z18" i="15"/>
  <c r="X18" i="15"/>
  <c r="X20" i="15"/>
  <c r="Z20" i="15" s="1"/>
  <c r="N22" i="15"/>
  <c r="Z27" i="15"/>
  <c r="N31" i="15"/>
  <c r="X34" i="15"/>
  <c r="Z34" i="15" s="1"/>
  <c r="X36" i="15"/>
  <c r="Z36" i="15" s="1"/>
  <c r="N38" i="15"/>
  <c r="Z43" i="15"/>
  <c r="N47" i="15"/>
  <c r="Z50" i="15"/>
  <c r="X50" i="15"/>
  <c r="X52" i="15"/>
  <c r="Z52" i="15" s="1"/>
  <c r="N63" i="15"/>
  <c r="X68" i="15"/>
  <c r="Z68" i="15" s="1"/>
  <c r="Z75" i="15"/>
  <c r="N91" i="15"/>
  <c r="Z94" i="15"/>
  <c r="N98" i="15"/>
  <c r="X107" i="15"/>
  <c r="Z107" i="15" s="1"/>
  <c r="L114" i="15"/>
  <c r="X117" i="15"/>
  <c r="Z117" i="15" s="1"/>
  <c r="Z183" i="15"/>
  <c r="N198" i="15"/>
  <c r="Z208" i="15"/>
  <c r="X208" i="15"/>
  <c r="N237" i="15"/>
  <c r="H12" i="18"/>
  <c r="N13" i="18"/>
  <c r="L17" i="18"/>
  <c r="Z30" i="18"/>
  <c r="L89" i="18"/>
  <c r="N89" i="18" s="1"/>
  <c r="Z32" i="21"/>
  <c r="X116" i="18"/>
  <c r="N243" i="18"/>
  <c r="N266" i="18"/>
  <c r="Z291" i="18"/>
  <c r="L13" i="21"/>
  <c r="N13" i="21" s="1"/>
  <c r="X32" i="21"/>
  <c r="F36" i="21"/>
  <c r="F40" i="21"/>
  <c r="F46" i="21"/>
  <c r="F67" i="21"/>
  <c r="X75" i="21"/>
  <c r="F91" i="21"/>
  <c r="D12" i="27"/>
  <c r="L13" i="27"/>
  <c r="X27" i="27"/>
  <c r="Z27" i="27" s="1"/>
  <c r="T261" i="15"/>
  <c r="N115" i="18"/>
  <c r="N224" i="18"/>
  <c r="L232" i="18"/>
  <c r="N232" i="18" s="1"/>
  <c r="P12" i="21"/>
  <c r="X13" i="21"/>
  <c r="N17" i="21"/>
  <c r="L17" i="21"/>
  <c r="Z73" i="21"/>
  <c r="Z75" i="21"/>
  <c r="P12" i="24"/>
  <c r="H12" i="24"/>
  <c r="N14" i="24"/>
  <c r="L14" i="24"/>
  <c r="N18" i="24"/>
  <c r="L18" i="24"/>
  <c r="L22" i="24"/>
  <c r="N22" i="24" s="1"/>
  <c r="N92" i="27"/>
  <c r="L92" i="27"/>
  <c r="L17" i="30"/>
  <c r="D12" i="30"/>
  <c r="X112" i="18"/>
  <c r="Z112" i="18" s="1"/>
  <c r="L115" i="18"/>
  <c r="N131" i="18"/>
  <c r="Z132" i="18"/>
  <c r="X222" i="18"/>
  <c r="Z222" i="18" s="1"/>
  <c r="L236" i="18"/>
  <c r="N236" i="18" s="1"/>
  <c r="N254" i="18"/>
  <c r="X266" i="18"/>
  <c r="Z266" i="18" s="1"/>
  <c r="T12" i="21"/>
  <c r="Z13" i="21"/>
  <c r="X15" i="21"/>
  <c r="Z15" i="21" s="1"/>
  <c r="X17" i="21"/>
  <c r="L26" i="21"/>
  <c r="N26" i="21" s="1"/>
  <c r="N42" i="21"/>
  <c r="F44" i="21"/>
  <c r="X55" i="21"/>
  <c r="N69" i="21"/>
  <c r="F81" i="21"/>
  <c r="F107" i="21"/>
  <c r="Z30" i="24"/>
  <c r="N43" i="24"/>
  <c r="L43" i="24"/>
  <c r="N47" i="24"/>
  <c r="L47" i="24"/>
  <c r="N51" i="24"/>
  <c r="L51" i="24"/>
  <c r="N55" i="24"/>
  <c r="L55" i="24"/>
  <c r="P12" i="27"/>
  <c r="X13" i="27"/>
  <c r="Z13" i="27" s="1"/>
  <c r="N111" i="18"/>
  <c r="Z224" i="18"/>
  <c r="N280" i="18"/>
  <c r="N21" i="21"/>
  <c r="L21" i="21"/>
  <c r="Z55" i="21"/>
  <c r="L39" i="24"/>
  <c r="N39" i="24" s="1"/>
  <c r="V78" i="33"/>
  <c r="V70" i="33"/>
  <c r="V102" i="33"/>
  <c r="V94" i="33"/>
  <c r="V88" i="33"/>
  <c r="V76" i="33"/>
  <c r="V92" i="33"/>
  <c r="V90" i="33"/>
  <c r="V85" i="33"/>
  <c r="V82" i="33"/>
  <c r="V77" i="33"/>
  <c r="V67" i="33"/>
  <c r="V39" i="33"/>
  <c r="V35" i="33"/>
  <c r="V66" i="33"/>
  <c r="V58" i="33"/>
  <c r="V54" i="33"/>
  <c r="V53" i="33"/>
  <c r="V49" i="33"/>
  <c r="V45" i="33"/>
  <c r="V93" i="33"/>
  <c r="V87" i="33"/>
  <c r="V79" i="33"/>
  <c r="V73" i="33"/>
  <c r="V69" i="33"/>
  <c r="V44" i="33"/>
  <c r="V42" i="33"/>
  <c r="V40" i="33"/>
  <c r="V36" i="33"/>
  <c r="V86" i="33"/>
  <c r="V83" i="33"/>
  <c r="V74" i="33"/>
  <c r="V68" i="33"/>
  <c r="V59" i="33"/>
  <c r="V55" i="33"/>
  <c r="T42" i="33"/>
  <c r="V95" i="33"/>
  <c r="V50" i="33"/>
  <c r="V46" i="33"/>
  <c r="V61" i="33"/>
  <c r="V37" i="33"/>
  <c r="V97" i="33"/>
  <c r="V96" i="33"/>
  <c r="V89" i="33"/>
  <c r="V80" i="33"/>
  <c r="V60" i="33"/>
  <c r="V56" i="33"/>
  <c r="Z12" i="33"/>
  <c r="V98" i="33"/>
  <c r="V84" i="33"/>
  <c r="V81" i="33"/>
  <c r="V75" i="33"/>
  <c r="V63" i="33"/>
  <c r="V51" i="33"/>
  <c r="V47" i="33"/>
  <c r="V72" i="33"/>
  <c r="V71" i="33"/>
  <c r="V65" i="33"/>
  <c r="V57" i="33"/>
  <c r="V52" i="33"/>
  <c r="V62" i="33"/>
  <c r="V64" i="33"/>
  <c r="V48" i="33"/>
  <c r="V38" i="33"/>
  <c r="Z83" i="36"/>
  <c r="X13" i="18"/>
  <c r="X17" i="18"/>
  <c r="X21" i="18"/>
  <c r="X25" i="18"/>
  <c r="X29" i="18"/>
  <c r="Z29" i="18" s="1"/>
  <c r="X33" i="18"/>
  <c r="Z33" i="18" s="1"/>
  <c r="X37" i="18"/>
  <c r="X41" i="18"/>
  <c r="X45" i="18"/>
  <c r="X49" i="18"/>
  <c r="Z49" i="18" s="1"/>
  <c r="X53" i="18"/>
  <c r="Z53" i="18" s="1"/>
  <c r="X57" i="18"/>
  <c r="Z57" i="18" s="1"/>
  <c r="X61" i="18"/>
  <c r="X65" i="18"/>
  <c r="X69" i="18"/>
  <c r="Z69" i="18" s="1"/>
  <c r="X73" i="18"/>
  <c r="X77" i="18"/>
  <c r="X81" i="18"/>
  <c r="Z81" i="18" s="1"/>
  <c r="X85" i="18"/>
  <c r="X89" i="18"/>
  <c r="Z89" i="18" s="1"/>
  <c r="X93" i="18"/>
  <c r="X97" i="18"/>
  <c r="Z97" i="18" s="1"/>
  <c r="X101" i="18"/>
  <c r="X105" i="18"/>
  <c r="Z105" i="18" s="1"/>
  <c r="L111" i="18"/>
  <c r="X122" i="18"/>
  <c r="Z122" i="18" s="1"/>
  <c r="X125" i="18"/>
  <c r="X224" i="18"/>
  <c r="L298" i="18"/>
  <c r="N298" i="18" s="1"/>
  <c r="F111" i="21"/>
  <c r="F97" i="21"/>
  <c r="F93" i="21"/>
  <c r="F65" i="21"/>
  <c r="F64" i="21"/>
  <c r="F41" i="21"/>
  <c r="F37" i="21"/>
  <c r="F88" i="21"/>
  <c r="F76" i="21"/>
  <c r="F75" i="21"/>
  <c r="F56" i="21"/>
  <c r="F55" i="21"/>
  <c r="F28" i="21"/>
  <c r="F99" i="21"/>
  <c r="F98" i="21"/>
  <c r="F83" i="21"/>
  <c r="F47" i="21"/>
  <c r="F43" i="21"/>
  <c r="F42" i="21"/>
  <c r="F94" i="21"/>
  <c r="F90" i="21"/>
  <c r="F89" i="21"/>
  <c r="F66" i="21"/>
  <c r="F38" i="21"/>
  <c r="F34" i="21"/>
  <c r="F33" i="21"/>
  <c r="F101" i="21"/>
  <c r="F100" i="21"/>
  <c r="F77" i="21"/>
  <c r="F57" i="21"/>
  <c r="F32" i="21"/>
  <c r="F30" i="21"/>
  <c r="F78" i="21"/>
  <c r="F70" i="21"/>
  <c r="F69" i="21"/>
  <c r="F50" i="21"/>
  <c r="F49" i="21"/>
  <c r="F105" i="21"/>
  <c r="F104" i="21"/>
  <c r="F85" i="21"/>
  <c r="F61" i="21"/>
  <c r="F60" i="21"/>
  <c r="F45" i="21"/>
  <c r="F87" i="21"/>
  <c r="F86" i="21"/>
  <c r="F63" i="21"/>
  <c r="F62" i="21"/>
  <c r="F27" i="21"/>
  <c r="F26" i="21"/>
  <c r="N49" i="21"/>
  <c r="F102" i="21"/>
  <c r="L35" i="24"/>
  <c r="N35" i="24" s="1"/>
  <c r="Z43" i="24"/>
  <c r="Z47" i="24"/>
  <c r="Z51" i="24"/>
  <c r="N86" i="24"/>
  <c r="Z13" i="18"/>
  <c r="N107" i="18"/>
  <c r="L114" i="18"/>
  <c r="N127" i="18"/>
  <c r="Z128" i="18"/>
  <c r="N263" i="18"/>
  <c r="L292" i="18"/>
  <c r="Z293" i="18"/>
  <c r="Z21" i="21"/>
  <c r="F51" i="21"/>
  <c r="F54" i="21"/>
  <c r="F58" i="21"/>
  <c r="F92" i="21"/>
  <c r="N27" i="24"/>
  <c r="L27" i="24"/>
  <c r="L31" i="24"/>
  <c r="N31" i="24" s="1"/>
  <c r="Z39" i="24"/>
  <c r="L86" i="24"/>
  <c r="N104" i="24"/>
  <c r="L24" i="27"/>
  <c r="N24" i="27" s="1"/>
  <c r="V143" i="30"/>
  <c r="V135" i="30"/>
  <c r="V131" i="30"/>
  <c r="V123" i="30"/>
  <c r="V107" i="30"/>
  <c r="V83" i="30"/>
  <c r="V79" i="30"/>
  <c r="V75" i="30"/>
  <c r="V130" i="30"/>
  <c r="V118" i="30"/>
  <c r="V106" i="30"/>
  <c r="V98" i="30"/>
  <c r="V74" i="30"/>
  <c r="V72" i="30"/>
  <c r="V70" i="30"/>
  <c r="V66" i="30"/>
  <c r="V62" i="30"/>
  <c r="V58" i="30"/>
  <c r="V54" i="30"/>
  <c r="V50" i="30"/>
  <c r="V46" i="30"/>
  <c r="V145" i="30"/>
  <c r="V125" i="30"/>
  <c r="V109" i="30"/>
  <c r="V89" i="30"/>
  <c r="V85" i="30"/>
  <c r="T72" i="30"/>
  <c r="V144" i="30"/>
  <c r="V136" i="30"/>
  <c r="V132" i="30"/>
  <c r="V108" i="30"/>
  <c r="V100" i="30"/>
  <c r="V80" i="30"/>
  <c r="V76" i="30"/>
  <c r="V149" i="30"/>
  <c r="V119" i="30"/>
  <c r="V111" i="30"/>
  <c r="V99" i="30"/>
  <c r="V91" i="30"/>
  <c r="V67" i="30"/>
  <c r="V63" i="30"/>
  <c r="V59" i="30"/>
  <c r="V55" i="30"/>
  <c r="V51" i="30"/>
  <c r="V47" i="30"/>
  <c r="V148" i="30"/>
  <c r="V146" i="30"/>
  <c r="V138" i="30"/>
  <c r="V126" i="30"/>
  <c r="V110" i="30"/>
  <c r="V102" i="30"/>
  <c r="V90" i="30"/>
  <c r="V86" i="30"/>
  <c r="V137" i="30"/>
  <c r="V133" i="30"/>
  <c r="V121" i="30"/>
  <c r="V113" i="30"/>
  <c r="V140" i="30"/>
  <c r="V128" i="30"/>
  <c r="V120" i="30"/>
  <c r="V112" i="30"/>
  <c r="V104" i="30"/>
  <c r="V92" i="30"/>
  <c r="V68" i="30"/>
  <c r="V64" i="30"/>
  <c r="V60" i="30"/>
  <c r="V56" i="30"/>
  <c r="V52" i="30"/>
  <c r="V48" i="30"/>
  <c r="V153" i="30"/>
  <c r="V139" i="30"/>
  <c r="V127" i="30"/>
  <c r="V115" i="30"/>
  <c r="V103" i="30"/>
  <c r="V95" i="30"/>
  <c r="V87" i="30"/>
  <c r="V141" i="30"/>
  <c r="V129" i="30"/>
  <c r="V117" i="30"/>
  <c r="V105" i="30"/>
  <c r="V97" i="30"/>
  <c r="V69" i="30"/>
  <c r="V65" i="30"/>
  <c r="V61" i="30"/>
  <c r="V57" i="30"/>
  <c r="V53" i="30"/>
  <c r="V49" i="30"/>
  <c r="V142" i="30"/>
  <c r="V134" i="30"/>
  <c r="V96" i="30"/>
  <c r="V94" i="30"/>
  <c r="V88" i="30"/>
  <c r="V116" i="30"/>
  <c r="V81" i="30"/>
  <c r="V78" i="30"/>
  <c r="V122" i="30"/>
  <c r="V101" i="30"/>
  <c r="V93" i="30"/>
  <c r="V124" i="30"/>
  <c r="V77" i="30"/>
  <c r="V82" i="30"/>
  <c r="V84" i="30"/>
  <c r="D12" i="33"/>
  <c r="L208" i="15"/>
  <c r="L232" i="15"/>
  <c r="N232" i="15" s="1"/>
  <c r="X258" i="15"/>
  <c r="X264" i="15"/>
  <c r="Z264" i="15" s="1"/>
  <c r="L270" i="15"/>
  <c r="N198" i="18"/>
  <c r="X232" i="18"/>
  <c r="Z232" i="18" s="1"/>
  <c r="Z254" i="18"/>
  <c r="Z258" i="18"/>
  <c r="X280" i="18"/>
  <c r="Z280" i="18" s="1"/>
  <c r="L297" i="18"/>
  <c r="Z298" i="18"/>
  <c r="N18" i="21"/>
  <c r="D30" i="21"/>
  <c r="F35" i="21"/>
  <c r="F39" i="21"/>
  <c r="N58" i="21"/>
  <c r="N64" i="21"/>
  <c r="F80" i="21"/>
  <c r="N15" i="24"/>
  <c r="L15" i="24"/>
  <c r="L19" i="24"/>
  <c r="N19" i="24" s="1"/>
  <c r="N23" i="24"/>
  <c r="L23" i="24"/>
  <c r="X33" i="24"/>
  <c r="Z33" i="24" s="1"/>
  <c r="Z35" i="24"/>
  <c r="X102" i="24"/>
  <c r="Z106" i="24"/>
  <c r="N20" i="27"/>
  <c r="N16" i="21"/>
  <c r="Z102" i="24"/>
  <c r="Z104" i="24"/>
  <c r="Z81" i="33"/>
  <c r="X58" i="15"/>
  <c r="X62" i="15"/>
  <c r="Z62" i="15" s="1"/>
  <c r="X66" i="15"/>
  <c r="Z66" i="15" s="1"/>
  <c r="X70" i="15"/>
  <c r="X74" i="15"/>
  <c r="Z74" i="15" s="1"/>
  <c r="X78" i="15"/>
  <c r="X82" i="15"/>
  <c r="Z82" i="15" s="1"/>
  <c r="X86" i="15"/>
  <c r="Z86" i="15" s="1"/>
  <c r="X90" i="15"/>
  <c r="Z90" i="15" s="1"/>
  <c r="X94" i="15"/>
  <c r="X98" i="15"/>
  <c r="Z98" i="15" s="1"/>
  <c r="X102" i="15"/>
  <c r="X106" i="15"/>
  <c r="X110" i="15"/>
  <c r="X114" i="15"/>
  <c r="L113" i="18"/>
  <c r="N113" i="18" s="1"/>
  <c r="L120" i="18"/>
  <c r="X198" i="18"/>
  <c r="Z292" i="18"/>
  <c r="X292" i="18"/>
  <c r="H12" i="21"/>
  <c r="L12" i="21" s="1"/>
  <c r="L16" i="21"/>
  <c r="Z58" i="21"/>
  <c r="X64" i="21"/>
  <c r="F68" i="21"/>
  <c r="F84" i="21"/>
  <c r="X102" i="21"/>
  <c r="Z15" i="24"/>
  <c r="Z19" i="24"/>
  <c r="Z23" i="24"/>
  <c r="X104" i="24"/>
  <c r="P119" i="27"/>
  <c r="X119" i="27" s="1"/>
  <c r="Z209" i="18"/>
  <c r="N20" i="21"/>
  <c r="F53" i="21"/>
  <c r="X58" i="21"/>
  <c r="F95" i="21"/>
  <c r="T12" i="24"/>
  <c r="N36" i="24"/>
  <c r="N46" i="24"/>
  <c r="N115" i="24"/>
  <c r="X119" i="24"/>
  <c r="Z103" i="27"/>
  <c r="F61" i="24"/>
  <c r="F65" i="24"/>
  <c r="F69" i="24"/>
  <c r="F73" i="24"/>
  <c r="F77" i="24"/>
  <c r="F81" i="24"/>
  <c r="F115" i="24"/>
  <c r="L117" i="24"/>
  <c r="F121" i="24"/>
  <c r="N13" i="27"/>
  <c r="Z16" i="27"/>
  <c r="N31" i="27"/>
  <c r="L33" i="27"/>
  <c r="Z36" i="27"/>
  <c r="T119" i="27"/>
  <c r="Z120" i="27"/>
  <c r="N122" i="27"/>
  <c r="P12" i="30"/>
  <c r="X13" i="30"/>
  <c r="N28" i="30"/>
  <c r="Z35" i="30"/>
  <c r="Z26" i="33"/>
  <c r="Z28" i="33"/>
  <c r="Z30" i="33"/>
  <c r="Z24" i="36"/>
  <c r="X83" i="36"/>
  <c r="N93" i="36"/>
  <c r="F99" i="24"/>
  <c r="F106" i="24"/>
  <c r="F107" i="24"/>
  <c r="Z111" i="24"/>
  <c r="F131" i="24"/>
  <c r="T12" i="27"/>
  <c r="N15" i="27"/>
  <c r="L17" i="27"/>
  <c r="L37" i="27"/>
  <c r="Z40" i="27"/>
  <c r="Z66" i="27"/>
  <c r="Z90" i="27"/>
  <c r="Z15" i="30"/>
  <c r="N32" i="30"/>
  <c r="Z39" i="30"/>
  <c r="N91" i="30"/>
  <c r="H148" i="30"/>
  <c r="N148" i="30" s="1"/>
  <c r="N149" i="30"/>
  <c r="J94" i="33"/>
  <c r="J90" i="33"/>
  <c r="J76" i="33"/>
  <c r="J80" i="33"/>
  <c r="J98" i="33"/>
  <c r="J97" i="33"/>
  <c r="J75" i="33"/>
  <c r="J61" i="33"/>
  <c r="J51" i="33"/>
  <c r="J47" i="33"/>
  <c r="J89" i="33"/>
  <c r="J81" i="33"/>
  <c r="J62" i="33"/>
  <c r="J38" i="33"/>
  <c r="J71" i="33"/>
  <c r="J63" i="33"/>
  <c r="J57" i="33"/>
  <c r="J72" i="33"/>
  <c r="J64" i="33"/>
  <c r="J52" i="33"/>
  <c r="J48" i="33"/>
  <c r="J85" i="33"/>
  <c r="J82" i="33"/>
  <c r="J77" i="33"/>
  <c r="J65" i="33"/>
  <c r="J39" i="33"/>
  <c r="J66" i="33"/>
  <c r="J58" i="33"/>
  <c r="J73" i="33"/>
  <c r="J67" i="33"/>
  <c r="J53" i="33"/>
  <c r="J49" i="33"/>
  <c r="J35" i="33"/>
  <c r="J86" i="33"/>
  <c r="J78" i="33"/>
  <c r="J68" i="33"/>
  <c r="J54" i="33"/>
  <c r="J40" i="33"/>
  <c r="J36" i="33"/>
  <c r="J102" i="33"/>
  <c r="J93" i="33"/>
  <c r="J83" i="33"/>
  <c r="J59" i="33"/>
  <c r="J55" i="33"/>
  <c r="J45" i="33"/>
  <c r="J88" i="33"/>
  <c r="J70" i="33"/>
  <c r="H42" i="33"/>
  <c r="J37" i="33"/>
  <c r="N15" i="33"/>
  <c r="N17" i="33"/>
  <c r="N19" i="33"/>
  <c r="N21" i="33"/>
  <c r="N23" i="33"/>
  <c r="N25" i="33"/>
  <c r="J60" i="33"/>
  <c r="Z33" i="36"/>
  <c r="Z93" i="36"/>
  <c r="X93" i="36"/>
  <c r="X18" i="42"/>
  <c r="Z18" i="42" s="1"/>
  <c r="F60" i="24"/>
  <c r="F64" i="24"/>
  <c r="F68" i="24"/>
  <c r="F72" i="24"/>
  <c r="F76" i="24"/>
  <c r="F80" i="24"/>
  <c r="Z141" i="24"/>
  <c r="X141" i="24"/>
  <c r="N17" i="27"/>
  <c r="Z33" i="27"/>
  <c r="Z92" i="27"/>
  <c r="X92" i="27"/>
  <c r="L36" i="30"/>
  <c r="N36" i="30" s="1"/>
  <c r="Z102" i="30"/>
  <c r="X102" i="30"/>
  <c r="N44" i="33"/>
  <c r="X15" i="36"/>
  <c r="Z15" i="36" s="1"/>
  <c r="L57" i="48"/>
  <c r="N57" i="48" s="1"/>
  <c r="N97" i="30"/>
  <c r="L26" i="24"/>
  <c r="L30" i="24"/>
  <c r="N30" i="24" s="1"/>
  <c r="L34" i="24"/>
  <c r="N34" i="24" s="1"/>
  <c r="L38" i="24"/>
  <c r="N38" i="24" s="1"/>
  <c r="L42" i="24"/>
  <c r="N42" i="24" s="1"/>
  <c r="L46" i="24"/>
  <c r="L50" i="24"/>
  <c r="L54" i="24"/>
  <c r="F119" i="24"/>
  <c r="Z15" i="27"/>
  <c r="Z17" i="27"/>
  <c r="N19" i="27"/>
  <c r="Z24" i="27"/>
  <c r="Z35" i="27"/>
  <c r="Z37" i="27"/>
  <c r="N41" i="27"/>
  <c r="X83" i="27"/>
  <c r="Z83" i="27" s="1"/>
  <c r="Z106" i="27"/>
  <c r="N14" i="30"/>
  <c r="Z21" i="30"/>
  <c r="N38" i="30"/>
  <c r="N109" i="30"/>
  <c r="L111" i="30"/>
  <c r="N111" i="30" s="1"/>
  <c r="Z115" i="30"/>
  <c r="X117" i="30"/>
  <c r="Z117" i="30" s="1"/>
  <c r="Z149" i="30"/>
  <c r="Z15" i="33"/>
  <c r="N69" i="33"/>
  <c r="L92" i="33"/>
  <c r="R102" i="39"/>
  <c r="R50" i="39"/>
  <c r="R46" i="39"/>
  <c r="R125" i="39"/>
  <c r="R117" i="39"/>
  <c r="R113" i="39"/>
  <c r="R90" i="39"/>
  <c r="R89" i="39"/>
  <c r="R70" i="39"/>
  <c r="R69" i="39"/>
  <c r="R62" i="39"/>
  <c r="R61" i="39"/>
  <c r="R42" i="39"/>
  <c r="R37" i="39"/>
  <c r="R109" i="39"/>
  <c r="R108" i="39"/>
  <c r="R97" i="39"/>
  <c r="R96" i="39"/>
  <c r="R81" i="39"/>
  <c r="R80" i="39"/>
  <c r="R56" i="39"/>
  <c r="R41" i="39"/>
  <c r="R39" i="39"/>
  <c r="R103" i="39"/>
  <c r="R92" i="39"/>
  <c r="R91" i="39"/>
  <c r="R72" i="39"/>
  <c r="R71" i="39"/>
  <c r="R64" i="39"/>
  <c r="R63" i="39"/>
  <c r="R52" i="39"/>
  <c r="R51" i="39"/>
  <c r="R47" i="39"/>
  <c r="R43" i="39"/>
  <c r="P39" i="39"/>
  <c r="R126" i="39"/>
  <c r="R118" i="39"/>
  <c r="R114" i="39"/>
  <c r="R110" i="39"/>
  <c r="R98" i="39"/>
  <c r="R82" i="39"/>
  <c r="R93" i="39"/>
  <c r="R74" i="39"/>
  <c r="R73" i="39"/>
  <c r="R66" i="39"/>
  <c r="R65" i="39"/>
  <c r="R57" i="39"/>
  <c r="R53" i="39"/>
  <c r="R104" i="39"/>
  <c r="R48" i="39"/>
  <c r="R44" i="39"/>
  <c r="R134" i="39"/>
  <c r="R128" i="39"/>
  <c r="R127" i="39"/>
  <c r="R120" i="39"/>
  <c r="R119" i="39"/>
  <c r="R115" i="39"/>
  <c r="R111" i="39"/>
  <c r="R100" i="39"/>
  <c r="R99" i="39"/>
  <c r="R84" i="39"/>
  <c r="R83" i="39"/>
  <c r="R76" i="39"/>
  <c r="R75" i="39"/>
  <c r="R67" i="39"/>
  <c r="R133" i="39"/>
  <c r="R94" i="39"/>
  <c r="R58" i="39"/>
  <c r="R54" i="39"/>
  <c r="R35" i="39"/>
  <c r="R138" i="39"/>
  <c r="R131" i="39"/>
  <c r="R116" i="39"/>
  <c r="R112" i="39"/>
  <c r="R68" i="39"/>
  <c r="R36" i="39"/>
  <c r="R121" i="39"/>
  <c r="R77" i="39"/>
  <c r="R60" i="39"/>
  <c r="R95" i="39"/>
  <c r="R87" i="39"/>
  <c r="R49" i="39"/>
  <c r="R106" i="39"/>
  <c r="R55" i="39"/>
  <c r="R85" i="39"/>
  <c r="R132" i="39"/>
  <c r="R129" i="39"/>
  <c r="R124" i="39"/>
  <c r="R122" i="39"/>
  <c r="R78" i="39"/>
  <c r="R59" i="39"/>
  <c r="R101" i="39"/>
  <c r="R88" i="39"/>
  <c r="R86" i="39"/>
  <c r="R107" i="39"/>
  <c r="R123" i="39"/>
  <c r="R105" i="39"/>
  <c r="R79" i="39"/>
  <c r="R45" i="39"/>
  <c r="H287" i="18"/>
  <c r="F59" i="24"/>
  <c r="F63" i="24"/>
  <c r="F67" i="24"/>
  <c r="F71" i="24"/>
  <c r="F75" i="24"/>
  <c r="F79" i="24"/>
  <c r="F102" i="24"/>
  <c r="F103" i="24"/>
  <c r="X109" i="24"/>
  <c r="Z109" i="24" s="1"/>
  <c r="F112" i="24"/>
  <c r="L113" i="24"/>
  <c r="F123" i="24"/>
  <c r="N133" i="24"/>
  <c r="L133" i="24"/>
  <c r="N21" i="27"/>
  <c r="N97" i="27"/>
  <c r="L97" i="27"/>
  <c r="H12" i="30"/>
  <c r="Z23" i="30"/>
  <c r="N40" i="30"/>
  <c r="Z91" i="30"/>
  <c r="Z97" i="30"/>
  <c r="Z44" i="33"/>
  <c r="F88" i="24"/>
  <c r="F92" i="24"/>
  <c r="F111" i="24"/>
  <c r="F130" i="24"/>
  <c r="H12" i="27"/>
  <c r="N23" i="27"/>
  <c r="Z28" i="27"/>
  <c r="L32" i="27"/>
  <c r="N32" i="27" s="1"/>
  <c r="Z39" i="27"/>
  <c r="Z41" i="27"/>
  <c r="N18" i="30"/>
  <c r="Z25" i="30"/>
  <c r="N42" i="30"/>
  <c r="X97" i="30"/>
  <c r="Z109" i="30"/>
  <c r="H12" i="36"/>
  <c r="L14" i="36"/>
  <c r="N14" i="36" s="1"/>
  <c r="X17" i="39"/>
  <c r="Z17" i="39" s="1"/>
  <c r="D83" i="24"/>
  <c r="F83" i="24" s="1"/>
  <c r="F96" i="24"/>
  <c r="F97" i="24"/>
  <c r="F101" i="24"/>
  <c r="F118" i="24"/>
  <c r="X133" i="24"/>
  <c r="X140" i="24"/>
  <c r="Z19" i="27"/>
  <c r="Z21" i="27"/>
  <c r="N25" i="27"/>
  <c r="D119" i="27"/>
  <c r="L119" i="27" s="1"/>
  <c r="N119" i="27" s="1"/>
  <c r="N20" i="30"/>
  <c r="Z27" i="30"/>
  <c r="L45" i="33"/>
  <c r="N45" i="33" s="1"/>
  <c r="N61" i="33"/>
  <c r="N74" i="33"/>
  <c r="N93" i="33"/>
  <c r="H92" i="33"/>
  <c r="J92" i="33" s="1"/>
  <c r="N18" i="36"/>
  <c r="N27" i="36"/>
  <c r="X16" i="21"/>
  <c r="Z16" i="21" s="1"/>
  <c r="X20" i="21"/>
  <c r="Z20" i="21" s="1"/>
  <c r="X24" i="21"/>
  <c r="Z24" i="21" s="1"/>
  <c r="F136" i="24"/>
  <c r="F135" i="24"/>
  <c r="F128" i="24"/>
  <c r="F138" i="24"/>
  <c r="F137" i="24"/>
  <c r="F114" i="24"/>
  <c r="F113" i="24"/>
  <c r="F125" i="24"/>
  <c r="F124" i="24"/>
  <c r="X14" i="24"/>
  <c r="Z14" i="24" s="1"/>
  <c r="X18" i="24"/>
  <c r="Z18" i="24" s="1"/>
  <c r="X22" i="24"/>
  <c r="Z22" i="24" s="1"/>
  <c r="X26" i="24"/>
  <c r="X30" i="24"/>
  <c r="X34" i="24"/>
  <c r="Z34" i="24" s="1"/>
  <c r="X38" i="24"/>
  <c r="Z38" i="24" s="1"/>
  <c r="X42" i="24"/>
  <c r="Z42" i="24" s="1"/>
  <c r="X46" i="24"/>
  <c r="X50" i="24"/>
  <c r="X54" i="24"/>
  <c r="F57" i="24"/>
  <c r="F58" i="24"/>
  <c r="F62" i="24"/>
  <c r="F66" i="24"/>
  <c r="F70" i="24"/>
  <c r="F74" i="24"/>
  <c r="F78" i="24"/>
  <c r="F85" i="24"/>
  <c r="F109" i="24"/>
  <c r="F110" i="24"/>
  <c r="F117" i="24"/>
  <c r="F132" i="24"/>
  <c r="L84" i="30"/>
  <c r="N84" i="30" s="1"/>
  <c r="Z138" i="30"/>
  <c r="Z87" i="33"/>
  <c r="V125" i="36"/>
  <c r="V115" i="36"/>
  <c r="V99" i="36"/>
  <c r="V87" i="36"/>
  <c r="V79" i="36"/>
  <c r="V67" i="36"/>
  <c r="V59" i="36"/>
  <c r="V27" i="36"/>
  <c r="V124" i="36"/>
  <c r="V122" i="36"/>
  <c r="V114" i="36"/>
  <c r="V98" i="36"/>
  <c r="V94" i="36"/>
  <c r="V78" i="36"/>
  <c r="V70" i="36"/>
  <c r="V50" i="36"/>
  <c r="V46" i="36"/>
  <c r="V131" i="36"/>
  <c r="V117" i="36"/>
  <c r="V109" i="36"/>
  <c r="V105" i="36"/>
  <c r="V81" i="36"/>
  <c r="V69" i="36"/>
  <c r="V41" i="36"/>
  <c r="V37" i="36"/>
  <c r="V116" i="36"/>
  <c r="V100" i="36"/>
  <c r="V88" i="36"/>
  <c r="V80" i="36"/>
  <c r="V72" i="36"/>
  <c r="V60" i="36"/>
  <c r="V52" i="36"/>
  <c r="V28" i="36"/>
  <c r="V95" i="36"/>
  <c r="V83" i="36"/>
  <c r="V71" i="36"/>
  <c r="V51" i="36"/>
  <c r="V47" i="36"/>
  <c r="V118" i="36"/>
  <c r="V110" i="36"/>
  <c r="V106" i="36"/>
  <c r="V102" i="36"/>
  <c r="V96" i="36"/>
  <c r="V84" i="36"/>
  <c r="V64" i="36"/>
  <c r="V56" i="36"/>
  <c r="V48" i="36"/>
  <c r="V44" i="36"/>
  <c r="T31" i="36"/>
  <c r="V31" i="36" s="1"/>
  <c r="V119" i="36"/>
  <c r="V111" i="36"/>
  <c r="V107" i="36"/>
  <c r="V103" i="36"/>
  <c r="V91" i="36"/>
  <c r="V75" i="36"/>
  <c r="V63" i="36"/>
  <c r="V55" i="36"/>
  <c r="V43" i="36"/>
  <c r="V39" i="36"/>
  <c r="V35" i="36"/>
  <c r="V127" i="36"/>
  <c r="V121" i="36"/>
  <c r="V113" i="36"/>
  <c r="V97" i="36"/>
  <c r="V93" i="36"/>
  <c r="V77" i="36"/>
  <c r="V65" i="36"/>
  <c r="V57" i="36"/>
  <c r="V49" i="36"/>
  <c r="V45" i="36"/>
  <c r="V120" i="36"/>
  <c r="V101" i="36"/>
  <c r="V66" i="36"/>
  <c r="V38" i="36"/>
  <c r="V90" i="36"/>
  <c r="V68" i="36"/>
  <c r="V42" i="36"/>
  <c r="V36" i="36"/>
  <c r="V86" i="36"/>
  <c r="V61" i="36"/>
  <c r="V40" i="36"/>
  <c r="V73" i="36"/>
  <c r="V58" i="36"/>
  <c r="V126" i="36"/>
  <c r="V92" i="36"/>
  <c r="V53" i="36"/>
  <c r="V82" i="36"/>
  <c r="V62" i="36"/>
  <c r="V29" i="36"/>
  <c r="V104" i="36"/>
  <c r="V85" i="36"/>
  <c r="V54" i="36"/>
  <c r="V33" i="36"/>
  <c r="V108" i="36"/>
  <c r="F86" i="24"/>
  <c r="F87" i="24"/>
  <c r="F91" i="24"/>
  <c r="F95" i="24"/>
  <c r="F122" i="24"/>
  <c r="F129" i="24"/>
  <c r="Z133" i="24"/>
  <c r="L141" i="24"/>
  <c r="D140" i="24"/>
  <c r="L140" i="24" s="1"/>
  <c r="Z23" i="27"/>
  <c r="Z25" i="27"/>
  <c r="Z32" i="27"/>
  <c r="L66" i="27"/>
  <c r="N66" i="27" s="1"/>
  <c r="L90" i="27"/>
  <c r="N90" i="27" s="1"/>
  <c r="L120" i="27"/>
  <c r="N120" i="27" s="1"/>
  <c r="N24" i="30"/>
  <c r="Z31" i="30"/>
  <c r="L145" i="30"/>
  <c r="N145" i="30" s="1"/>
  <c r="X16" i="33"/>
  <c r="X20" i="33"/>
  <c r="Z20" i="33" s="1"/>
  <c r="X24" i="33"/>
  <c r="Z24" i="33" s="1"/>
  <c r="X65" i="33"/>
  <c r="Z65" i="33" s="1"/>
  <c r="Z76" i="33"/>
  <c r="X81" i="33"/>
  <c r="Z98" i="33"/>
  <c r="X54" i="36"/>
  <c r="Z54" i="36" s="1"/>
  <c r="V76" i="36"/>
  <c r="R96" i="33"/>
  <c r="R74" i="33"/>
  <c r="R73" i="33"/>
  <c r="R94" i="33"/>
  <c r="R38" i="33"/>
  <c r="R62" i="33"/>
  <c r="R63" i="33"/>
  <c r="R76" i="33"/>
  <c r="R81" i="33"/>
  <c r="R98" i="33"/>
  <c r="R43" i="36"/>
  <c r="R52" i="36"/>
  <c r="R65" i="36"/>
  <c r="R83" i="36"/>
  <c r="R110" i="36"/>
  <c r="Z127" i="36"/>
  <c r="T12" i="39"/>
  <c r="Z13" i="39"/>
  <c r="X13" i="39"/>
  <c r="Z15" i="39"/>
  <c r="N21" i="39"/>
  <c r="N41" i="39"/>
  <c r="Z81" i="39"/>
  <c r="Z131" i="39"/>
  <c r="N55" i="42"/>
  <c r="X12" i="33"/>
  <c r="R56" i="33"/>
  <c r="R60" i="33"/>
  <c r="R61" i="33"/>
  <c r="L69" i="33"/>
  <c r="R80" i="33"/>
  <c r="L87" i="33"/>
  <c r="N87" i="33" s="1"/>
  <c r="R88" i="33"/>
  <c r="Z17" i="36"/>
  <c r="Z22" i="36"/>
  <c r="R35" i="36"/>
  <c r="R56" i="36"/>
  <c r="N58" i="36"/>
  <c r="F71" i="36"/>
  <c r="Z72" i="36"/>
  <c r="F98" i="36"/>
  <c r="R106" i="36"/>
  <c r="L117" i="36"/>
  <c r="N117" i="36" s="1"/>
  <c r="N126" i="36"/>
  <c r="L126" i="36"/>
  <c r="N25" i="39"/>
  <c r="N27" i="39"/>
  <c r="N29" i="39"/>
  <c r="J41" i="42"/>
  <c r="J53" i="42"/>
  <c r="R37" i="33"/>
  <c r="R70" i="33"/>
  <c r="R95" i="33"/>
  <c r="X24" i="36"/>
  <c r="R49" i="36"/>
  <c r="F53" i="36"/>
  <c r="Z62" i="36"/>
  <c r="X62" i="36"/>
  <c r="L77" i="36"/>
  <c r="N77" i="36" s="1"/>
  <c r="R82" i="36"/>
  <c r="F121" i="36"/>
  <c r="X124" i="36"/>
  <c r="Z21" i="39"/>
  <c r="X21" i="39"/>
  <c r="Z23" i="39"/>
  <c r="Z41" i="39"/>
  <c r="F66" i="36"/>
  <c r="N68" i="36"/>
  <c r="L68" i="36"/>
  <c r="F73" i="36"/>
  <c r="F77" i="36"/>
  <c r="F94" i="36"/>
  <c r="X15" i="33"/>
  <c r="X19" i="33"/>
  <c r="Z19" i="33" s="1"/>
  <c r="X23" i="33"/>
  <c r="Z23" i="33" s="1"/>
  <c r="X27" i="33"/>
  <c r="X31" i="33"/>
  <c r="R42" i="33"/>
  <c r="R44" i="33"/>
  <c r="R79" i="33"/>
  <c r="R93" i="33"/>
  <c r="X94" i="33"/>
  <c r="F96" i="36"/>
  <c r="F84" i="36"/>
  <c r="F83" i="36"/>
  <c r="F48" i="36"/>
  <c r="L12" i="36"/>
  <c r="F119" i="36"/>
  <c r="F111" i="36"/>
  <c r="F107" i="36"/>
  <c r="F103" i="36"/>
  <c r="F102" i="36"/>
  <c r="F91" i="36"/>
  <c r="F90" i="36"/>
  <c r="F63" i="36"/>
  <c r="F62" i="36"/>
  <c r="F55" i="36"/>
  <c r="F54" i="36"/>
  <c r="F43" i="36"/>
  <c r="F39" i="36"/>
  <c r="F35" i="36"/>
  <c r="F34" i="36"/>
  <c r="F86" i="36"/>
  <c r="F85" i="36"/>
  <c r="F74" i="36"/>
  <c r="F33" i="36"/>
  <c r="F31" i="36"/>
  <c r="F97" i="36"/>
  <c r="F65" i="36"/>
  <c r="F64" i="36"/>
  <c r="F57" i="36"/>
  <c r="F56" i="36"/>
  <c r="F49" i="36"/>
  <c r="F45" i="36"/>
  <c r="F44" i="36"/>
  <c r="D31" i="36"/>
  <c r="F120" i="36"/>
  <c r="F112" i="36"/>
  <c r="F108" i="36"/>
  <c r="F104" i="36"/>
  <c r="F92" i="36"/>
  <c r="F76" i="36"/>
  <c r="F75" i="36"/>
  <c r="F40" i="36"/>
  <c r="F36" i="36"/>
  <c r="F131" i="36"/>
  <c r="F126" i="36"/>
  <c r="F109" i="36"/>
  <c r="F105" i="36"/>
  <c r="F69" i="36"/>
  <c r="F68" i="36"/>
  <c r="F41" i="36"/>
  <c r="F37" i="36"/>
  <c r="F125" i="36"/>
  <c r="F116" i="36"/>
  <c r="F115" i="36"/>
  <c r="F100" i="36"/>
  <c r="F99" i="36"/>
  <c r="F88" i="36"/>
  <c r="F80" i="36"/>
  <c r="F79" i="36"/>
  <c r="F60" i="36"/>
  <c r="F28" i="36"/>
  <c r="F27" i="36"/>
  <c r="F118" i="36"/>
  <c r="F117" i="36"/>
  <c r="F110" i="36"/>
  <c r="F106" i="36"/>
  <c r="F82" i="36"/>
  <c r="F81" i="36"/>
  <c r="F42" i="36"/>
  <c r="F38" i="36"/>
  <c r="Z14" i="36"/>
  <c r="X19" i="36"/>
  <c r="Z19" i="36" s="1"/>
  <c r="F61" i="36"/>
  <c r="F70" i="36"/>
  <c r="Z102" i="36"/>
  <c r="X102" i="36"/>
  <c r="X25" i="39"/>
  <c r="Z25" i="39" s="1"/>
  <c r="X29" i="39"/>
  <c r="Z29" i="39" s="1"/>
  <c r="X33" i="39"/>
  <c r="Z33" i="39" s="1"/>
  <c r="J113" i="42"/>
  <c r="J97" i="42"/>
  <c r="J85" i="42"/>
  <c r="J77" i="42"/>
  <c r="J67" i="42"/>
  <c r="J49" i="42"/>
  <c r="J45" i="42"/>
  <c r="J114" i="42"/>
  <c r="J92" i="42"/>
  <c r="J78" i="42"/>
  <c r="J68" i="42"/>
  <c r="J40" i="42"/>
  <c r="J36" i="42"/>
  <c r="J26" i="42"/>
  <c r="J115" i="42"/>
  <c r="J107" i="42"/>
  <c r="J103" i="42"/>
  <c r="J79" i="42"/>
  <c r="J69" i="42"/>
  <c r="J59" i="42"/>
  <c r="J27" i="42"/>
  <c r="J98" i="42"/>
  <c r="J86" i="42"/>
  <c r="J80" i="42"/>
  <c r="J70" i="42"/>
  <c r="J50" i="42"/>
  <c r="J46" i="42"/>
  <c r="J99" i="42"/>
  <c r="J93" i="42"/>
  <c r="J87" i="42"/>
  <c r="J81" i="42"/>
  <c r="J71" i="42"/>
  <c r="J51" i="42"/>
  <c r="J116" i="42"/>
  <c r="J108" i="42"/>
  <c r="J104" i="42"/>
  <c r="J100" i="42"/>
  <c r="J88" i="42"/>
  <c r="J94" i="42"/>
  <c r="J62" i="42"/>
  <c r="J54" i="42"/>
  <c r="J42" i="42"/>
  <c r="J38" i="42"/>
  <c r="J34" i="42"/>
  <c r="J32" i="42"/>
  <c r="J30" i="42"/>
  <c r="J117" i="42"/>
  <c r="J109" i="42"/>
  <c r="J105" i="42"/>
  <c r="J101" i="42"/>
  <c r="J89" i="42"/>
  <c r="J73" i="42"/>
  <c r="J63" i="42"/>
  <c r="J55" i="42"/>
  <c r="J43" i="42"/>
  <c r="H30" i="42"/>
  <c r="J123" i="42"/>
  <c r="J119" i="42"/>
  <c r="J111" i="42"/>
  <c r="J95" i="42"/>
  <c r="J91" i="42"/>
  <c r="J75" i="42"/>
  <c r="J65" i="42"/>
  <c r="J57" i="42"/>
  <c r="J39" i="42"/>
  <c r="J35" i="42"/>
  <c r="J112" i="42"/>
  <c r="J82" i="42"/>
  <c r="J66" i="42"/>
  <c r="J33" i="42"/>
  <c r="J84" i="42"/>
  <c r="J64" i="42"/>
  <c r="J58" i="42"/>
  <c r="J60" i="42"/>
  <c r="J124" i="42"/>
  <c r="J56" i="42"/>
  <c r="J52" i="42"/>
  <c r="J83" i="42"/>
  <c r="J76" i="42"/>
  <c r="J74" i="42"/>
  <c r="J102" i="42"/>
  <c r="J96" i="42"/>
  <c r="J48" i="42"/>
  <c r="J44" i="42"/>
  <c r="J122" i="42"/>
  <c r="J72" i="42"/>
  <c r="J61" i="42"/>
  <c r="J128" i="42"/>
  <c r="J118" i="42"/>
  <c r="J37" i="42"/>
  <c r="N14" i="45"/>
  <c r="X16" i="45"/>
  <c r="Z16" i="45" s="1"/>
  <c r="P12" i="45"/>
  <c r="L124" i="30"/>
  <c r="N124" i="30" s="1"/>
  <c r="X138" i="30"/>
  <c r="X148" i="30"/>
  <c r="Z148" i="30" s="1"/>
  <c r="R36" i="33"/>
  <c r="R40" i="33"/>
  <c r="R45" i="33"/>
  <c r="R78" i="33"/>
  <c r="P92" i="33"/>
  <c r="X92" i="33" s="1"/>
  <c r="Z92" i="33" s="1"/>
  <c r="Z94" i="33"/>
  <c r="P129" i="36"/>
  <c r="F50" i="36"/>
  <c r="R107" i="36"/>
  <c r="Z117" i="36"/>
  <c r="L125" i="36"/>
  <c r="N125" i="36" s="1"/>
  <c r="D124" i="36"/>
  <c r="N22" i="51"/>
  <c r="X91" i="30"/>
  <c r="L97" i="30"/>
  <c r="X111" i="30"/>
  <c r="Z111" i="30" s="1"/>
  <c r="L117" i="30"/>
  <c r="X149" i="30"/>
  <c r="L13" i="33"/>
  <c r="N13" i="33" s="1"/>
  <c r="R49" i="33"/>
  <c r="R53" i="33"/>
  <c r="R54" i="33"/>
  <c r="L65" i="33"/>
  <c r="N65" i="33" s="1"/>
  <c r="L13" i="36"/>
  <c r="N13" i="36" s="1"/>
  <c r="L18" i="36"/>
  <c r="R42" i="36"/>
  <c r="F46" i="36"/>
  <c r="X90" i="36"/>
  <c r="Z90" i="36" s="1"/>
  <c r="F101" i="36"/>
  <c r="Z115" i="36"/>
  <c r="X121" i="36"/>
  <c r="Z121" i="36" s="1"/>
  <c r="Z14" i="39"/>
  <c r="Z16" i="39"/>
  <c r="N42" i="39"/>
  <c r="Z124" i="39"/>
  <c r="J47" i="42"/>
  <c r="J90" i="42"/>
  <c r="J106" i="42"/>
  <c r="Z13" i="30"/>
  <c r="R35" i="33"/>
  <c r="R58" i="33"/>
  <c r="R66" i="33"/>
  <c r="R67" i="33"/>
  <c r="X87" i="33"/>
  <c r="R129" i="36"/>
  <c r="R127" i="36"/>
  <c r="R121" i="36"/>
  <c r="R120" i="36"/>
  <c r="R113" i="36"/>
  <c r="R112" i="36"/>
  <c r="R108" i="36"/>
  <c r="R104" i="36"/>
  <c r="R93" i="36"/>
  <c r="R92" i="36"/>
  <c r="R77" i="36"/>
  <c r="R76" i="36"/>
  <c r="R40" i="36"/>
  <c r="R36" i="36"/>
  <c r="R126" i="36"/>
  <c r="R87" i="36"/>
  <c r="R68" i="36"/>
  <c r="R67" i="36"/>
  <c r="R59" i="36"/>
  <c r="R125" i="36"/>
  <c r="R122" i="36"/>
  <c r="R115" i="36"/>
  <c r="R114" i="36"/>
  <c r="R99" i="36"/>
  <c r="R98" i="36"/>
  <c r="R94" i="36"/>
  <c r="R79" i="36"/>
  <c r="R78" i="36"/>
  <c r="R50" i="36"/>
  <c r="R46" i="36"/>
  <c r="R27" i="36"/>
  <c r="R131" i="36"/>
  <c r="R124" i="36"/>
  <c r="R109" i="36"/>
  <c r="R105" i="36"/>
  <c r="R70" i="36"/>
  <c r="R69" i="36"/>
  <c r="R41" i="36"/>
  <c r="R37" i="36"/>
  <c r="R117" i="36"/>
  <c r="R116" i="36"/>
  <c r="R100" i="36"/>
  <c r="R88" i="36"/>
  <c r="R81" i="36"/>
  <c r="R80" i="36"/>
  <c r="R60" i="36"/>
  <c r="R28" i="36"/>
  <c r="R102" i="36"/>
  <c r="R101" i="36"/>
  <c r="R90" i="36"/>
  <c r="R89" i="36"/>
  <c r="R73" i="36"/>
  <c r="R62" i="36"/>
  <c r="R61" i="36"/>
  <c r="R54" i="36"/>
  <c r="R53" i="36"/>
  <c r="R34" i="36"/>
  <c r="R29" i="36"/>
  <c r="R96" i="36"/>
  <c r="R85" i="36"/>
  <c r="R84" i="36"/>
  <c r="R48" i="36"/>
  <c r="R33" i="36"/>
  <c r="R31" i="36"/>
  <c r="X12" i="36"/>
  <c r="Z12" i="36" s="1"/>
  <c r="R86" i="36"/>
  <c r="R75" i="36"/>
  <c r="R74" i="36"/>
  <c r="N15" i="36"/>
  <c r="Z23" i="36"/>
  <c r="X31" i="36"/>
  <c r="R38" i="36"/>
  <c r="F52" i="36"/>
  <c r="F59" i="36"/>
  <c r="R63" i="36"/>
  <c r="X77" i="36"/>
  <c r="Z77" i="36" s="1"/>
  <c r="N99" i="36"/>
  <c r="R103" i="36"/>
  <c r="X113" i="36"/>
  <c r="Z113" i="36" s="1"/>
  <c r="D12" i="39"/>
  <c r="Z18" i="39"/>
  <c r="N60" i="39"/>
  <c r="Z74" i="39"/>
  <c r="Z97" i="39"/>
  <c r="R39" i="33"/>
  <c r="R77" i="33"/>
  <c r="R82" i="33"/>
  <c r="R85" i="33"/>
  <c r="F72" i="36"/>
  <c r="N83" i="36"/>
  <c r="F89" i="36"/>
  <c r="L93" i="36"/>
  <c r="F122" i="36"/>
  <c r="F127" i="36"/>
  <c r="N13" i="39"/>
  <c r="Z134" i="39"/>
  <c r="R48" i="33"/>
  <c r="R52" i="33"/>
  <c r="R64" i="33"/>
  <c r="R65" i="33"/>
  <c r="R72" i="33"/>
  <c r="R90" i="33"/>
  <c r="N96" i="33"/>
  <c r="Z18" i="36"/>
  <c r="Z25" i="36"/>
  <c r="N33" i="36"/>
  <c r="Z34" i="36"/>
  <c r="X34" i="36"/>
  <c r="F78" i="36"/>
  <c r="Z81" i="36"/>
  <c r="L83" i="36"/>
  <c r="N85" i="36"/>
  <c r="F93" i="36"/>
  <c r="F95" i="36"/>
  <c r="F114" i="36"/>
  <c r="T124" i="36"/>
  <c r="N127" i="36"/>
  <c r="L13" i="39"/>
  <c r="N15" i="39"/>
  <c r="N17" i="39"/>
  <c r="X26" i="39"/>
  <c r="Z26" i="39" s="1"/>
  <c r="X30" i="39"/>
  <c r="Z30" i="39" s="1"/>
  <c r="Z35" i="39"/>
  <c r="N131" i="39"/>
  <c r="X71" i="42"/>
  <c r="Z71" i="42" s="1"/>
  <c r="Z125" i="36"/>
  <c r="J67" i="39"/>
  <c r="J75" i="39"/>
  <c r="J83" i="39"/>
  <c r="J99" i="39"/>
  <c r="J111" i="39"/>
  <c r="J115" i="39"/>
  <c r="J119" i="39"/>
  <c r="J127" i="39"/>
  <c r="Z15" i="42"/>
  <c r="Z23" i="42"/>
  <c r="N51" i="42"/>
  <c r="L51" i="42"/>
  <c r="L55" i="42"/>
  <c r="N99" i="42"/>
  <c r="L20" i="45"/>
  <c r="N20" i="45" s="1"/>
  <c r="F60" i="45"/>
  <c r="Z28" i="51"/>
  <c r="X106" i="51"/>
  <c r="J53" i="39"/>
  <c r="J57" i="39"/>
  <c r="J65" i="39"/>
  <c r="J73" i="39"/>
  <c r="J93" i="39"/>
  <c r="N14" i="42"/>
  <c r="N22" i="42"/>
  <c r="Z33" i="42"/>
  <c r="Z51" i="42"/>
  <c r="N57" i="42"/>
  <c r="L63" i="42"/>
  <c r="N63" i="42" s="1"/>
  <c r="Z99" i="42"/>
  <c r="X112" i="42"/>
  <c r="Z112" i="42" s="1"/>
  <c r="Z118" i="42"/>
  <c r="F75" i="45"/>
  <c r="L106" i="51"/>
  <c r="H39" i="39"/>
  <c r="J52" i="39"/>
  <c r="J64" i="39"/>
  <c r="J72" i="39"/>
  <c r="J82" i="39"/>
  <c r="J92" i="39"/>
  <c r="J98" i="39"/>
  <c r="J110" i="39"/>
  <c r="J114" i="39"/>
  <c r="J118" i="39"/>
  <c r="J126" i="39"/>
  <c r="L15" i="45"/>
  <c r="L93" i="45"/>
  <c r="Z17" i="42"/>
  <c r="N65" i="42"/>
  <c r="F73" i="45"/>
  <c r="F68" i="45"/>
  <c r="F67" i="45"/>
  <c r="F56" i="45"/>
  <c r="F55" i="45"/>
  <c r="F44" i="45"/>
  <c r="F40" i="45"/>
  <c r="F91" i="45"/>
  <c r="F83" i="45"/>
  <c r="F79" i="45"/>
  <c r="F74" i="45"/>
  <c r="F58" i="45"/>
  <c r="F57" i="45"/>
  <c r="F46" i="45"/>
  <c r="F86" i="45"/>
  <c r="F85" i="45"/>
  <c r="F70" i="45"/>
  <c r="F62" i="45"/>
  <c r="F61" i="45"/>
  <c r="F50" i="45"/>
  <c r="F49" i="45"/>
  <c r="F42" i="45"/>
  <c r="F38" i="45"/>
  <c r="F37" i="45"/>
  <c r="F81" i="45"/>
  <c r="F77" i="45"/>
  <c r="F88" i="45"/>
  <c r="F71" i="45"/>
  <c r="F36" i="45"/>
  <c r="F53" i="45"/>
  <c r="F43" i="45"/>
  <c r="F22" i="45"/>
  <c r="F78" i="45"/>
  <c r="F76" i="45"/>
  <c r="F69" i="45"/>
  <c r="F64" i="45"/>
  <c r="F47" i="45"/>
  <c r="F80" i="45"/>
  <c r="F34" i="45"/>
  <c r="F31" i="45"/>
  <c r="F27" i="45"/>
  <c r="F89" i="45"/>
  <c r="F82" i="45"/>
  <c r="F72" i="45"/>
  <c r="F59" i="45"/>
  <c r="F28" i="45"/>
  <c r="F26" i="45"/>
  <c r="F84" i="45"/>
  <c r="F41" i="45"/>
  <c r="D24" i="45"/>
  <c r="F65" i="45"/>
  <c r="F54" i="45"/>
  <c r="F51" i="45"/>
  <c r="F48" i="45"/>
  <c r="F35" i="45"/>
  <c r="F32" i="45"/>
  <c r="F29" i="45"/>
  <c r="F87" i="45"/>
  <c r="F45" i="45"/>
  <c r="F93" i="45"/>
  <c r="F63" i="45"/>
  <c r="F52" i="45"/>
  <c r="F33" i="45"/>
  <c r="F21" i="45"/>
  <c r="F20" i="45"/>
  <c r="N15" i="45"/>
  <c r="J42" i="39"/>
  <c r="J62" i="39"/>
  <c r="J70" i="39"/>
  <c r="J80" i="39"/>
  <c r="J90" i="39"/>
  <c r="J96" i="39"/>
  <c r="J108" i="39"/>
  <c r="X17" i="42"/>
  <c r="L65" i="42"/>
  <c r="H12" i="45"/>
  <c r="J37" i="39"/>
  <c r="L42" i="39"/>
  <c r="J61" i="39"/>
  <c r="L62" i="39"/>
  <c r="N62" i="39" s="1"/>
  <c r="J69" i="39"/>
  <c r="L70" i="39"/>
  <c r="N70" i="39" s="1"/>
  <c r="X76" i="39"/>
  <c r="Z76" i="39" s="1"/>
  <c r="X84" i="39"/>
  <c r="Z84" i="39" s="1"/>
  <c r="J89" i="39"/>
  <c r="L90" i="39"/>
  <c r="N90" i="39" s="1"/>
  <c r="X100" i="39"/>
  <c r="Z100" i="39" s="1"/>
  <c r="J113" i="39"/>
  <c r="J117" i="39"/>
  <c r="X120" i="39"/>
  <c r="Z120" i="39" s="1"/>
  <c r="J125" i="39"/>
  <c r="X128" i="39"/>
  <c r="Z128" i="39" s="1"/>
  <c r="X134" i="39"/>
  <c r="D12" i="42"/>
  <c r="Z14" i="42"/>
  <c r="Z19" i="42"/>
  <c r="Z22" i="42"/>
  <c r="X57" i="42"/>
  <c r="Z57" i="42" s="1"/>
  <c r="Z63" i="42"/>
  <c r="Z122" i="42"/>
  <c r="X122" i="42"/>
  <c r="T121" i="42"/>
  <c r="F39" i="45"/>
  <c r="Z89" i="45"/>
  <c r="J46" i="39"/>
  <c r="J50" i="39"/>
  <c r="J60" i="39"/>
  <c r="J88" i="39"/>
  <c r="J102" i="39"/>
  <c r="J124" i="39"/>
  <c r="Z87" i="42"/>
  <c r="T12" i="45"/>
  <c r="X13" i="45"/>
  <c r="Z13" i="45" s="1"/>
  <c r="Z26" i="45"/>
  <c r="L85" i="45"/>
  <c r="N85" i="45" s="1"/>
  <c r="F97" i="45"/>
  <c r="J55" i="39"/>
  <c r="J59" i="39"/>
  <c r="J79" i="39"/>
  <c r="J87" i="39"/>
  <c r="J95" i="39"/>
  <c r="J107" i="39"/>
  <c r="J123" i="39"/>
  <c r="J131" i="39"/>
  <c r="N18" i="42"/>
  <c r="X65" i="42"/>
  <c r="Z65" i="42" s="1"/>
  <c r="Z74" i="42"/>
  <c r="X87" i="42"/>
  <c r="X96" i="42"/>
  <c r="Z96" i="42" s="1"/>
  <c r="Z124" i="42"/>
  <c r="F90" i="45"/>
  <c r="J36" i="39"/>
  <c r="J68" i="39"/>
  <c r="J78" i="39"/>
  <c r="J86" i="39"/>
  <c r="J106" i="39"/>
  <c r="J112" i="39"/>
  <c r="J116" i="39"/>
  <c r="J122" i="39"/>
  <c r="J132" i="39"/>
  <c r="J138" i="39"/>
  <c r="P12" i="42"/>
  <c r="L71" i="42"/>
  <c r="N71" i="42" s="1"/>
  <c r="X76" i="42"/>
  <c r="Z76" i="42" s="1"/>
  <c r="L82" i="42"/>
  <c r="N82" i="42" s="1"/>
  <c r="H121" i="42"/>
  <c r="N123" i="42"/>
  <c r="J35" i="39"/>
  <c r="J45" i="39"/>
  <c r="J49" i="39"/>
  <c r="J77" i="39"/>
  <c r="J85" i="39"/>
  <c r="J101" i="39"/>
  <c r="J105" i="39"/>
  <c r="J121" i="39"/>
  <c r="J129" i="39"/>
  <c r="T12" i="42"/>
  <c r="Z13" i="42"/>
  <c r="Z21" i="42"/>
  <c r="P121" i="42"/>
  <c r="X121" i="42" s="1"/>
  <c r="L123" i="42"/>
  <c r="Z67" i="45"/>
  <c r="Z47" i="45"/>
  <c r="N49" i="45"/>
  <c r="R20" i="48"/>
  <c r="F23" i="48"/>
  <c r="F28" i="48"/>
  <c r="F30" i="48"/>
  <c r="F39" i="48"/>
  <c r="J43" i="48"/>
  <c r="N49" i="48"/>
  <c r="L49" i="48"/>
  <c r="Z24" i="51"/>
  <c r="N60" i="58"/>
  <c r="Z27" i="45"/>
  <c r="Z53" i="45"/>
  <c r="N75" i="45"/>
  <c r="J15" i="48"/>
  <c r="J19" i="48"/>
  <c r="V30" i="48"/>
  <c r="V35" i="48"/>
  <c r="N47" i="48"/>
  <c r="F53" i="48"/>
  <c r="F59" i="48"/>
  <c r="H12" i="51"/>
  <c r="N95" i="51"/>
  <c r="J21" i="48"/>
  <c r="J61" i="48"/>
  <c r="L68" i="51"/>
  <c r="L95" i="51"/>
  <c r="J44" i="48"/>
  <c r="H17" i="48"/>
  <c r="J55" i="48"/>
  <c r="J45" i="48"/>
  <c r="J35" i="48"/>
  <c r="J31" i="48"/>
  <c r="J62" i="48"/>
  <c r="J46" i="48"/>
  <c r="J36" i="48"/>
  <c r="J26" i="48"/>
  <c r="J22" i="48"/>
  <c r="J47" i="48"/>
  <c r="J37" i="48"/>
  <c r="J56" i="48"/>
  <c r="J48" i="48"/>
  <c r="J38" i="48"/>
  <c r="J32" i="48"/>
  <c r="J63" i="48"/>
  <c r="J57" i="48"/>
  <c r="J49" i="48"/>
  <c r="J39" i="48"/>
  <c r="J27" i="48"/>
  <c r="J23" i="48"/>
  <c r="J64" i="48"/>
  <c r="J65" i="48"/>
  <c r="J59" i="48"/>
  <c r="J51" i="48"/>
  <c r="J41" i="48"/>
  <c r="J33" i="48"/>
  <c r="J66" i="48"/>
  <c r="J60" i="48"/>
  <c r="J52" i="48"/>
  <c r="J42" i="48"/>
  <c r="J28" i="48"/>
  <c r="J24" i="48"/>
  <c r="J70" i="48"/>
  <c r="J54" i="48"/>
  <c r="J34" i="48"/>
  <c r="J30" i="48"/>
  <c r="J20" i="48"/>
  <c r="J53" i="48"/>
  <c r="Z69" i="48"/>
  <c r="N68" i="51"/>
  <c r="L14" i="45"/>
  <c r="L18" i="45"/>
  <c r="N65" i="45"/>
  <c r="Z47" i="48"/>
  <c r="Z71" i="48"/>
  <c r="Z98" i="51"/>
  <c r="F24" i="55"/>
  <c r="F23" i="55"/>
  <c r="F40" i="55"/>
  <c r="F37" i="55"/>
  <c r="F26" i="55"/>
  <c r="F25" i="55"/>
  <c r="F28" i="55"/>
  <c r="F27" i="55"/>
  <c r="L12" i="55"/>
  <c r="F29" i="55"/>
  <c r="F20" i="55"/>
  <c r="F19" i="55"/>
  <c r="F33" i="55"/>
  <c r="F31" i="55"/>
  <c r="F22" i="55"/>
  <c r="F21" i="55"/>
  <c r="D16" i="55"/>
  <c r="F18" i="55"/>
  <c r="F14" i="55"/>
  <c r="F16" i="55"/>
  <c r="F35" i="55"/>
  <c r="Z19" i="48"/>
  <c r="X19" i="48"/>
  <c r="F29" i="48"/>
  <c r="F34" i="48"/>
  <c r="N36" i="48"/>
  <c r="F38" i="48"/>
  <c r="V47" i="48"/>
  <c r="Z53" i="48"/>
  <c r="V99" i="51"/>
  <c r="V91" i="51"/>
  <c r="V79" i="51"/>
  <c r="V71" i="51"/>
  <c r="V102" i="51"/>
  <c r="V90" i="51"/>
  <c r="V82" i="51"/>
  <c r="V66" i="51"/>
  <c r="V62" i="51"/>
  <c r="V58" i="51"/>
  <c r="V101" i="51"/>
  <c r="V93" i="51"/>
  <c r="V81" i="51"/>
  <c r="V57" i="51"/>
  <c r="V55" i="51"/>
  <c r="V53" i="51"/>
  <c r="V49" i="51"/>
  <c r="V45" i="51"/>
  <c r="V41" i="51"/>
  <c r="V110" i="51"/>
  <c r="V92" i="51"/>
  <c r="V84" i="51"/>
  <c r="V72" i="51"/>
  <c r="V68" i="51"/>
  <c r="V109" i="51"/>
  <c r="V103" i="51"/>
  <c r="V95" i="51"/>
  <c r="V83" i="51"/>
  <c r="V67" i="51"/>
  <c r="V63" i="51"/>
  <c r="V59" i="51"/>
  <c r="V114" i="51"/>
  <c r="V106" i="51"/>
  <c r="V104" i="51"/>
  <c r="V96" i="51"/>
  <c r="V76" i="51"/>
  <c r="V64" i="51"/>
  <c r="V60" i="51"/>
  <c r="V87" i="51"/>
  <c r="V75" i="51"/>
  <c r="V51" i="51"/>
  <c r="V47" i="51"/>
  <c r="V43" i="51"/>
  <c r="V39" i="51"/>
  <c r="V69" i="51"/>
  <c r="V44" i="51"/>
  <c r="V88" i="51"/>
  <c r="V73" i="51"/>
  <c r="V86" i="51"/>
  <c r="T55" i="51"/>
  <c r="V42" i="51"/>
  <c r="V74" i="51"/>
  <c r="V65" i="51"/>
  <c r="V52" i="51"/>
  <c r="V94" i="51"/>
  <c r="V89" i="51"/>
  <c r="V61" i="51"/>
  <c r="V50" i="51"/>
  <c r="V40" i="51"/>
  <c r="V107" i="51"/>
  <c r="V38" i="51"/>
  <c r="V70" i="51"/>
  <c r="V108" i="51"/>
  <c r="V97" i="51"/>
  <c r="V77" i="51"/>
  <c r="V85" i="51"/>
  <c r="V48" i="51"/>
  <c r="V100" i="51"/>
  <c r="V98" i="51"/>
  <c r="V80" i="51"/>
  <c r="V78" i="51"/>
  <c r="V46" i="51"/>
  <c r="Z109" i="51"/>
  <c r="X109" i="51"/>
  <c r="Z14" i="56"/>
  <c r="T16" i="56"/>
  <c r="L87" i="42"/>
  <c r="N87" i="42" s="1"/>
  <c r="X123" i="42"/>
  <c r="Z123" i="42" s="1"/>
  <c r="L47" i="45"/>
  <c r="N47" i="45" s="1"/>
  <c r="X55" i="45"/>
  <c r="Z55" i="45" s="1"/>
  <c r="X65" i="45"/>
  <c r="F75" i="48"/>
  <c r="F70" i="48"/>
  <c r="F61" i="48"/>
  <c r="F25" i="48"/>
  <c r="F21" i="48"/>
  <c r="F20" i="48"/>
  <c r="F69" i="48"/>
  <c r="F44" i="48"/>
  <c r="F19" i="48"/>
  <c r="F15" i="48"/>
  <c r="F55" i="48"/>
  <c r="F35" i="48"/>
  <c r="F31" i="48"/>
  <c r="D17" i="48"/>
  <c r="F17" i="48" s="1"/>
  <c r="F62" i="48"/>
  <c r="F46" i="48"/>
  <c r="F45" i="48"/>
  <c r="F26" i="48"/>
  <c r="F22" i="48"/>
  <c r="F37" i="48"/>
  <c r="F36" i="48"/>
  <c r="F56" i="48"/>
  <c r="F48" i="48"/>
  <c r="F47" i="48"/>
  <c r="F32" i="48"/>
  <c r="L12" i="48"/>
  <c r="N12" i="48" s="1"/>
  <c r="F58" i="48"/>
  <c r="F57" i="48"/>
  <c r="F50" i="48"/>
  <c r="F49" i="48"/>
  <c r="F65" i="48"/>
  <c r="F64" i="48"/>
  <c r="F41" i="48"/>
  <c r="F40" i="48"/>
  <c r="F33" i="48"/>
  <c r="F67" i="48"/>
  <c r="F66" i="48"/>
  <c r="F43" i="48"/>
  <c r="F42" i="48"/>
  <c r="X15" i="48"/>
  <c r="F27" i="48"/>
  <c r="N29" i="48"/>
  <c r="N38" i="48"/>
  <c r="J40" i="48"/>
  <c r="J50" i="48"/>
  <c r="H69" i="48"/>
  <c r="J69" i="48" s="1"/>
  <c r="N34" i="51"/>
  <c r="L13" i="45"/>
  <c r="N61" i="45"/>
  <c r="J29" i="48"/>
  <c r="V31" i="48"/>
  <c r="F52" i="48"/>
  <c r="F54" i="48"/>
  <c r="J58" i="48"/>
  <c r="Z66" i="48"/>
  <c r="L70" i="48"/>
  <c r="N70" i="48" s="1"/>
  <c r="J75" i="48"/>
  <c r="D12" i="51"/>
  <c r="P12" i="51"/>
  <c r="Z49" i="56"/>
  <c r="N13" i="45"/>
  <c r="L26" i="45"/>
  <c r="N26" i="45" s="1"/>
  <c r="Z65" i="45"/>
  <c r="X89" i="45"/>
  <c r="R38" i="48"/>
  <c r="R37" i="48"/>
  <c r="R57" i="48"/>
  <c r="R56" i="48"/>
  <c r="R49" i="48"/>
  <c r="R48" i="48"/>
  <c r="R32" i="48"/>
  <c r="X12" i="48"/>
  <c r="R64" i="48"/>
  <c r="R63" i="48"/>
  <c r="R40" i="48"/>
  <c r="R39" i="48"/>
  <c r="R27" i="48"/>
  <c r="R23" i="48"/>
  <c r="R59" i="48"/>
  <c r="R58" i="48"/>
  <c r="R51" i="48"/>
  <c r="R50" i="48"/>
  <c r="R66" i="48"/>
  <c r="R65" i="48"/>
  <c r="R42" i="48"/>
  <c r="R41" i="48"/>
  <c r="R33" i="48"/>
  <c r="R71" i="48"/>
  <c r="R60" i="48"/>
  <c r="R53" i="48"/>
  <c r="R52" i="48"/>
  <c r="R29" i="48"/>
  <c r="R28" i="48"/>
  <c r="R24" i="48"/>
  <c r="R70" i="48"/>
  <c r="R67" i="48"/>
  <c r="R69" i="48"/>
  <c r="R54" i="48"/>
  <c r="R34" i="48"/>
  <c r="R30" i="48"/>
  <c r="R19" i="48"/>
  <c r="R15" i="48"/>
  <c r="R75" i="48"/>
  <c r="R61" i="48"/>
  <c r="R25" i="48"/>
  <c r="R21" i="48"/>
  <c r="P17" i="48"/>
  <c r="R55" i="48"/>
  <c r="R36" i="48"/>
  <c r="R35" i="48"/>
  <c r="R31" i="48"/>
  <c r="N20" i="48"/>
  <c r="R22" i="48"/>
  <c r="F60" i="48"/>
  <c r="L53" i="45"/>
  <c r="N53" i="45" s="1"/>
  <c r="V64" i="48"/>
  <c r="V56" i="48"/>
  <c r="V48" i="48"/>
  <c r="V40" i="48"/>
  <c r="V32" i="48"/>
  <c r="Z12" i="48"/>
  <c r="V63" i="48"/>
  <c r="V59" i="48"/>
  <c r="V51" i="48"/>
  <c r="V39" i="48"/>
  <c r="V27" i="48"/>
  <c r="V23" i="48"/>
  <c r="V66" i="48"/>
  <c r="V58" i="48"/>
  <c r="V50" i="48"/>
  <c r="V42" i="48"/>
  <c r="V71" i="48"/>
  <c r="V65" i="48"/>
  <c r="V53" i="48"/>
  <c r="V41" i="48"/>
  <c r="V33" i="48"/>
  <c r="V29" i="48"/>
  <c r="V70" i="48"/>
  <c r="V60" i="48"/>
  <c r="V52" i="48"/>
  <c r="V28" i="48"/>
  <c r="V24" i="48"/>
  <c r="V20" i="48"/>
  <c r="V69" i="48"/>
  <c r="V67" i="48"/>
  <c r="V43" i="48"/>
  <c r="V19" i="48"/>
  <c r="V15" i="48"/>
  <c r="V75" i="48"/>
  <c r="V61" i="48"/>
  <c r="V45" i="48"/>
  <c r="V25" i="48"/>
  <c r="V21" i="48"/>
  <c r="V44" i="48"/>
  <c r="V36" i="48"/>
  <c r="V62" i="48"/>
  <c r="V46" i="48"/>
  <c r="V38" i="48"/>
  <c r="V26" i="48"/>
  <c r="V22" i="48"/>
  <c r="T17" i="48"/>
  <c r="L20" i="48"/>
  <c r="J25" i="48"/>
  <c r="Z29" i="48"/>
  <c r="X38" i="48"/>
  <c r="Z38" i="48" s="1"/>
  <c r="Z42" i="48"/>
  <c r="R46" i="48"/>
  <c r="R62" i="48"/>
  <c r="J67" i="48"/>
  <c r="Z32" i="51"/>
  <c r="J22" i="54"/>
  <c r="J20" i="54"/>
  <c r="J18" i="54"/>
  <c r="J16" i="54"/>
  <c r="J14" i="54"/>
  <c r="H16" i="54"/>
  <c r="J24" i="54"/>
  <c r="L12" i="54"/>
  <c r="J29" i="54"/>
  <c r="J26" i="54"/>
  <c r="J31" i="54"/>
  <c r="N12" i="54"/>
  <c r="J28" i="54"/>
  <c r="L28" i="54"/>
  <c r="N28" i="54" s="1"/>
  <c r="Z37" i="56"/>
  <c r="X35" i="57"/>
  <c r="Z35" i="57"/>
  <c r="L14" i="51"/>
  <c r="N14" i="51" s="1"/>
  <c r="N27" i="51"/>
  <c r="N32" i="51"/>
  <c r="H106" i="51"/>
  <c r="P31" i="54"/>
  <c r="J40" i="55"/>
  <c r="J37" i="55"/>
  <c r="J25" i="55"/>
  <c r="J26" i="55"/>
  <c r="J27" i="55"/>
  <c r="J28" i="55"/>
  <c r="N12" i="55"/>
  <c r="J29" i="55"/>
  <c r="J20" i="55"/>
  <c r="J18" i="55"/>
  <c r="J16" i="55"/>
  <c r="J14" i="55"/>
  <c r="J33" i="55"/>
  <c r="J31" i="55"/>
  <c r="J21" i="55"/>
  <c r="H16" i="55"/>
  <c r="J35" i="55"/>
  <c r="J23" i="55"/>
  <c r="X14" i="56"/>
  <c r="R37" i="56"/>
  <c r="R49" i="56"/>
  <c r="Z66" i="56"/>
  <c r="F34" i="57"/>
  <c r="Z40" i="60"/>
  <c r="Z41" i="61"/>
  <c r="X41" i="61"/>
  <c r="X59" i="45"/>
  <c r="Z59" i="45" s="1"/>
  <c r="L65" i="45"/>
  <c r="X75" i="45"/>
  <c r="Z75" i="45" s="1"/>
  <c r="L89" i="45"/>
  <c r="N89" i="45" s="1"/>
  <c r="X93" i="45"/>
  <c r="L13" i="48"/>
  <c r="N13" i="48" s="1"/>
  <c r="L29" i="48"/>
  <c r="X47" i="48"/>
  <c r="L53" i="48"/>
  <c r="P69" i="48"/>
  <c r="X69" i="48" s="1"/>
  <c r="L71" i="48"/>
  <c r="N19" i="51"/>
  <c r="N24" i="51"/>
  <c r="Z57" i="51"/>
  <c r="L84" i="51"/>
  <c r="X87" i="51"/>
  <c r="Z87" i="51" s="1"/>
  <c r="Z108" i="51"/>
  <c r="X108" i="51"/>
  <c r="Z25" i="55"/>
  <c r="X27" i="55"/>
  <c r="P16" i="56"/>
  <c r="R34" i="56"/>
  <c r="Z99" i="63"/>
  <c r="L16" i="51"/>
  <c r="L19" i="51"/>
  <c r="X24" i="51"/>
  <c r="L26" i="51"/>
  <c r="L89" i="51"/>
  <c r="N89" i="51" s="1"/>
  <c r="N110" i="51"/>
  <c r="N43" i="56"/>
  <c r="X95" i="51"/>
  <c r="Z95" i="51" s="1"/>
  <c r="Z27" i="55"/>
  <c r="Z71" i="58"/>
  <c r="T73" i="58"/>
  <c r="Z14" i="63"/>
  <c r="X14" i="51"/>
  <c r="Z14" i="51" s="1"/>
  <c r="X16" i="51"/>
  <c r="Z16" i="51" s="1"/>
  <c r="L18" i="51"/>
  <c r="N18" i="51" s="1"/>
  <c r="N18" i="56"/>
  <c r="F72" i="57"/>
  <c r="F70" i="57"/>
  <c r="F61" i="57"/>
  <c r="F53" i="57"/>
  <c r="F33" i="57"/>
  <c r="F29" i="57"/>
  <c r="F28" i="57"/>
  <c r="F18" i="57"/>
  <c r="F16" i="57"/>
  <c r="F14" i="57"/>
  <c r="F64" i="57"/>
  <c r="F63" i="57"/>
  <c r="F56" i="57"/>
  <c r="F55" i="57"/>
  <c r="F48" i="57"/>
  <c r="F47" i="57"/>
  <c r="F36" i="57"/>
  <c r="F35" i="57"/>
  <c r="F67" i="57"/>
  <c r="F60" i="57"/>
  <c r="F54" i="57"/>
  <c r="F42" i="57"/>
  <c r="F30" i="57"/>
  <c r="F27" i="57"/>
  <c r="F62" i="57"/>
  <c r="F49" i="57"/>
  <c r="F46" i="57"/>
  <c r="F22" i="57"/>
  <c r="F68" i="57"/>
  <c r="F57" i="57"/>
  <c r="F50" i="57"/>
  <c r="F39" i="57"/>
  <c r="F76" i="57"/>
  <c r="F25" i="57"/>
  <c r="F19" i="57"/>
  <c r="F58" i="57"/>
  <c r="F43" i="57"/>
  <c r="F40" i="57"/>
  <c r="F31" i="57"/>
  <c r="F20" i="57"/>
  <c r="F65" i="57"/>
  <c r="F44" i="57"/>
  <c r="F23" i="57"/>
  <c r="F66" i="57"/>
  <c r="F51" i="57"/>
  <c r="F26" i="57"/>
  <c r="F59" i="57"/>
  <c r="F79" i="57"/>
  <c r="F45" i="57"/>
  <c r="F38" i="57"/>
  <c r="F24" i="57"/>
  <c r="D16" i="57"/>
  <c r="Z50" i="58"/>
  <c r="X39" i="59"/>
  <c r="Z39" i="59" s="1"/>
  <c r="L13" i="51"/>
  <c r="N13" i="51" s="1"/>
  <c r="Z38" i="51"/>
  <c r="X74" i="51"/>
  <c r="Z74" i="51" s="1"/>
  <c r="L30" i="58"/>
  <c r="N30" i="58" s="1"/>
  <c r="Z13" i="48"/>
  <c r="X20" i="48"/>
  <c r="Z20" i="48" s="1"/>
  <c r="L38" i="48"/>
  <c r="X70" i="48"/>
  <c r="Z70" i="48" s="1"/>
  <c r="N28" i="51"/>
  <c r="X89" i="51"/>
  <c r="Z89" i="51" s="1"/>
  <c r="R74" i="56"/>
  <c r="R72" i="56"/>
  <c r="R76" i="56"/>
  <c r="R78" i="56"/>
  <c r="R55" i="56"/>
  <c r="R68" i="56"/>
  <c r="R62" i="56"/>
  <c r="R50" i="56"/>
  <c r="R39" i="56"/>
  <c r="R38" i="56"/>
  <c r="R30" i="56"/>
  <c r="R25" i="56"/>
  <c r="R21" i="56"/>
  <c r="R57" i="56"/>
  <c r="R56" i="56"/>
  <c r="R41" i="56"/>
  <c r="R40" i="56"/>
  <c r="R81" i="56"/>
  <c r="R64" i="56"/>
  <c r="R63" i="56"/>
  <c r="R51" i="56"/>
  <c r="R31" i="56"/>
  <c r="R69" i="56"/>
  <c r="R59" i="56"/>
  <c r="R58" i="56"/>
  <c r="R43" i="56"/>
  <c r="R42" i="56"/>
  <c r="R26" i="56"/>
  <c r="R22" i="56"/>
  <c r="R65" i="56"/>
  <c r="R60" i="56"/>
  <c r="R53" i="56"/>
  <c r="R52" i="56"/>
  <c r="R45" i="56"/>
  <c r="R44" i="56"/>
  <c r="R33" i="56"/>
  <c r="R32" i="56"/>
  <c r="X12" i="56"/>
  <c r="R66" i="56"/>
  <c r="R27" i="56"/>
  <c r="R23" i="56"/>
  <c r="R61" i="56"/>
  <c r="R18" i="56"/>
  <c r="R16" i="56"/>
  <c r="R14" i="56"/>
  <c r="Z18" i="56"/>
  <c r="R29" i="56"/>
  <c r="L12" i="57"/>
  <c r="F37" i="57"/>
  <c r="F52" i="57"/>
  <c r="X13" i="51"/>
  <c r="Z13" i="51" s="1"/>
  <c r="L20" i="51"/>
  <c r="N20" i="51" s="1"/>
  <c r="L23" i="51"/>
  <c r="X26" i="51"/>
  <c r="Z26" i="51" s="1"/>
  <c r="X28" i="51"/>
  <c r="L30" i="51"/>
  <c r="N80" i="51"/>
  <c r="L80" i="51"/>
  <c r="N100" i="51"/>
  <c r="L100" i="51"/>
  <c r="L109" i="51"/>
  <c r="N29" i="54"/>
  <c r="L29" i="54"/>
  <c r="Z29" i="56"/>
  <c r="L57" i="51"/>
  <c r="N57" i="51" s="1"/>
  <c r="X78" i="51"/>
  <c r="Z78" i="51" s="1"/>
  <c r="X98" i="51"/>
  <c r="P33" i="55"/>
  <c r="R20" i="56"/>
  <c r="R54" i="56"/>
  <c r="N64" i="56"/>
  <c r="R70" i="56"/>
  <c r="P54" i="60"/>
  <c r="L15" i="51"/>
  <c r="N15" i="51" s="1"/>
  <c r="X20" i="51"/>
  <c r="Z20" i="51" s="1"/>
  <c r="L22" i="51"/>
  <c r="N23" i="55"/>
  <c r="R24" i="56"/>
  <c r="Z33" i="56"/>
  <c r="R47" i="56"/>
  <c r="F41" i="57"/>
  <c r="F74" i="57"/>
  <c r="P73" i="58"/>
  <c r="X16" i="58"/>
  <c r="J72" i="57"/>
  <c r="J70" i="57"/>
  <c r="J61" i="57"/>
  <c r="J53" i="57"/>
  <c r="J74" i="57"/>
  <c r="J44" i="57"/>
  <c r="J24" i="57"/>
  <c r="J20" i="57"/>
  <c r="J18" i="57"/>
  <c r="J16" i="57"/>
  <c r="J14" i="57"/>
  <c r="J79" i="57"/>
  <c r="J76" i="57"/>
  <c r="J62" i="57"/>
  <c r="J54" i="57"/>
  <c r="J46" i="57"/>
  <c r="J34" i="57"/>
  <c r="J30" i="57"/>
  <c r="J65" i="57"/>
  <c r="J57" i="57"/>
  <c r="J49" i="57"/>
  <c r="J37" i="57"/>
  <c r="J31" i="57"/>
  <c r="J66" i="57"/>
  <c r="J58" i="57"/>
  <c r="J50" i="57"/>
  <c r="J68" i="57"/>
  <c r="J60" i="57"/>
  <c r="J52" i="57"/>
  <c r="J40" i="57"/>
  <c r="J32" i="57"/>
  <c r="N12" i="57"/>
  <c r="Z28" i="57"/>
  <c r="J67" i="57"/>
  <c r="N19" i="58"/>
  <c r="Z54" i="58"/>
  <c r="X54" i="58"/>
  <c r="X71" i="58"/>
  <c r="N54" i="59"/>
  <c r="F37" i="60"/>
  <c r="F29" i="60"/>
  <c r="F28" i="60"/>
  <c r="F24" i="60"/>
  <c r="F20" i="60"/>
  <c r="F19" i="60"/>
  <c r="F50" i="60"/>
  <c r="F48" i="60"/>
  <c r="F39" i="60"/>
  <c r="F38" i="60"/>
  <c r="F31" i="60"/>
  <c r="F30" i="60"/>
  <c r="F18" i="60"/>
  <c r="F16" i="60"/>
  <c r="F14" i="60"/>
  <c r="F52" i="60"/>
  <c r="D16" i="60"/>
  <c r="F41" i="60"/>
  <c r="F40" i="60"/>
  <c r="F33" i="60"/>
  <c r="F32" i="60"/>
  <c r="F25" i="60"/>
  <c r="F21" i="60"/>
  <c r="F57" i="60"/>
  <c r="F54" i="60"/>
  <c r="F35" i="60"/>
  <c r="F34" i="60"/>
  <c r="F42" i="60"/>
  <c r="F26" i="60"/>
  <c r="F22" i="60"/>
  <c r="F27" i="60"/>
  <c r="F23" i="60"/>
  <c r="X32" i="60"/>
  <c r="Z32" i="60" s="1"/>
  <c r="Z34" i="60"/>
  <c r="X40" i="60"/>
  <c r="N39" i="63"/>
  <c r="T106" i="51"/>
  <c r="T16" i="54"/>
  <c r="R24" i="55"/>
  <c r="R25" i="55"/>
  <c r="V27" i="55"/>
  <c r="R37" i="55"/>
  <c r="R40" i="55"/>
  <c r="V74" i="56"/>
  <c r="V72" i="56"/>
  <c r="V70" i="56"/>
  <c r="V14" i="56"/>
  <c r="V16" i="56"/>
  <c r="V18" i="56"/>
  <c r="J22" i="56"/>
  <c r="J26" i="56"/>
  <c r="F31" i="56"/>
  <c r="V34" i="56"/>
  <c r="J42" i="56"/>
  <c r="V46" i="56"/>
  <c r="F51" i="56"/>
  <c r="V54" i="56"/>
  <c r="J58" i="56"/>
  <c r="F63" i="56"/>
  <c r="J64" i="56"/>
  <c r="J69" i="56"/>
  <c r="F74" i="56"/>
  <c r="V76" i="56"/>
  <c r="R79" i="57"/>
  <c r="R76" i="57"/>
  <c r="R63" i="57"/>
  <c r="R62" i="57"/>
  <c r="R55" i="57"/>
  <c r="R54" i="57"/>
  <c r="R25" i="57"/>
  <c r="R21" i="57"/>
  <c r="R31" i="57"/>
  <c r="R68" i="57"/>
  <c r="R60" i="57"/>
  <c r="R52" i="57"/>
  <c r="R41" i="57"/>
  <c r="R40" i="57"/>
  <c r="R32" i="57"/>
  <c r="X12" i="57"/>
  <c r="R72" i="57"/>
  <c r="R70" i="57"/>
  <c r="R61" i="57"/>
  <c r="R53" i="57"/>
  <c r="R33" i="57"/>
  <c r="R29" i="57"/>
  <c r="R18" i="57"/>
  <c r="R16" i="57"/>
  <c r="R14" i="57"/>
  <c r="H16" i="57"/>
  <c r="J21" i="57"/>
  <c r="R27" i="57"/>
  <c r="V30" i="57"/>
  <c r="V35" i="57"/>
  <c r="J45" i="57"/>
  <c r="J48" i="57"/>
  <c r="R49" i="57"/>
  <c r="L63" i="57"/>
  <c r="N63" i="57" s="1"/>
  <c r="Z42" i="58"/>
  <c r="F64" i="58"/>
  <c r="H16" i="59"/>
  <c r="X44" i="59"/>
  <c r="Z44" i="59" s="1"/>
  <c r="L12" i="60"/>
  <c r="F46" i="60"/>
  <c r="T53" i="61"/>
  <c r="Z16" i="61"/>
  <c r="Z28" i="61"/>
  <c r="Z16" i="67"/>
  <c r="T22" i="67"/>
  <c r="V14" i="54"/>
  <c r="V16" i="54"/>
  <c r="V18" i="54"/>
  <c r="V20" i="54"/>
  <c r="F26" i="54"/>
  <c r="F28" i="54"/>
  <c r="F29" i="54"/>
  <c r="F31" i="54"/>
  <c r="V24" i="55"/>
  <c r="J31" i="56"/>
  <c r="F39" i="56"/>
  <c r="F40" i="56"/>
  <c r="J41" i="56"/>
  <c r="J51" i="56"/>
  <c r="F56" i="56"/>
  <c r="J57" i="56"/>
  <c r="J63" i="56"/>
  <c r="J81" i="56"/>
  <c r="V62" i="57"/>
  <c r="V54" i="57"/>
  <c r="V65" i="57"/>
  <c r="V57" i="57"/>
  <c r="V64" i="57"/>
  <c r="V56" i="57"/>
  <c r="V48" i="57"/>
  <c r="V36" i="57"/>
  <c r="V66" i="57"/>
  <c r="V58" i="57"/>
  <c r="V50" i="57"/>
  <c r="V38" i="57"/>
  <c r="V26" i="57"/>
  <c r="V22" i="57"/>
  <c r="V43" i="57"/>
  <c r="V27" i="57"/>
  <c r="V23" i="57"/>
  <c r="V19" i="57"/>
  <c r="V42" i="57"/>
  <c r="V79" i="57"/>
  <c r="V76" i="57"/>
  <c r="V74" i="57"/>
  <c r="V44" i="57"/>
  <c r="V24" i="57"/>
  <c r="V20" i="57"/>
  <c r="V18" i="57"/>
  <c r="V39" i="57"/>
  <c r="J41" i="57"/>
  <c r="Z30" i="58"/>
  <c r="X30" i="58"/>
  <c r="N36" i="58"/>
  <c r="N48" i="58"/>
  <c r="N64" i="58"/>
  <c r="L64" i="58"/>
  <c r="V65" i="59"/>
  <c r="V63" i="59"/>
  <c r="V61" i="59"/>
  <c r="V53" i="59"/>
  <c r="V33" i="59"/>
  <c r="T16" i="59"/>
  <c r="V48" i="59"/>
  <c r="V40" i="59"/>
  <c r="V28" i="59"/>
  <c r="V24" i="59"/>
  <c r="V20" i="59"/>
  <c r="V55" i="59"/>
  <c r="V42" i="59"/>
  <c r="V34" i="59"/>
  <c r="V30" i="59"/>
  <c r="V72" i="59"/>
  <c r="V69" i="59"/>
  <c r="V67" i="59"/>
  <c r="V57" i="59"/>
  <c r="V49" i="59"/>
  <c r="V41" i="59"/>
  <c r="V29" i="59"/>
  <c r="V25" i="59"/>
  <c r="V21" i="59"/>
  <c r="V56" i="59"/>
  <c r="V44" i="59"/>
  <c r="V58" i="59"/>
  <c r="V50" i="59"/>
  <c r="V46" i="59"/>
  <c r="V26" i="59"/>
  <c r="V22" i="59"/>
  <c r="V45" i="59"/>
  <c r="V37" i="59"/>
  <c r="V47" i="59"/>
  <c r="V39" i="59"/>
  <c r="V27" i="59"/>
  <c r="V23" i="59"/>
  <c r="V19" i="59"/>
  <c r="X12" i="59"/>
  <c r="V31" i="59"/>
  <c r="F43" i="60"/>
  <c r="F22" i="67"/>
  <c r="F20" i="67"/>
  <c r="F18" i="67"/>
  <c r="F16" i="67"/>
  <c r="F14" i="67"/>
  <c r="F24" i="67"/>
  <c r="D16" i="67"/>
  <c r="F29" i="67"/>
  <c r="F26" i="67"/>
  <c r="L12" i="67"/>
  <c r="J26" i="57"/>
  <c r="J29" i="57"/>
  <c r="J59" i="57"/>
  <c r="J63" i="57"/>
  <c r="N18" i="58"/>
  <c r="D53" i="61"/>
  <c r="Z41" i="68"/>
  <c r="D16" i="56"/>
  <c r="F37" i="56"/>
  <c r="F38" i="56"/>
  <c r="F49" i="56"/>
  <c r="F50" i="56"/>
  <c r="F62" i="56"/>
  <c r="F72" i="56"/>
  <c r="J23" i="57"/>
  <c r="J36" i="57"/>
  <c r="J51" i="57"/>
  <c r="N38" i="58"/>
  <c r="D80" i="58"/>
  <c r="V43" i="60"/>
  <c r="V35" i="60"/>
  <c r="V42" i="60"/>
  <c r="V26" i="60"/>
  <c r="V22" i="60"/>
  <c r="V45" i="60"/>
  <c r="V44" i="60"/>
  <c r="V36" i="60"/>
  <c r="V28" i="60"/>
  <c r="Z12" i="60"/>
  <c r="V27" i="60"/>
  <c r="V23" i="60"/>
  <c r="V19" i="60"/>
  <c r="X12" i="60"/>
  <c r="V50" i="60"/>
  <c r="V48" i="60"/>
  <c r="V46" i="60"/>
  <c r="V38" i="60"/>
  <c r="V30" i="60"/>
  <c r="V37" i="60"/>
  <c r="V29" i="60"/>
  <c r="T16" i="60"/>
  <c r="V40" i="60"/>
  <c r="V32" i="60"/>
  <c r="V24" i="60"/>
  <c r="V20" i="60"/>
  <c r="V57" i="60"/>
  <c r="V54" i="60"/>
  <c r="V52" i="60"/>
  <c r="V34" i="60"/>
  <c r="V16" i="60"/>
  <c r="V25" i="60"/>
  <c r="V33" i="60"/>
  <c r="V41" i="60"/>
  <c r="D16" i="54"/>
  <c r="V23" i="55"/>
  <c r="F14" i="56"/>
  <c r="F16" i="56"/>
  <c r="F18" i="56"/>
  <c r="J30" i="56"/>
  <c r="X33" i="56"/>
  <c r="J38" i="56"/>
  <c r="L39" i="56"/>
  <c r="V42" i="56"/>
  <c r="X45" i="56"/>
  <c r="Z45" i="56" s="1"/>
  <c r="J50" i="56"/>
  <c r="X53" i="56"/>
  <c r="Z53" i="56" s="1"/>
  <c r="F55" i="56"/>
  <c r="V58" i="56"/>
  <c r="J62" i="56"/>
  <c r="V69" i="56"/>
  <c r="T16" i="57"/>
  <c r="X16" i="57" s="1"/>
  <c r="R37" i="57"/>
  <c r="Z45" i="57"/>
  <c r="J47" i="57"/>
  <c r="J55" i="57"/>
  <c r="R59" i="57"/>
  <c r="V61" i="57"/>
  <c r="R66" i="57"/>
  <c r="V67" i="57"/>
  <c r="V70" i="57"/>
  <c r="X38" i="58"/>
  <c r="Z38" i="58" s="1"/>
  <c r="X46" i="58"/>
  <c r="Z46" i="58" s="1"/>
  <c r="X50" i="58"/>
  <c r="X64" i="58"/>
  <c r="Z64" i="58" s="1"/>
  <c r="L68" i="58"/>
  <c r="V21" i="60"/>
  <c r="F45" i="60"/>
  <c r="X23" i="55"/>
  <c r="Z23" i="55" s="1"/>
  <c r="H16" i="56"/>
  <c r="F19" i="56"/>
  <c r="F20" i="56"/>
  <c r="F24" i="56"/>
  <c r="F28" i="56"/>
  <c r="J29" i="56"/>
  <c r="F35" i="56"/>
  <c r="F36" i="56"/>
  <c r="J37" i="56"/>
  <c r="F47" i="56"/>
  <c r="F48" i="56"/>
  <c r="J49" i="56"/>
  <c r="J55" i="56"/>
  <c r="V59" i="56"/>
  <c r="V63" i="56"/>
  <c r="Z64" i="56"/>
  <c r="J72" i="56"/>
  <c r="J78" i="56"/>
  <c r="V81" i="56"/>
  <c r="V16" i="57"/>
  <c r="N28" i="57"/>
  <c r="V29" i="57"/>
  <c r="J33" i="57"/>
  <c r="V41" i="57"/>
  <c r="V45" i="57"/>
  <c r="R51" i="57"/>
  <c r="V53" i="57"/>
  <c r="F55" i="58"/>
  <c r="F54" i="58"/>
  <c r="F47" i="58"/>
  <c r="F46" i="58"/>
  <c r="F35" i="58"/>
  <c r="F31" i="58"/>
  <c r="F30" i="58"/>
  <c r="F73" i="58"/>
  <c r="F71" i="58"/>
  <c r="F62" i="58"/>
  <c r="F26" i="58"/>
  <c r="F22" i="58"/>
  <c r="F75" i="58"/>
  <c r="F49" i="58"/>
  <c r="F48" i="58"/>
  <c r="F37" i="58"/>
  <c r="F36" i="58"/>
  <c r="F56" i="58"/>
  <c r="F32" i="58"/>
  <c r="F63" i="58"/>
  <c r="F51" i="58"/>
  <c r="F50" i="58"/>
  <c r="F39" i="58"/>
  <c r="F38" i="58"/>
  <c r="F27" i="58"/>
  <c r="F23" i="58"/>
  <c r="F52" i="58"/>
  <c r="F28" i="58"/>
  <c r="F24" i="58"/>
  <c r="F20" i="58"/>
  <c r="F19" i="58"/>
  <c r="F67" i="58"/>
  <c r="F66" i="58"/>
  <c r="F59" i="58"/>
  <c r="F43" i="58"/>
  <c r="F42" i="58"/>
  <c r="F18" i="58"/>
  <c r="F16" i="58"/>
  <c r="F14" i="58"/>
  <c r="F69" i="58"/>
  <c r="F68" i="58"/>
  <c r="F61" i="58"/>
  <c r="F60" i="58"/>
  <c r="F53" i="58"/>
  <c r="F45" i="58"/>
  <c r="F44" i="58"/>
  <c r="F29" i="58"/>
  <c r="F25" i="58"/>
  <c r="F21" i="58"/>
  <c r="F40" i="58"/>
  <c r="N19" i="59"/>
  <c r="L19" i="59"/>
  <c r="H50" i="60"/>
  <c r="N16" i="60"/>
  <c r="V31" i="60"/>
  <c r="V39" i="60"/>
  <c r="N35" i="61"/>
  <c r="Z19" i="68"/>
  <c r="T16" i="55"/>
  <c r="V21" i="55"/>
  <c r="V29" i="55"/>
  <c r="V31" i="55"/>
  <c r="V33" i="55"/>
  <c r="J14" i="56"/>
  <c r="J16" i="56"/>
  <c r="J18" i="56"/>
  <c r="J20" i="56"/>
  <c r="J24" i="56"/>
  <c r="J28" i="56"/>
  <c r="J36" i="56"/>
  <c r="V40" i="56"/>
  <c r="J48" i="56"/>
  <c r="V56" i="56"/>
  <c r="V64" i="56"/>
  <c r="J67" i="56"/>
  <c r="X68" i="56"/>
  <c r="Z68" i="56" s="1"/>
  <c r="R23" i="57"/>
  <c r="J25" i="57"/>
  <c r="J28" i="57"/>
  <c r="R36" i="57"/>
  <c r="V37" i="57"/>
  <c r="J43" i="57"/>
  <c r="R44" i="57"/>
  <c r="V59" i="57"/>
  <c r="V63" i="57"/>
  <c r="Z18" i="58"/>
  <c r="N40" i="58"/>
  <c r="L40" i="58"/>
  <c r="N54" i="58"/>
  <c r="F65" i="58"/>
  <c r="N18" i="59"/>
  <c r="V32" i="59"/>
  <c r="N51" i="59"/>
  <c r="N57" i="59"/>
  <c r="Z19" i="60"/>
  <c r="F57" i="69"/>
  <c r="F49" i="69"/>
  <c r="F48" i="69"/>
  <c r="F37" i="69"/>
  <c r="F68" i="69"/>
  <c r="F64" i="69"/>
  <c r="F51" i="69"/>
  <c r="F50" i="69"/>
  <c r="F39" i="69"/>
  <c r="F38" i="69"/>
  <c r="F22" i="69"/>
  <c r="F20" i="69"/>
  <c r="F70" i="69"/>
  <c r="F69" i="69"/>
  <c r="F58" i="69"/>
  <c r="F34" i="69"/>
  <c r="F65" i="69"/>
  <c r="F76" i="69"/>
  <c r="F66" i="69"/>
  <c r="F62" i="69"/>
  <c r="F61" i="69"/>
  <c r="F54" i="69"/>
  <c r="F30" i="69"/>
  <c r="F26" i="69"/>
  <c r="F45" i="69"/>
  <c r="F44" i="69"/>
  <c r="F81" i="69"/>
  <c r="F78" i="69"/>
  <c r="F67" i="69"/>
  <c r="F63" i="69"/>
  <c r="F47" i="69"/>
  <c r="F46" i="69"/>
  <c r="F72" i="69"/>
  <c r="F42" i="69"/>
  <c r="F16" i="69"/>
  <c r="L12" i="69"/>
  <c r="N12" i="69" s="1"/>
  <c r="F56" i="69"/>
  <c r="F25" i="69"/>
  <c r="F17" i="69"/>
  <c r="F28" i="69"/>
  <c r="F40" i="69"/>
  <c r="F31" i="69"/>
  <c r="F18" i="69"/>
  <c r="F59" i="69"/>
  <c r="F43" i="69"/>
  <c r="F35" i="69"/>
  <c r="F29" i="69"/>
  <c r="F74" i="69"/>
  <c r="F52" i="69"/>
  <c r="F32" i="69"/>
  <c r="F41" i="69"/>
  <c r="F23" i="69"/>
  <c r="D20" i="69"/>
  <c r="F33" i="69"/>
  <c r="F60" i="69"/>
  <c r="F53" i="69"/>
  <c r="F55" i="69"/>
  <c r="F36" i="69"/>
  <c r="F27" i="69"/>
  <c r="V14" i="55"/>
  <c r="V16" i="55"/>
  <c r="V18" i="55"/>
  <c r="F81" i="56"/>
  <c r="F78" i="56"/>
  <c r="F67" i="56"/>
  <c r="F66" i="56"/>
  <c r="F69" i="56"/>
  <c r="F68" i="56"/>
  <c r="F70" i="56"/>
  <c r="F33" i="56"/>
  <c r="F34" i="56"/>
  <c r="J35" i="56"/>
  <c r="F45" i="56"/>
  <c r="F46" i="56"/>
  <c r="J47" i="56"/>
  <c r="F53" i="56"/>
  <c r="F54" i="56"/>
  <c r="J61" i="56"/>
  <c r="J19" i="57"/>
  <c r="V31" i="57"/>
  <c r="J35" i="57"/>
  <c r="V40" i="57"/>
  <c r="R47" i="57"/>
  <c r="V51" i="57"/>
  <c r="R58" i="57"/>
  <c r="L12" i="58"/>
  <c r="Z66" i="58"/>
  <c r="Z19" i="59"/>
  <c r="N28" i="60"/>
  <c r="F36" i="60"/>
  <c r="X12" i="55"/>
  <c r="F23" i="56"/>
  <c r="F27" i="56"/>
  <c r="J34" i="56"/>
  <c r="J46" i="56"/>
  <c r="J54" i="56"/>
  <c r="J66" i="56"/>
  <c r="J70" i="56"/>
  <c r="F76" i="56"/>
  <c r="J22" i="57"/>
  <c r="V33" i="57"/>
  <c r="J39" i="57"/>
  <c r="V55" i="57"/>
  <c r="R65" i="57"/>
  <c r="P72" i="57"/>
  <c r="Z40" i="58"/>
  <c r="L60" i="58"/>
  <c r="F44" i="60"/>
  <c r="Z52" i="63"/>
  <c r="X52" i="63"/>
  <c r="Z64" i="63"/>
  <c r="X64" i="63"/>
  <c r="Z14" i="58"/>
  <c r="J30" i="58"/>
  <c r="V32" i="58"/>
  <c r="R37" i="58"/>
  <c r="R38" i="58"/>
  <c r="V40" i="58"/>
  <c r="J46" i="58"/>
  <c r="R49" i="58"/>
  <c r="R50" i="58"/>
  <c r="J54" i="58"/>
  <c r="V56" i="58"/>
  <c r="V64" i="58"/>
  <c r="R75" i="58"/>
  <c r="J31" i="59"/>
  <c r="R32" i="59"/>
  <c r="J35" i="59"/>
  <c r="R36" i="59"/>
  <c r="R37" i="59"/>
  <c r="J43" i="59"/>
  <c r="R52" i="59"/>
  <c r="F56" i="59"/>
  <c r="J57" i="59"/>
  <c r="R60" i="59"/>
  <c r="J69" i="59"/>
  <c r="J72" i="59"/>
  <c r="N14" i="60"/>
  <c r="J28" i="60"/>
  <c r="R31" i="60"/>
  <c r="R32" i="60"/>
  <c r="R39" i="60"/>
  <c r="R40" i="60"/>
  <c r="J46" i="60"/>
  <c r="Z14" i="61"/>
  <c r="F21" i="61"/>
  <c r="F25" i="61"/>
  <c r="F30" i="61"/>
  <c r="R31" i="61"/>
  <c r="V41" i="61"/>
  <c r="J44" i="61"/>
  <c r="R45" i="61"/>
  <c r="L48" i="61"/>
  <c r="N48" i="61" s="1"/>
  <c r="J49" i="61"/>
  <c r="J57" i="61"/>
  <c r="N14" i="63"/>
  <c r="H17" i="63"/>
  <c r="F19" i="63"/>
  <c r="R26" i="63"/>
  <c r="F28" i="63"/>
  <c r="R32" i="63"/>
  <c r="F36" i="63"/>
  <c r="N42" i="63"/>
  <c r="L47" i="63"/>
  <c r="N47" i="63" s="1"/>
  <c r="R61" i="63"/>
  <c r="V64" i="63"/>
  <c r="R76" i="63"/>
  <c r="N88" i="63"/>
  <c r="V104" i="63"/>
  <c r="R111" i="63"/>
  <c r="X20" i="67"/>
  <c r="V56" i="68"/>
  <c r="V37" i="68"/>
  <c r="V29" i="68"/>
  <c r="T16" i="68"/>
  <c r="V58" i="68"/>
  <c r="V48" i="68"/>
  <c r="V36" i="68"/>
  <c r="V24" i="68"/>
  <c r="V20" i="68"/>
  <c r="V39" i="68"/>
  <c r="V50" i="68"/>
  <c r="V38" i="68"/>
  <c r="V30" i="68"/>
  <c r="V49" i="68"/>
  <c r="V41" i="68"/>
  <c r="V25" i="68"/>
  <c r="V21" i="68"/>
  <c r="V62" i="68"/>
  <c r="V60" i="68"/>
  <c r="V40" i="68"/>
  <c r="V32" i="68"/>
  <c r="V65" i="68"/>
  <c r="V51" i="68"/>
  <c r="V43" i="68"/>
  <c r="V31" i="68"/>
  <c r="V42" i="68"/>
  <c r="V34" i="68"/>
  <c r="V26" i="68"/>
  <c r="V22" i="68"/>
  <c r="V53" i="68"/>
  <c r="V45" i="68"/>
  <c r="V33" i="68"/>
  <c r="V52" i="68"/>
  <c r="V44" i="68"/>
  <c r="V28" i="68"/>
  <c r="Z12" i="68"/>
  <c r="X19" i="68"/>
  <c r="V27" i="68"/>
  <c r="Z39" i="68"/>
  <c r="N50" i="68"/>
  <c r="L50" i="68"/>
  <c r="R31" i="58"/>
  <c r="R35" i="58"/>
  <c r="R36" i="58"/>
  <c r="R47" i="58"/>
  <c r="R48" i="58"/>
  <c r="R55" i="58"/>
  <c r="J68" i="58"/>
  <c r="D16" i="59"/>
  <c r="J21" i="59"/>
  <c r="J25" i="59"/>
  <c r="J29" i="59"/>
  <c r="J41" i="59"/>
  <c r="J49" i="59"/>
  <c r="R50" i="59"/>
  <c r="R51" i="59"/>
  <c r="R58" i="59"/>
  <c r="R59" i="59"/>
  <c r="F63" i="59"/>
  <c r="F65" i="59"/>
  <c r="J67" i="59"/>
  <c r="F14" i="61"/>
  <c r="F16" i="61"/>
  <c r="F18" i="61"/>
  <c r="R49" i="61"/>
  <c r="F55" i="61"/>
  <c r="R49" i="63"/>
  <c r="N58" i="63"/>
  <c r="V74" i="63"/>
  <c r="V54" i="68"/>
  <c r="R72" i="69"/>
  <c r="R65" i="69"/>
  <c r="R53" i="69"/>
  <c r="R42" i="69"/>
  <c r="R41" i="69"/>
  <c r="R61" i="69"/>
  <c r="R60" i="69"/>
  <c r="R44" i="69"/>
  <c r="R43" i="69"/>
  <c r="R35" i="69"/>
  <c r="R16" i="69"/>
  <c r="R76" i="69"/>
  <c r="R66" i="69"/>
  <c r="R62" i="69"/>
  <c r="R55" i="69"/>
  <c r="R54" i="69"/>
  <c r="R30" i="69"/>
  <c r="R26" i="69"/>
  <c r="R23" i="69"/>
  <c r="R57" i="69"/>
  <c r="R50" i="69"/>
  <c r="R49" i="69"/>
  <c r="R38" i="69"/>
  <c r="R37" i="69"/>
  <c r="R52" i="69"/>
  <c r="R51" i="69"/>
  <c r="R40" i="69"/>
  <c r="R39" i="69"/>
  <c r="R67" i="69"/>
  <c r="R63" i="69"/>
  <c r="R31" i="69"/>
  <c r="R18" i="69"/>
  <c r="R32" i="69"/>
  <c r="R59" i="69"/>
  <c r="R46" i="69"/>
  <c r="R70" i="69"/>
  <c r="R29" i="69"/>
  <c r="R22" i="69"/>
  <c r="P20" i="69"/>
  <c r="R33" i="69"/>
  <c r="R68" i="69"/>
  <c r="R64" i="69"/>
  <c r="R47" i="69"/>
  <c r="R36" i="69"/>
  <c r="R24" i="69"/>
  <c r="R27" i="69"/>
  <c r="X12" i="69"/>
  <c r="R48" i="69"/>
  <c r="R17" i="69"/>
  <c r="N50" i="69"/>
  <c r="L50" i="69"/>
  <c r="V114" i="76"/>
  <c r="V104" i="76"/>
  <c r="V96" i="76"/>
  <c r="V76" i="76"/>
  <c r="V64" i="76"/>
  <c r="V60" i="76"/>
  <c r="V87" i="76"/>
  <c r="V75" i="76"/>
  <c r="V51" i="76"/>
  <c r="V47" i="76"/>
  <c r="V43" i="76"/>
  <c r="V39" i="76"/>
  <c r="V98" i="76"/>
  <c r="V86" i="76"/>
  <c r="V78" i="76"/>
  <c r="V70" i="76"/>
  <c r="V97" i="76"/>
  <c r="V89" i="76"/>
  <c r="V77" i="76"/>
  <c r="V65" i="76"/>
  <c r="V61" i="76"/>
  <c r="V100" i="76"/>
  <c r="V88" i="76"/>
  <c r="V80" i="76"/>
  <c r="V52" i="76"/>
  <c r="V48" i="76"/>
  <c r="V102" i="76"/>
  <c r="V90" i="76"/>
  <c r="V82" i="76"/>
  <c r="V66" i="76"/>
  <c r="V62" i="76"/>
  <c r="V58" i="76"/>
  <c r="V101" i="76"/>
  <c r="V93" i="76"/>
  <c r="V81" i="76"/>
  <c r="V57" i="76"/>
  <c r="V53" i="76"/>
  <c r="V49" i="76"/>
  <c r="V45" i="76"/>
  <c r="V41" i="76"/>
  <c r="V110" i="76"/>
  <c r="V92" i="76"/>
  <c r="V84" i="76"/>
  <c r="V72" i="76"/>
  <c r="V68" i="76"/>
  <c r="V109" i="76"/>
  <c r="V103" i="76"/>
  <c r="V95" i="76"/>
  <c r="V83" i="76"/>
  <c r="V67" i="76"/>
  <c r="V63" i="76"/>
  <c r="V59" i="76"/>
  <c r="V108" i="76"/>
  <c r="V94" i="76"/>
  <c r="V74" i="76"/>
  <c r="V50" i="76"/>
  <c r="V46" i="76"/>
  <c r="V42" i="76"/>
  <c r="V38" i="76"/>
  <c r="V71" i="76"/>
  <c r="T55" i="76"/>
  <c r="V73" i="76"/>
  <c r="V79" i="76"/>
  <c r="V91" i="76"/>
  <c r="V85" i="76"/>
  <c r="V44" i="76"/>
  <c r="V40" i="76"/>
  <c r="V69" i="76"/>
  <c r="V99" i="76"/>
  <c r="V107" i="76"/>
  <c r="H16" i="58"/>
  <c r="V31" i="58"/>
  <c r="V35" i="58"/>
  <c r="J43" i="58"/>
  <c r="V47" i="58"/>
  <c r="V55" i="58"/>
  <c r="J59" i="58"/>
  <c r="J67" i="58"/>
  <c r="R71" i="58"/>
  <c r="R73" i="58"/>
  <c r="F14" i="59"/>
  <c r="F16" i="59"/>
  <c r="F18" i="59"/>
  <c r="R31" i="59"/>
  <c r="J34" i="59"/>
  <c r="R35" i="59"/>
  <c r="R43" i="59"/>
  <c r="R44" i="59"/>
  <c r="F54" i="59"/>
  <c r="F55" i="59"/>
  <c r="R19" i="60"/>
  <c r="J43" i="60"/>
  <c r="R46" i="60"/>
  <c r="H16" i="61"/>
  <c r="F19" i="61"/>
  <c r="F20" i="61"/>
  <c r="F24" i="61"/>
  <c r="R44" i="61"/>
  <c r="V49" i="61"/>
  <c r="R57" i="61"/>
  <c r="V60" i="61"/>
  <c r="D17" i="63"/>
  <c r="F22" i="63"/>
  <c r="R28" i="63"/>
  <c r="R36" i="63"/>
  <c r="R42" i="63"/>
  <c r="Z47" i="63"/>
  <c r="V63" i="63"/>
  <c r="R72" i="63"/>
  <c r="R84" i="63"/>
  <c r="X88" i="63"/>
  <c r="R106" i="63"/>
  <c r="X12" i="67"/>
  <c r="R22" i="67"/>
  <c r="R20" i="67"/>
  <c r="R18" i="67"/>
  <c r="R16" i="67"/>
  <c r="R14" i="67"/>
  <c r="P16" i="67"/>
  <c r="R29" i="67"/>
  <c r="V35" i="68"/>
  <c r="Z50" i="68"/>
  <c r="J27" i="69"/>
  <c r="R56" i="69"/>
  <c r="N104" i="70"/>
  <c r="F78" i="63"/>
  <c r="F77" i="63"/>
  <c r="F70" i="63"/>
  <c r="F104" i="63"/>
  <c r="F102" i="63"/>
  <c r="F97" i="63"/>
  <c r="F96" i="63"/>
  <c r="F89" i="63"/>
  <c r="F88" i="63"/>
  <c r="F65" i="63"/>
  <c r="F64" i="63"/>
  <c r="F53" i="63"/>
  <c r="F52" i="63"/>
  <c r="F45" i="63"/>
  <c r="F44" i="63"/>
  <c r="F106" i="63"/>
  <c r="F101" i="63"/>
  <c r="F84" i="63"/>
  <c r="F72" i="63"/>
  <c r="F71" i="63"/>
  <c r="F100" i="63"/>
  <c r="F91" i="63"/>
  <c r="F90" i="63"/>
  <c r="F79" i="63"/>
  <c r="F67" i="63"/>
  <c r="F66" i="63"/>
  <c r="F55" i="63"/>
  <c r="F54" i="63"/>
  <c r="F27" i="63"/>
  <c r="F23" i="63"/>
  <c r="F99" i="63"/>
  <c r="F74" i="63"/>
  <c r="F73" i="63"/>
  <c r="F75" i="63"/>
  <c r="F59" i="63"/>
  <c r="F58" i="63"/>
  <c r="F15" i="63"/>
  <c r="F14" i="63"/>
  <c r="F94" i="63"/>
  <c r="F86" i="63"/>
  <c r="F82" i="63"/>
  <c r="F69" i="63"/>
  <c r="F61" i="63"/>
  <c r="F60" i="63"/>
  <c r="F49" i="63"/>
  <c r="F41" i="63"/>
  <c r="F25" i="63"/>
  <c r="F21" i="63"/>
  <c r="F20" i="63"/>
  <c r="F17" i="63"/>
  <c r="F35" i="63"/>
  <c r="F38" i="63"/>
  <c r="F87" i="63"/>
  <c r="Z88" i="63"/>
  <c r="F92" i="63"/>
  <c r="P12" i="70"/>
  <c r="X14" i="70"/>
  <c r="F53" i="61"/>
  <c r="F51" i="61"/>
  <c r="F42" i="61"/>
  <c r="F41" i="61"/>
  <c r="F36" i="61"/>
  <c r="L37" i="61"/>
  <c r="N37" i="61" s="1"/>
  <c r="F46" i="61"/>
  <c r="F47" i="61"/>
  <c r="X42" i="63"/>
  <c r="Z42" i="63" s="1"/>
  <c r="F46" i="63"/>
  <c r="X56" i="63"/>
  <c r="Z56" i="63" s="1"/>
  <c r="F62" i="63"/>
  <c r="N77" i="63"/>
  <c r="Z80" i="63"/>
  <c r="X80" i="63"/>
  <c r="X99" i="63"/>
  <c r="P62" i="68"/>
  <c r="Z47" i="68"/>
  <c r="J68" i="69"/>
  <c r="J64" i="69"/>
  <c r="J50" i="69"/>
  <c r="J38" i="69"/>
  <c r="J69" i="69"/>
  <c r="J70" i="69"/>
  <c r="J58" i="69"/>
  <c r="J52" i="69"/>
  <c r="J40" i="69"/>
  <c r="J34" i="69"/>
  <c r="J65" i="69"/>
  <c r="J59" i="69"/>
  <c r="J53" i="69"/>
  <c r="J41" i="69"/>
  <c r="J29" i="69"/>
  <c r="J25" i="69"/>
  <c r="J72" i="69"/>
  <c r="J55" i="69"/>
  <c r="J45" i="69"/>
  <c r="J56" i="69"/>
  <c r="J46" i="69"/>
  <c r="J48" i="69"/>
  <c r="J17" i="69"/>
  <c r="J61" i="69"/>
  <c r="J51" i="69"/>
  <c r="J37" i="69"/>
  <c r="J28" i="69"/>
  <c r="J76" i="69"/>
  <c r="J67" i="69"/>
  <c r="J63" i="69"/>
  <c r="J31" i="69"/>
  <c r="J18" i="69"/>
  <c r="J54" i="69"/>
  <c r="J43" i="69"/>
  <c r="J49" i="69"/>
  <c r="J35" i="69"/>
  <c r="J32" i="69"/>
  <c r="J26" i="69"/>
  <c r="J57" i="69"/>
  <c r="J23" i="69"/>
  <c r="J44" i="69"/>
  <c r="J22" i="69"/>
  <c r="H20" i="69"/>
  <c r="J66" i="69"/>
  <c r="J62" i="69"/>
  <c r="J33" i="69"/>
  <c r="J60" i="69"/>
  <c r="J47" i="69"/>
  <c r="J36" i="69"/>
  <c r="J24" i="69"/>
  <c r="N16" i="69"/>
  <c r="Z52" i="69"/>
  <c r="V30" i="58"/>
  <c r="V34" i="58"/>
  <c r="J40" i="58"/>
  <c r="R43" i="58"/>
  <c r="R44" i="58"/>
  <c r="V46" i="58"/>
  <c r="V54" i="58"/>
  <c r="J58" i="58"/>
  <c r="R59" i="58"/>
  <c r="R60" i="58"/>
  <c r="J64" i="58"/>
  <c r="R67" i="58"/>
  <c r="R68" i="58"/>
  <c r="J19" i="59"/>
  <c r="J33" i="59"/>
  <c r="R34" i="59"/>
  <c r="F37" i="59"/>
  <c r="F38" i="59"/>
  <c r="J39" i="59"/>
  <c r="J53" i="59"/>
  <c r="J61" i="59"/>
  <c r="J34" i="60"/>
  <c r="J54" i="60"/>
  <c r="J57" i="60"/>
  <c r="J47" i="61"/>
  <c r="J37" i="61"/>
  <c r="J55" i="61"/>
  <c r="J43" i="61"/>
  <c r="J33" i="61"/>
  <c r="J29" i="61"/>
  <c r="F23" i="61"/>
  <c r="F27" i="61"/>
  <c r="J28" i="61"/>
  <c r="F35" i="61"/>
  <c r="J36" i="61"/>
  <c r="R43" i="61"/>
  <c r="R48" i="61"/>
  <c r="J53" i="61"/>
  <c r="L12" i="63"/>
  <c r="X14" i="63"/>
  <c r="F24" i="63"/>
  <c r="V38" i="63"/>
  <c r="V41" i="63"/>
  <c r="F48" i="63"/>
  <c r="V58" i="63"/>
  <c r="N62" i="63"/>
  <c r="L62" i="63"/>
  <c r="V67" i="63"/>
  <c r="F83" i="63"/>
  <c r="F85" i="63"/>
  <c r="X102" i="63"/>
  <c r="Z102" i="63" s="1"/>
  <c r="H22" i="67"/>
  <c r="N16" i="67"/>
  <c r="J16" i="69"/>
  <c r="R34" i="69"/>
  <c r="Z64" i="70"/>
  <c r="X64" i="70"/>
  <c r="R52" i="58"/>
  <c r="J38" i="59"/>
  <c r="L39" i="59"/>
  <c r="N39" i="59" s="1"/>
  <c r="X57" i="59"/>
  <c r="Z57" i="59" s="1"/>
  <c r="X28" i="60"/>
  <c r="Z28" i="60" s="1"/>
  <c r="J33" i="60"/>
  <c r="L34" i="60"/>
  <c r="N34" i="60" s="1"/>
  <c r="J41" i="60"/>
  <c r="R42" i="60"/>
  <c r="R43" i="60"/>
  <c r="L12" i="61"/>
  <c r="P16" i="61"/>
  <c r="R20" i="61"/>
  <c r="J23" i="61"/>
  <c r="R24" i="61"/>
  <c r="J27" i="61"/>
  <c r="L28" i="61"/>
  <c r="N28" i="61" s="1"/>
  <c r="R29" i="61"/>
  <c r="X39" i="61"/>
  <c r="J41" i="61"/>
  <c r="R42" i="61"/>
  <c r="J46" i="61"/>
  <c r="R74" i="63"/>
  <c r="R47" i="63"/>
  <c r="R46" i="63"/>
  <c r="R39" i="63"/>
  <c r="R38" i="63"/>
  <c r="R93" i="63"/>
  <c r="R85" i="63"/>
  <c r="R81" i="63"/>
  <c r="R58" i="63"/>
  <c r="R57" i="63"/>
  <c r="R33" i="63"/>
  <c r="R14" i="63"/>
  <c r="R68" i="63"/>
  <c r="R48" i="63"/>
  <c r="R75" i="63"/>
  <c r="R60" i="63"/>
  <c r="R59" i="63"/>
  <c r="R20" i="63"/>
  <c r="R15" i="63"/>
  <c r="R94" i="63"/>
  <c r="R86" i="63"/>
  <c r="R82" i="63"/>
  <c r="R104" i="63"/>
  <c r="R102" i="63"/>
  <c r="R96" i="63"/>
  <c r="R95" i="63"/>
  <c r="R88" i="63"/>
  <c r="R87" i="63"/>
  <c r="R83" i="63"/>
  <c r="R64" i="63"/>
  <c r="R63" i="63"/>
  <c r="R52" i="63"/>
  <c r="R51" i="63"/>
  <c r="R44" i="63"/>
  <c r="R43" i="63"/>
  <c r="R35" i="63"/>
  <c r="R31" i="63"/>
  <c r="R101" i="63"/>
  <c r="R78" i="63"/>
  <c r="R71" i="63"/>
  <c r="R70" i="63"/>
  <c r="R100" i="63"/>
  <c r="R97" i="63"/>
  <c r="R90" i="63"/>
  <c r="R89" i="63"/>
  <c r="R66" i="63"/>
  <c r="R65" i="63"/>
  <c r="R54" i="63"/>
  <c r="R53" i="63"/>
  <c r="R45" i="63"/>
  <c r="P17" i="63"/>
  <c r="R27" i="63"/>
  <c r="F30" i="63"/>
  <c r="F37" i="63"/>
  <c r="F40" i="63"/>
  <c r="F43" i="63"/>
  <c r="F50" i="63"/>
  <c r="R55" i="63"/>
  <c r="F57" i="63"/>
  <c r="N64" i="63"/>
  <c r="R69" i="63"/>
  <c r="R79" i="63"/>
  <c r="F81" i="63"/>
  <c r="R92" i="63"/>
  <c r="F108" i="63"/>
  <c r="V14" i="68"/>
  <c r="V60" i="69"/>
  <c r="V44" i="69"/>
  <c r="V76" i="69"/>
  <c r="V66" i="69"/>
  <c r="V62" i="69"/>
  <c r="V54" i="69"/>
  <c r="V46" i="69"/>
  <c r="V30" i="69"/>
  <c r="V26" i="69"/>
  <c r="V45" i="69"/>
  <c r="V69" i="69"/>
  <c r="V57" i="69"/>
  <c r="V49" i="69"/>
  <c r="V37" i="69"/>
  <c r="V33" i="69"/>
  <c r="V68" i="69"/>
  <c r="V64" i="69"/>
  <c r="V52" i="69"/>
  <c r="V40" i="69"/>
  <c r="V72" i="69"/>
  <c r="V70" i="69"/>
  <c r="V58" i="69"/>
  <c r="V42" i="69"/>
  <c r="V65" i="69"/>
  <c r="V59" i="69"/>
  <c r="V20" i="69"/>
  <c r="V43" i="69"/>
  <c r="V23" i="69"/>
  <c r="V22" i="69"/>
  <c r="T20" i="69"/>
  <c r="V35" i="69"/>
  <c r="V29" i="69"/>
  <c r="V38" i="69"/>
  <c r="V55" i="69"/>
  <c r="V47" i="69"/>
  <c r="V41" i="69"/>
  <c r="V36" i="69"/>
  <c r="V24" i="69"/>
  <c r="V16" i="69"/>
  <c r="V50" i="69"/>
  <c r="V27" i="69"/>
  <c r="V48" i="69"/>
  <c r="Z12" i="69"/>
  <c r="V53" i="69"/>
  <c r="V39" i="69"/>
  <c r="V17" i="69"/>
  <c r="V56" i="69"/>
  <c r="V25" i="69"/>
  <c r="R25" i="69"/>
  <c r="J30" i="69"/>
  <c r="V34" i="69"/>
  <c r="V61" i="69"/>
  <c r="R14" i="58"/>
  <c r="R16" i="58"/>
  <c r="R18" i="58"/>
  <c r="V20" i="58"/>
  <c r="V24" i="58"/>
  <c r="V28" i="58"/>
  <c r="J32" i="58"/>
  <c r="R33" i="58"/>
  <c r="J38" i="58"/>
  <c r="R41" i="58"/>
  <c r="R42" i="58"/>
  <c r="V44" i="58"/>
  <c r="J50" i="58"/>
  <c r="V52" i="58"/>
  <c r="J56" i="58"/>
  <c r="V60" i="58"/>
  <c r="R65" i="58"/>
  <c r="R66" i="58"/>
  <c r="V68" i="58"/>
  <c r="L12" i="59"/>
  <c r="P16" i="59"/>
  <c r="R20" i="59"/>
  <c r="J23" i="59"/>
  <c r="R24" i="59"/>
  <c r="J27" i="59"/>
  <c r="R28" i="59"/>
  <c r="F32" i="59"/>
  <c r="F36" i="59"/>
  <c r="J37" i="59"/>
  <c r="R40" i="59"/>
  <c r="J47" i="59"/>
  <c r="R48" i="59"/>
  <c r="F51" i="59"/>
  <c r="F52" i="59"/>
  <c r="F59" i="59"/>
  <c r="F60" i="59"/>
  <c r="R63" i="59"/>
  <c r="R65" i="59"/>
  <c r="J32" i="60"/>
  <c r="R35" i="60"/>
  <c r="J40" i="60"/>
  <c r="J52" i="60"/>
  <c r="N12" i="61"/>
  <c r="R14" i="61"/>
  <c r="R16" i="61"/>
  <c r="R18" i="61"/>
  <c r="F31" i="61"/>
  <c r="R32" i="61"/>
  <c r="J35" i="61"/>
  <c r="R37" i="61"/>
  <c r="V42" i="61"/>
  <c r="F45" i="61"/>
  <c r="J51" i="61"/>
  <c r="F60" i="61"/>
  <c r="V93" i="63"/>
  <c r="V85" i="63"/>
  <c r="V81" i="63"/>
  <c r="V57" i="63"/>
  <c r="V33" i="63"/>
  <c r="V29" i="63"/>
  <c r="V68" i="63"/>
  <c r="V60" i="63"/>
  <c r="V48" i="63"/>
  <c r="V40" i="63"/>
  <c r="V28" i="63"/>
  <c r="V24" i="63"/>
  <c r="V20" i="63"/>
  <c r="V75" i="63"/>
  <c r="V59" i="63"/>
  <c r="V94" i="63"/>
  <c r="V86" i="63"/>
  <c r="V82" i="63"/>
  <c r="V62" i="63"/>
  <c r="V50" i="63"/>
  <c r="V42" i="63"/>
  <c r="V34" i="63"/>
  <c r="V30" i="63"/>
  <c r="T17" i="63"/>
  <c r="V77" i="63"/>
  <c r="V69" i="63"/>
  <c r="V61" i="63"/>
  <c r="V49" i="63"/>
  <c r="V100" i="63"/>
  <c r="V90" i="63"/>
  <c r="V78" i="63"/>
  <c r="V70" i="63"/>
  <c r="V66" i="63"/>
  <c r="V54" i="63"/>
  <c r="V26" i="63"/>
  <c r="V22" i="63"/>
  <c r="V99" i="63"/>
  <c r="V97" i="63"/>
  <c r="V89" i="63"/>
  <c r="V73" i="63"/>
  <c r="V65" i="63"/>
  <c r="V53" i="63"/>
  <c r="V45" i="63"/>
  <c r="V111" i="63"/>
  <c r="V108" i="63"/>
  <c r="V106" i="63"/>
  <c r="V92" i="63"/>
  <c r="V84" i="63"/>
  <c r="V80" i="63"/>
  <c r="V72" i="63"/>
  <c r="V56" i="63"/>
  <c r="V36" i="63"/>
  <c r="V32" i="63"/>
  <c r="R17" i="63"/>
  <c r="V27" i="63"/>
  <c r="F29" i="63"/>
  <c r="V35" i="63"/>
  <c r="Z44" i="63"/>
  <c r="L50" i="63"/>
  <c r="N50" i="63" s="1"/>
  <c r="V55" i="63"/>
  <c r="R62" i="63"/>
  <c r="R77" i="63"/>
  <c r="V79" i="63"/>
  <c r="V87" i="63"/>
  <c r="X92" i="63"/>
  <c r="Z92" i="63" s="1"/>
  <c r="X96" i="63"/>
  <c r="Z96" i="63" s="1"/>
  <c r="V102" i="63"/>
  <c r="R108" i="63"/>
  <c r="L41" i="68"/>
  <c r="Z16" i="69"/>
  <c r="J39" i="69"/>
  <c r="R19" i="58"/>
  <c r="R58" i="58"/>
  <c r="V65" i="58"/>
  <c r="J75" i="58"/>
  <c r="N12" i="59"/>
  <c r="J32" i="59"/>
  <c r="J36" i="59"/>
  <c r="J46" i="59"/>
  <c r="J52" i="59"/>
  <c r="R53" i="59"/>
  <c r="R54" i="59"/>
  <c r="J60" i="59"/>
  <c r="R61" i="59"/>
  <c r="J39" i="60"/>
  <c r="R53" i="61"/>
  <c r="R51" i="61"/>
  <c r="R41" i="61"/>
  <c r="R40" i="61"/>
  <c r="R35" i="61"/>
  <c r="R34" i="61"/>
  <c r="R30" i="61"/>
  <c r="R19" i="61"/>
  <c r="F22" i="61"/>
  <c r="F26" i="61"/>
  <c r="J31" i="61"/>
  <c r="F34" i="61"/>
  <c r="R36" i="61"/>
  <c r="F40" i="61"/>
  <c r="J45" i="61"/>
  <c r="R24" i="63"/>
  <c r="F26" i="63"/>
  <c r="F32" i="63"/>
  <c r="V44" i="63"/>
  <c r="R73" i="63"/>
  <c r="X77" i="63"/>
  <c r="Z77" i="63" s="1"/>
  <c r="F95" i="63"/>
  <c r="X28" i="68"/>
  <c r="Z28" i="68" s="1"/>
  <c r="V46" i="68"/>
  <c r="V51" i="69"/>
  <c r="N23" i="70"/>
  <c r="V14" i="58"/>
  <c r="V16" i="58"/>
  <c r="V18" i="58"/>
  <c r="J22" i="58"/>
  <c r="R23" i="58"/>
  <c r="J26" i="58"/>
  <c r="R27" i="58"/>
  <c r="J36" i="58"/>
  <c r="R39" i="58"/>
  <c r="R40" i="58"/>
  <c r="V42" i="58"/>
  <c r="J48" i="58"/>
  <c r="R51" i="58"/>
  <c r="V58" i="58"/>
  <c r="R63" i="58"/>
  <c r="R19" i="59"/>
  <c r="F22" i="59"/>
  <c r="F26" i="59"/>
  <c r="R38" i="59"/>
  <c r="J45" i="59"/>
  <c r="F50" i="59"/>
  <c r="J51" i="59"/>
  <c r="F57" i="59"/>
  <c r="F58" i="59"/>
  <c r="F69" i="59"/>
  <c r="J14" i="60"/>
  <c r="J16" i="60"/>
  <c r="J18" i="60"/>
  <c r="J20" i="60"/>
  <c r="R21" i="60"/>
  <c r="J24" i="60"/>
  <c r="R25" i="60"/>
  <c r="J30" i="60"/>
  <c r="R33" i="60"/>
  <c r="R34" i="60"/>
  <c r="J38" i="60"/>
  <c r="R41" i="60"/>
  <c r="J48" i="60"/>
  <c r="R54" i="60"/>
  <c r="V43" i="61"/>
  <c r="V45" i="61"/>
  <c r="V37" i="61"/>
  <c r="V14" i="61"/>
  <c r="V16" i="61"/>
  <c r="V18" i="61"/>
  <c r="J22" i="61"/>
  <c r="R23" i="61"/>
  <c r="J26" i="61"/>
  <c r="R27" i="61"/>
  <c r="R28" i="61"/>
  <c r="J34" i="61"/>
  <c r="V36" i="61"/>
  <c r="J40" i="61"/>
  <c r="F57" i="61"/>
  <c r="J60" i="61"/>
  <c r="Z12" i="63"/>
  <c r="R21" i="63"/>
  <c r="R30" i="63"/>
  <c r="F34" i="63"/>
  <c r="F39" i="63"/>
  <c r="R40" i="63"/>
  <c r="R50" i="63"/>
  <c r="F68" i="63"/>
  <c r="V71" i="63"/>
  <c r="F76" i="63"/>
  <c r="V83" i="63"/>
  <c r="R91" i="63"/>
  <c r="F93" i="63"/>
  <c r="V96" i="63"/>
  <c r="N99" i="63"/>
  <c r="V16" i="68"/>
  <c r="Z32" i="68"/>
  <c r="R28" i="69"/>
  <c r="V32" i="69"/>
  <c r="R45" i="69"/>
  <c r="J66" i="72"/>
  <c r="J58" i="72"/>
  <c r="J48" i="72"/>
  <c r="J42" i="72"/>
  <c r="J83" i="72"/>
  <c r="J75" i="72"/>
  <c r="J63" i="72"/>
  <c r="J55" i="72"/>
  <c r="J69" i="72"/>
  <c r="J64" i="72"/>
  <c r="J60" i="72"/>
  <c r="J56" i="72"/>
  <c r="J50" i="72"/>
  <c r="J45" i="72"/>
  <c r="J37" i="72"/>
  <c r="J33" i="72"/>
  <c r="J23" i="72"/>
  <c r="J77" i="72"/>
  <c r="J74" i="72"/>
  <c r="J65" i="72"/>
  <c r="J61" i="72"/>
  <c r="J24" i="72"/>
  <c r="J70" i="72"/>
  <c r="J57" i="72"/>
  <c r="J51" i="72"/>
  <c r="J78" i="72"/>
  <c r="J71" i="72"/>
  <c r="J62" i="72"/>
  <c r="J46" i="72"/>
  <c r="J43" i="72"/>
  <c r="J38" i="72"/>
  <c r="J34" i="72"/>
  <c r="J52" i="72"/>
  <c r="J39" i="72"/>
  <c r="J25" i="72"/>
  <c r="J72" i="72"/>
  <c r="J47" i="72"/>
  <c r="J40" i="72"/>
  <c r="J30" i="72"/>
  <c r="J87" i="72"/>
  <c r="J79" i="72"/>
  <c r="J53" i="72"/>
  <c r="J35" i="72"/>
  <c r="J31" i="72"/>
  <c r="J29" i="72"/>
  <c r="J27" i="72"/>
  <c r="J67" i="72"/>
  <c r="J54" i="72"/>
  <c r="H27" i="72"/>
  <c r="J76" i="72"/>
  <c r="J73" i="72"/>
  <c r="J68" i="72"/>
  <c r="J49" i="72"/>
  <c r="J36" i="72"/>
  <c r="J32" i="72"/>
  <c r="J44" i="72"/>
  <c r="J81" i="72"/>
  <c r="J59" i="72"/>
  <c r="J41" i="72"/>
  <c r="J80" i="72"/>
  <c r="J42" i="63"/>
  <c r="J50" i="63"/>
  <c r="J62" i="63"/>
  <c r="J76" i="63"/>
  <c r="N14" i="67"/>
  <c r="V24" i="67"/>
  <c r="V26" i="67"/>
  <c r="V29" i="67"/>
  <c r="F21" i="68"/>
  <c r="F25" i="68"/>
  <c r="R33" i="68"/>
  <c r="R34" i="68"/>
  <c r="J40" i="68"/>
  <c r="F49" i="68"/>
  <c r="J50" i="68"/>
  <c r="J60" i="68"/>
  <c r="L13" i="70"/>
  <c r="Z14" i="70"/>
  <c r="L39" i="70"/>
  <c r="L41" i="70"/>
  <c r="Z104" i="70"/>
  <c r="H12" i="73"/>
  <c r="Z24" i="76"/>
  <c r="V64" i="79"/>
  <c r="V52" i="79"/>
  <c r="V44" i="79"/>
  <c r="V66" i="79"/>
  <c r="V65" i="79"/>
  <c r="V61" i="79"/>
  <c r="V43" i="79"/>
  <c r="V58" i="79"/>
  <c r="V42" i="79"/>
  <c r="V34" i="79"/>
  <c r="V49" i="79"/>
  <c r="V29" i="79"/>
  <c r="V25" i="79"/>
  <c r="V45" i="79"/>
  <c r="V16" i="79"/>
  <c r="V62" i="79"/>
  <c r="V55" i="79"/>
  <c r="V51" i="79"/>
  <c r="V35" i="79"/>
  <c r="V31" i="79"/>
  <c r="V67" i="79"/>
  <c r="V59" i="79"/>
  <c r="V50" i="79"/>
  <c r="V30" i="79"/>
  <c r="V26" i="79"/>
  <c r="V68" i="79"/>
  <c r="V47" i="79"/>
  <c r="V46" i="79"/>
  <c r="V37" i="79"/>
  <c r="V17" i="79"/>
  <c r="V75" i="79"/>
  <c r="V53" i="79"/>
  <c r="V36" i="79"/>
  <c r="V32" i="79"/>
  <c r="Z12" i="79"/>
  <c r="V63" i="79"/>
  <c r="V60" i="79"/>
  <c r="V56" i="79"/>
  <c r="V39" i="79"/>
  <c r="V27" i="79"/>
  <c r="V23" i="79"/>
  <c r="V57" i="79"/>
  <c r="V38" i="79"/>
  <c r="V22" i="79"/>
  <c r="V18" i="79"/>
  <c r="V69" i="79"/>
  <c r="V48" i="79"/>
  <c r="V41" i="79"/>
  <c r="V33" i="79"/>
  <c r="T20" i="79"/>
  <c r="V24" i="79"/>
  <c r="V71" i="79"/>
  <c r="V40" i="79"/>
  <c r="V28" i="79"/>
  <c r="V54" i="79"/>
  <c r="J49" i="63"/>
  <c r="J61" i="63"/>
  <c r="J69" i="63"/>
  <c r="D16" i="68"/>
  <c r="F30" i="68"/>
  <c r="F37" i="68"/>
  <c r="F38" i="68"/>
  <c r="F58" i="68"/>
  <c r="R65" i="68"/>
  <c r="Z42" i="69"/>
  <c r="H12" i="70"/>
  <c r="N39" i="70"/>
  <c r="Z83" i="70"/>
  <c r="N35" i="74"/>
  <c r="L35" i="74"/>
  <c r="J20" i="63"/>
  <c r="J30" i="63"/>
  <c r="J34" i="63"/>
  <c r="J60" i="63"/>
  <c r="J82" i="63"/>
  <c r="J86" i="63"/>
  <c r="J94" i="63"/>
  <c r="N12" i="67"/>
  <c r="F14" i="68"/>
  <c r="F16" i="68"/>
  <c r="F18" i="68"/>
  <c r="J30" i="68"/>
  <c r="R31" i="68"/>
  <c r="R32" i="68"/>
  <c r="J38" i="68"/>
  <c r="R51" i="68"/>
  <c r="F56" i="68"/>
  <c r="R62" i="68"/>
  <c r="N14" i="69"/>
  <c r="N13" i="70"/>
  <c r="Z32" i="70"/>
  <c r="L112" i="70"/>
  <c r="N112" i="70" s="1"/>
  <c r="N30" i="74"/>
  <c r="H16" i="68"/>
  <c r="L15" i="70"/>
  <c r="N15" i="70" s="1"/>
  <c r="L17" i="70"/>
  <c r="Z93" i="70"/>
  <c r="X93" i="70"/>
  <c r="V14" i="67"/>
  <c r="V16" i="67"/>
  <c r="V18" i="67"/>
  <c r="V20" i="67"/>
  <c r="V22" i="67"/>
  <c r="L88" i="70"/>
  <c r="N88" i="70" s="1"/>
  <c r="V93" i="70"/>
  <c r="Z65" i="72"/>
  <c r="N55" i="73"/>
  <c r="Z13" i="75"/>
  <c r="J57" i="63"/>
  <c r="J81" i="63"/>
  <c r="J85" i="63"/>
  <c r="J93" i="63"/>
  <c r="R38" i="68"/>
  <c r="R39" i="68"/>
  <c r="F45" i="68"/>
  <c r="F46" i="68"/>
  <c r="F53" i="68"/>
  <c r="F54" i="68"/>
  <c r="X16" i="69"/>
  <c r="L44" i="70"/>
  <c r="N44" i="70" s="1"/>
  <c r="Z119" i="70"/>
  <c r="X119" i="70"/>
  <c r="T117" i="70"/>
  <c r="V117" i="70" s="1"/>
  <c r="Z80" i="72"/>
  <c r="Z22" i="74"/>
  <c r="X22" i="74"/>
  <c r="L104" i="74"/>
  <c r="N104" i="74" s="1"/>
  <c r="J38" i="63"/>
  <c r="J46" i="63"/>
  <c r="J56" i="63"/>
  <c r="J74" i="63"/>
  <c r="J80" i="63"/>
  <c r="J92" i="63"/>
  <c r="J108" i="63"/>
  <c r="J111" i="63"/>
  <c r="J26" i="67"/>
  <c r="L19" i="68"/>
  <c r="F23" i="68"/>
  <c r="F27" i="68"/>
  <c r="J28" i="68"/>
  <c r="F34" i="68"/>
  <c r="F35" i="68"/>
  <c r="X41" i="68"/>
  <c r="J46" i="68"/>
  <c r="L47" i="68"/>
  <c r="J54" i="68"/>
  <c r="L13" i="69"/>
  <c r="N13" i="69" s="1"/>
  <c r="Z44" i="69"/>
  <c r="X52" i="69"/>
  <c r="N61" i="69"/>
  <c r="L61" i="69"/>
  <c r="L19" i="70"/>
  <c r="N19" i="70" s="1"/>
  <c r="L21" i="70"/>
  <c r="N21" i="70" s="1"/>
  <c r="Z36" i="70"/>
  <c r="N75" i="70"/>
  <c r="L75" i="70"/>
  <c r="Z88" i="70"/>
  <c r="H117" i="70"/>
  <c r="L117" i="70" s="1"/>
  <c r="D12" i="72"/>
  <c r="N19" i="72"/>
  <c r="N48" i="72"/>
  <c r="Z52" i="72"/>
  <c r="J55" i="63"/>
  <c r="J67" i="63"/>
  <c r="J73" i="63"/>
  <c r="J79" i="63"/>
  <c r="J91" i="63"/>
  <c r="J99" i="63"/>
  <c r="F43" i="68"/>
  <c r="F44" i="68"/>
  <c r="R48" i="68"/>
  <c r="F52" i="68"/>
  <c r="F65" i="68"/>
  <c r="D12" i="70"/>
  <c r="X101" i="70"/>
  <c r="Z101" i="70" s="1"/>
  <c r="V101" i="70"/>
  <c r="Z61" i="72"/>
  <c r="X61" i="72"/>
  <c r="N12" i="63"/>
  <c r="J32" i="63"/>
  <c r="J36" i="63"/>
  <c r="J54" i="63"/>
  <c r="J66" i="63"/>
  <c r="J72" i="63"/>
  <c r="J84" i="63"/>
  <c r="J90" i="63"/>
  <c r="J100" i="63"/>
  <c r="J106" i="63"/>
  <c r="R14" i="68"/>
  <c r="R16" i="68"/>
  <c r="R18" i="68"/>
  <c r="F32" i="68"/>
  <c r="F33" i="68"/>
  <c r="J34" i="68"/>
  <c r="J44" i="68"/>
  <c r="J52" i="68"/>
  <c r="F62" i="68"/>
  <c r="L42" i="69"/>
  <c r="L72" i="69"/>
  <c r="X44" i="70"/>
  <c r="Z44" i="70" s="1"/>
  <c r="X118" i="70"/>
  <c r="Z118" i="70" s="1"/>
  <c r="P117" i="70"/>
  <c r="N120" i="70"/>
  <c r="R80" i="72"/>
  <c r="R79" i="72"/>
  <c r="R68" i="72"/>
  <c r="R67" i="72"/>
  <c r="R52" i="72"/>
  <c r="R51" i="72"/>
  <c r="R43" i="72"/>
  <c r="R76" i="72"/>
  <c r="R72" i="72"/>
  <c r="R65" i="72"/>
  <c r="R64" i="72"/>
  <c r="R70" i="72"/>
  <c r="R46" i="72"/>
  <c r="R78" i="72"/>
  <c r="R71" i="72"/>
  <c r="R62" i="72"/>
  <c r="R57" i="72"/>
  <c r="R39" i="72"/>
  <c r="R38" i="72"/>
  <c r="R34" i="72"/>
  <c r="R66" i="72"/>
  <c r="R30" i="72"/>
  <c r="R25" i="72"/>
  <c r="R47" i="72"/>
  <c r="R40" i="72"/>
  <c r="R29" i="72"/>
  <c r="X12" i="72"/>
  <c r="R75" i="72"/>
  <c r="R54" i="72"/>
  <c r="R53" i="72"/>
  <c r="R35" i="72"/>
  <c r="R31" i="72"/>
  <c r="P27" i="72"/>
  <c r="R87" i="72"/>
  <c r="R58" i="72"/>
  <c r="R48" i="72"/>
  <c r="R63" i="72"/>
  <c r="R59" i="72"/>
  <c r="R44" i="72"/>
  <c r="R41" i="72"/>
  <c r="R73" i="72"/>
  <c r="R49" i="72"/>
  <c r="R36" i="72"/>
  <c r="R32" i="72"/>
  <c r="R81" i="72"/>
  <c r="R55" i="72"/>
  <c r="R83" i="72"/>
  <c r="R61" i="72"/>
  <c r="R60" i="72"/>
  <c r="R42" i="72"/>
  <c r="R37" i="72"/>
  <c r="R33" i="72"/>
  <c r="R50" i="72"/>
  <c r="L68" i="72"/>
  <c r="R74" i="72"/>
  <c r="P12" i="73"/>
  <c r="T12" i="74"/>
  <c r="X14" i="74"/>
  <c r="Z14" i="74" s="1"/>
  <c r="J45" i="63"/>
  <c r="J53" i="63"/>
  <c r="J65" i="63"/>
  <c r="J71" i="63"/>
  <c r="J89" i="63"/>
  <c r="J97" i="63"/>
  <c r="R58" i="68"/>
  <c r="R56" i="68"/>
  <c r="R19" i="68"/>
  <c r="F22" i="68"/>
  <c r="F26" i="68"/>
  <c r="J33" i="68"/>
  <c r="F41" i="68"/>
  <c r="J43" i="68"/>
  <c r="R46" i="68"/>
  <c r="R47" i="68"/>
  <c r="R54" i="68"/>
  <c r="X23" i="69"/>
  <c r="Z23" i="69" s="1"/>
  <c r="Z32" i="69"/>
  <c r="X40" i="69"/>
  <c r="Z40" i="69" s="1"/>
  <c r="L23" i="70"/>
  <c r="L25" i="70"/>
  <c r="N25" i="70" s="1"/>
  <c r="L64" i="70"/>
  <c r="N64" i="70" s="1"/>
  <c r="N83" i="70"/>
  <c r="L120" i="70"/>
  <c r="L13" i="72"/>
  <c r="N13" i="72" s="1"/>
  <c r="R24" i="72"/>
  <c r="Z46" i="72"/>
  <c r="Z15" i="73"/>
  <c r="N19" i="73"/>
  <c r="X27" i="73"/>
  <c r="Z27" i="73" s="1"/>
  <c r="Z17" i="76"/>
  <c r="V44" i="70"/>
  <c r="V48" i="70"/>
  <c r="V52" i="70"/>
  <c r="V56" i="70"/>
  <c r="V60" i="70"/>
  <c r="V62" i="70"/>
  <c r="V64" i="70"/>
  <c r="V88" i="70"/>
  <c r="V96" i="70"/>
  <c r="V104" i="70"/>
  <c r="V108" i="70"/>
  <c r="N118" i="70"/>
  <c r="V24" i="72"/>
  <c r="V45" i="72"/>
  <c r="V46" i="72"/>
  <c r="X50" i="72"/>
  <c r="Z50" i="72" s="1"/>
  <c r="V77" i="72"/>
  <c r="N17" i="73"/>
  <c r="L23" i="73"/>
  <c r="N23" i="73" s="1"/>
  <c r="N29" i="73"/>
  <c r="Z77" i="73"/>
  <c r="N81" i="73"/>
  <c r="L85" i="73"/>
  <c r="Z18" i="74"/>
  <c r="N26" i="74"/>
  <c r="L30" i="74"/>
  <c r="N32" i="74"/>
  <c r="X112" i="74"/>
  <c r="Z112" i="74" s="1"/>
  <c r="Z17" i="75"/>
  <c r="J45" i="75"/>
  <c r="D12" i="76"/>
  <c r="L16" i="76"/>
  <c r="N38" i="76"/>
  <c r="L38" i="76"/>
  <c r="V78" i="70"/>
  <c r="V86" i="70"/>
  <c r="V94" i="70"/>
  <c r="V102" i="70"/>
  <c r="V124" i="70"/>
  <c r="Z56" i="72"/>
  <c r="V61" i="72"/>
  <c r="V69" i="72"/>
  <c r="V83" i="72"/>
  <c r="D12" i="73"/>
  <c r="Z19" i="75"/>
  <c r="H31" i="75"/>
  <c r="J31" i="75" s="1"/>
  <c r="N35" i="76"/>
  <c r="L35" i="76"/>
  <c r="R69" i="80"/>
  <c r="R57" i="80"/>
  <c r="R46" i="80"/>
  <c r="R45" i="80"/>
  <c r="R77" i="80"/>
  <c r="R76" i="80"/>
  <c r="R65" i="80"/>
  <c r="R64" i="80"/>
  <c r="R36" i="80"/>
  <c r="X12" i="80"/>
  <c r="R48" i="80"/>
  <c r="R47" i="80"/>
  <c r="R78" i="80"/>
  <c r="R70" i="80"/>
  <c r="R66" i="80"/>
  <c r="R59" i="80"/>
  <c r="R58" i="80"/>
  <c r="R60" i="80"/>
  <c r="R71" i="80"/>
  <c r="R67" i="80"/>
  <c r="R84" i="80"/>
  <c r="R34" i="80"/>
  <c r="R73" i="80"/>
  <c r="R72" i="80"/>
  <c r="R68" i="80"/>
  <c r="R53" i="80"/>
  <c r="R50" i="80"/>
  <c r="R40" i="80"/>
  <c r="R26" i="80"/>
  <c r="P20" i="80"/>
  <c r="R44" i="80"/>
  <c r="R22" i="80"/>
  <c r="R16" i="80"/>
  <c r="R54" i="80"/>
  <c r="R30" i="80"/>
  <c r="R23" i="80"/>
  <c r="R41" i="80"/>
  <c r="R37" i="80"/>
  <c r="R27" i="80"/>
  <c r="R62" i="80"/>
  <c r="R51" i="80"/>
  <c r="R42" i="80"/>
  <c r="R38" i="80"/>
  <c r="R31" i="80"/>
  <c r="R24" i="80"/>
  <c r="R17" i="80"/>
  <c r="R74" i="80"/>
  <c r="R55" i="80"/>
  <c r="R52" i="80"/>
  <c r="R35" i="80"/>
  <c r="R32" i="80"/>
  <c r="R80" i="80"/>
  <c r="R28" i="80"/>
  <c r="R63" i="80"/>
  <c r="R49" i="80"/>
  <c r="R25" i="80"/>
  <c r="R61" i="80"/>
  <c r="R43" i="80"/>
  <c r="R33" i="80"/>
  <c r="R18" i="80"/>
  <c r="R56" i="80"/>
  <c r="R75" i="80"/>
  <c r="R29" i="80"/>
  <c r="R39" i="80"/>
  <c r="V47" i="70"/>
  <c r="V51" i="70"/>
  <c r="V55" i="70"/>
  <c r="V59" i="70"/>
  <c r="V95" i="70"/>
  <c r="V107" i="70"/>
  <c r="V115" i="70"/>
  <c r="V23" i="72"/>
  <c r="V50" i="72"/>
  <c r="V55" i="72"/>
  <c r="V56" i="72"/>
  <c r="V76" i="72"/>
  <c r="N13" i="73"/>
  <c r="L19" i="73"/>
  <c r="X26" i="73"/>
  <c r="Z26" i="73" s="1"/>
  <c r="Z29" i="73"/>
  <c r="Z72" i="73"/>
  <c r="X72" i="73"/>
  <c r="L15" i="74"/>
  <c r="N15" i="74" s="1"/>
  <c r="X26" i="74"/>
  <c r="Z26" i="74" s="1"/>
  <c r="Z30" i="74"/>
  <c r="D12" i="75"/>
  <c r="L16" i="75"/>
  <c r="N33" i="76"/>
  <c r="Z38" i="76"/>
  <c r="L19" i="74"/>
  <c r="N19" i="74" s="1"/>
  <c r="J82" i="75"/>
  <c r="J73" i="75"/>
  <c r="J75" i="75"/>
  <c r="J61" i="75"/>
  <c r="J62" i="75"/>
  <c r="J54" i="75"/>
  <c r="J40" i="75"/>
  <c r="J36" i="75"/>
  <c r="J70" i="75"/>
  <c r="J67" i="75"/>
  <c r="J55" i="75"/>
  <c r="J56" i="75"/>
  <c r="J46" i="75"/>
  <c r="J57" i="75"/>
  <c r="J41" i="75"/>
  <c r="J37" i="75"/>
  <c r="J77" i="75"/>
  <c r="J71" i="75"/>
  <c r="J63" i="75"/>
  <c r="J72" i="75"/>
  <c r="J68" i="75"/>
  <c r="J47" i="75"/>
  <c r="J58" i="75"/>
  <c r="J48" i="75"/>
  <c r="J42" i="75"/>
  <c r="J38" i="75"/>
  <c r="J78" i="75"/>
  <c r="J64" i="75"/>
  <c r="J59" i="75"/>
  <c r="J49" i="75"/>
  <c r="J43" i="75"/>
  <c r="J74" i="75"/>
  <c r="J69" i="75"/>
  <c r="J60" i="75"/>
  <c r="J50" i="75"/>
  <c r="J44" i="75"/>
  <c r="J34" i="75"/>
  <c r="J65" i="75"/>
  <c r="J51" i="75"/>
  <c r="J39" i="75"/>
  <c r="J35" i="75"/>
  <c r="J33" i="75"/>
  <c r="J29" i="75"/>
  <c r="Z80" i="76"/>
  <c r="X80" i="76"/>
  <c r="V113" i="70"/>
  <c r="V119" i="70"/>
  <c r="V68" i="72"/>
  <c r="N71" i="72"/>
  <c r="X23" i="73"/>
  <c r="Z23" i="73" s="1"/>
  <c r="N25" i="73"/>
  <c r="L28" i="73"/>
  <c r="Z35" i="73"/>
  <c r="Z15" i="74"/>
  <c r="L23" i="74"/>
  <c r="N23" i="74" s="1"/>
  <c r="N20" i="75"/>
  <c r="L33" i="75"/>
  <c r="N33" i="75" s="1"/>
  <c r="N52" i="75"/>
  <c r="N56" i="75"/>
  <c r="Z14" i="76"/>
  <c r="H12" i="76"/>
  <c r="N68" i="78"/>
  <c r="V46" i="70"/>
  <c r="V50" i="70"/>
  <c r="V54" i="70"/>
  <c r="V58" i="70"/>
  <c r="V82" i="70"/>
  <c r="V106" i="70"/>
  <c r="V114" i="70"/>
  <c r="V120" i="70"/>
  <c r="V74" i="72"/>
  <c r="V62" i="72"/>
  <c r="V54" i="72"/>
  <c r="V59" i="72"/>
  <c r="V47" i="72"/>
  <c r="L39" i="72"/>
  <c r="N39" i="72" s="1"/>
  <c r="L52" i="72"/>
  <c r="N52" i="72" s="1"/>
  <c r="V58" i="72"/>
  <c r="X59" i="72"/>
  <c r="Z59" i="72" s="1"/>
  <c r="X68" i="72"/>
  <c r="Z68" i="72" s="1"/>
  <c r="V79" i="72"/>
  <c r="V80" i="72"/>
  <c r="V87" i="72"/>
  <c r="T12" i="73"/>
  <c r="N65" i="73"/>
  <c r="Z19" i="74"/>
  <c r="L27" i="74"/>
  <c r="N27" i="74" s="1"/>
  <c r="J52" i="75"/>
  <c r="J66" i="75"/>
  <c r="L21" i="76"/>
  <c r="N21" i="76" s="1"/>
  <c r="V67" i="70"/>
  <c r="V71" i="70"/>
  <c r="V83" i="70"/>
  <c r="V91" i="70"/>
  <c r="V99" i="70"/>
  <c r="L104" i="70"/>
  <c r="V111" i="70"/>
  <c r="X114" i="70"/>
  <c r="Z114" i="70" s="1"/>
  <c r="X120" i="70"/>
  <c r="Z120" i="70" s="1"/>
  <c r="V31" i="72"/>
  <c r="V35" i="72"/>
  <c r="V48" i="72"/>
  <c r="V53" i="72"/>
  <c r="L56" i="72"/>
  <c r="N56" i="72" s="1"/>
  <c r="L71" i="72"/>
  <c r="V72" i="72"/>
  <c r="V75" i="72"/>
  <c r="L78" i="72"/>
  <c r="N78" i="72" s="1"/>
  <c r="X13" i="73"/>
  <c r="N31" i="74"/>
  <c r="L31" i="74"/>
  <c r="Z20" i="75"/>
  <c r="N24" i="75"/>
  <c r="V76" i="70"/>
  <c r="V80" i="70"/>
  <c r="V112" i="70"/>
  <c r="Z12" i="72"/>
  <c r="T27" i="72"/>
  <c r="V40" i="72"/>
  <c r="X78" i="72"/>
  <c r="Z78" i="72" s="1"/>
  <c r="Z13" i="73"/>
  <c r="X22" i="73"/>
  <c r="Z22" i="73" s="1"/>
  <c r="X33" i="73"/>
  <c r="X75" i="73"/>
  <c r="N92" i="73"/>
  <c r="D12" i="74"/>
  <c r="L14" i="74"/>
  <c r="N16" i="74"/>
  <c r="Z27" i="74"/>
  <c r="L61" i="75"/>
  <c r="N61" i="75" s="1"/>
  <c r="V45" i="70"/>
  <c r="V49" i="70"/>
  <c r="V53" i="70"/>
  <c r="V57" i="70"/>
  <c r="V81" i="70"/>
  <c r="V89" i="70"/>
  <c r="V105" i="70"/>
  <c r="V25" i="72"/>
  <c r="V27" i="72"/>
  <c r="V29" i="72"/>
  <c r="V43" i="72"/>
  <c r="N50" i="72"/>
  <c r="V66" i="72"/>
  <c r="N24" i="73"/>
  <c r="Z33" i="73"/>
  <c r="Z75" i="73"/>
  <c r="P12" i="74"/>
  <c r="N14" i="74"/>
  <c r="H12" i="74"/>
  <c r="L18" i="74"/>
  <c r="N18" i="74" s="1"/>
  <c r="N55" i="74"/>
  <c r="L84" i="74"/>
  <c r="N84" i="74" s="1"/>
  <c r="L92" i="74"/>
  <c r="N92" i="74" s="1"/>
  <c r="N29" i="75"/>
  <c r="L29" i="75"/>
  <c r="Z66" i="75"/>
  <c r="Z25" i="76"/>
  <c r="Z38" i="80"/>
  <c r="V66" i="70"/>
  <c r="V70" i="70"/>
  <c r="V74" i="70"/>
  <c r="V90" i="70"/>
  <c r="V98" i="70"/>
  <c r="V30" i="72"/>
  <c r="V34" i="72"/>
  <c r="V38" i="72"/>
  <c r="V51" i="72"/>
  <c r="V52" i="72"/>
  <c r="V57" i="72"/>
  <c r="L21" i="73"/>
  <c r="N21" i="73" s="1"/>
  <c r="L24" i="73"/>
  <c r="N32" i="73"/>
  <c r="L22" i="74"/>
  <c r="P12" i="75"/>
  <c r="X13" i="75"/>
  <c r="N28" i="76"/>
  <c r="Z30" i="78"/>
  <c r="V55" i="75"/>
  <c r="V62" i="75"/>
  <c r="V67" i="75"/>
  <c r="V70" i="75"/>
  <c r="V75" i="75"/>
  <c r="Z26" i="76"/>
  <c r="X33" i="76"/>
  <c r="Z33" i="76" s="1"/>
  <c r="X38" i="76"/>
  <c r="N74" i="76"/>
  <c r="L74" i="76"/>
  <c r="Z16" i="78"/>
  <c r="N48" i="78"/>
  <c r="Z64" i="79"/>
  <c r="V36" i="75"/>
  <c r="V40" i="75"/>
  <c r="V56" i="75"/>
  <c r="X66" i="75"/>
  <c r="N77" i="75"/>
  <c r="Z78" i="76"/>
  <c r="V45" i="75"/>
  <c r="V53" i="75"/>
  <c r="N18" i="76"/>
  <c r="Z74" i="76"/>
  <c r="Z76" i="76"/>
  <c r="L100" i="76"/>
  <c r="N100" i="76" s="1"/>
  <c r="N108" i="76"/>
  <c r="L108" i="76"/>
  <c r="Z48" i="78"/>
  <c r="V69" i="75"/>
  <c r="V63" i="75"/>
  <c r="V54" i="75"/>
  <c r="X16" i="75"/>
  <c r="X20" i="75"/>
  <c r="X24" i="75"/>
  <c r="Z24" i="75" s="1"/>
  <c r="V35" i="75"/>
  <c r="V39" i="75"/>
  <c r="V51" i="75"/>
  <c r="V61" i="75"/>
  <c r="V65" i="75"/>
  <c r="V66" i="75"/>
  <c r="N15" i="76"/>
  <c r="Z18" i="76"/>
  <c r="T106" i="76"/>
  <c r="X106" i="76" s="1"/>
  <c r="Z108" i="76"/>
  <c r="N110" i="76"/>
  <c r="R48" i="78"/>
  <c r="R47" i="78"/>
  <c r="R23" i="78"/>
  <c r="R58" i="78"/>
  <c r="R42" i="78"/>
  <c r="R50" i="78"/>
  <c r="R49" i="78"/>
  <c r="R37" i="78"/>
  <c r="R33" i="78"/>
  <c r="R24" i="78"/>
  <c r="R59" i="78"/>
  <c r="R51" i="78"/>
  <c r="R43" i="78"/>
  <c r="R20" i="78"/>
  <c r="R69" i="78"/>
  <c r="R39" i="78"/>
  <c r="R38" i="78"/>
  <c r="R34" i="78"/>
  <c r="R68" i="78"/>
  <c r="R30" i="78"/>
  <c r="R25" i="78"/>
  <c r="R21" i="78"/>
  <c r="R67" i="78"/>
  <c r="R61" i="78"/>
  <c r="R60" i="78"/>
  <c r="R53" i="78"/>
  <c r="R52" i="78"/>
  <c r="R44" i="78"/>
  <c r="R40" i="78"/>
  <c r="R29" i="78"/>
  <c r="R27" i="78"/>
  <c r="R73" i="78"/>
  <c r="R66" i="78"/>
  <c r="R35" i="78"/>
  <c r="R31" i="78"/>
  <c r="P27" i="78"/>
  <c r="R65" i="78"/>
  <c r="R62" i="78"/>
  <c r="R55" i="78"/>
  <c r="R54" i="78"/>
  <c r="R22" i="78"/>
  <c r="R64" i="78"/>
  <c r="R46" i="78"/>
  <c r="R45" i="78"/>
  <c r="R41" i="78"/>
  <c r="N51" i="79"/>
  <c r="L51" i="79"/>
  <c r="J119" i="84"/>
  <c r="J111" i="84"/>
  <c r="J105" i="84"/>
  <c r="J99" i="84"/>
  <c r="J87" i="84"/>
  <c r="J75" i="84"/>
  <c r="J71" i="84"/>
  <c r="J61" i="84"/>
  <c r="J120" i="84"/>
  <c r="J106" i="84"/>
  <c r="J88" i="84"/>
  <c r="J76" i="84"/>
  <c r="J66" i="84"/>
  <c r="J62" i="84"/>
  <c r="J60" i="84"/>
  <c r="J121" i="84"/>
  <c r="J89" i="84"/>
  <c r="J77" i="84"/>
  <c r="H58" i="84"/>
  <c r="J58" i="84" s="1"/>
  <c r="J53" i="84"/>
  <c r="J49" i="84"/>
  <c r="J45" i="84"/>
  <c r="J41" i="84"/>
  <c r="J112" i="84"/>
  <c r="J100" i="84"/>
  <c r="J90" i="84"/>
  <c r="J78" i="84"/>
  <c r="J72" i="84"/>
  <c r="J123" i="84"/>
  <c r="J107" i="84"/>
  <c r="J101" i="84"/>
  <c r="J91" i="84"/>
  <c r="J79" i="84"/>
  <c r="J67" i="84"/>
  <c r="J108" i="84"/>
  <c r="J102" i="84"/>
  <c r="J92" i="84"/>
  <c r="J80" i="84"/>
  <c r="J54" i="84"/>
  <c r="J127" i="84"/>
  <c r="J113" i="84"/>
  <c r="J109" i="84"/>
  <c r="J93" i="84"/>
  <c r="J81" i="84"/>
  <c r="J73" i="84"/>
  <c r="J114" i="84"/>
  <c r="J94" i="84"/>
  <c r="J82" i="84"/>
  <c r="J68" i="84"/>
  <c r="J64" i="84"/>
  <c r="J38" i="84"/>
  <c r="J115" i="84"/>
  <c r="J103" i="84"/>
  <c r="J95" i="84"/>
  <c r="J83" i="84"/>
  <c r="J55" i="84"/>
  <c r="J51" i="84"/>
  <c r="J47" i="84"/>
  <c r="J43" i="84"/>
  <c r="J39" i="84"/>
  <c r="J104" i="84"/>
  <c r="J63" i="84"/>
  <c r="J40" i="84"/>
  <c r="J85" i="84"/>
  <c r="J65" i="84"/>
  <c r="J69" i="84"/>
  <c r="J86" i="84"/>
  <c r="J117" i="84"/>
  <c r="J97" i="84"/>
  <c r="J84" i="84"/>
  <c r="J52" i="84"/>
  <c r="J74" i="84"/>
  <c r="J70" i="84"/>
  <c r="J46" i="84"/>
  <c r="J44" i="84"/>
  <c r="J118" i="84"/>
  <c r="J50" i="84"/>
  <c r="J42" i="84"/>
  <c r="J110" i="84"/>
  <c r="J56" i="84"/>
  <c r="J96" i="84"/>
  <c r="J48" i="84"/>
  <c r="J98" i="84"/>
  <c r="L72" i="74"/>
  <c r="N72" i="74" s="1"/>
  <c r="X86" i="74"/>
  <c r="X106" i="74"/>
  <c r="Z106" i="74" s="1"/>
  <c r="T31" i="75"/>
  <c r="V44" i="75"/>
  <c r="V52" i="75"/>
  <c r="V60" i="75"/>
  <c r="L15" i="76"/>
  <c r="X20" i="76"/>
  <c r="Z20" i="76" s="1"/>
  <c r="L22" i="76"/>
  <c r="N22" i="76" s="1"/>
  <c r="X25" i="76"/>
  <c r="L27" i="76"/>
  <c r="N27" i="76" s="1"/>
  <c r="N34" i="76"/>
  <c r="Z100" i="76"/>
  <c r="X100" i="76"/>
  <c r="T12" i="78"/>
  <c r="X12" i="78" s="1"/>
  <c r="Z13" i="78"/>
  <c r="Z17" i="78"/>
  <c r="Z64" i="78"/>
  <c r="N31" i="79"/>
  <c r="N40" i="80"/>
  <c r="V29" i="75"/>
  <c r="V31" i="75"/>
  <c r="V33" i="75"/>
  <c r="V49" i="75"/>
  <c r="V73" i="75"/>
  <c r="V74" i="75"/>
  <c r="V78" i="75"/>
  <c r="V34" i="75"/>
  <c r="V38" i="75"/>
  <c r="V42" i="75"/>
  <c r="V50" i="75"/>
  <c r="V58" i="75"/>
  <c r="L17" i="76"/>
  <c r="N24" i="76"/>
  <c r="L29" i="76"/>
  <c r="N29" i="76" s="1"/>
  <c r="Z34" i="76"/>
  <c r="Z98" i="76"/>
  <c r="R32" i="78"/>
  <c r="Z57" i="78"/>
  <c r="Z67" i="78"/>
  <c r="F69" i="79"/>
  <c r="F68" i="79"/>
  <c r="F61" i="79"/>
  <c r="F49" i="79"/>
  <c r="F63" i="79"/>
  <c r="F59" i="79"/>
  <c r="F56" i="79"/>
  <c r="F52" i="79"/>
  <c r="F51" i="79"/>
  <c r="F36" i="79"/>
  <c r="F32" i="79"/>
  <c r="F31" i="79"/>
  <c r="L12" i="79"/>
  <c r="N12" i="79" s="1"/>
  <c r="F60" i="79"/>
  <c r="F27" i="79"/>
  <c r="F47" i="79"/>
  <c r="F38" i="79"/>
  <c r="F37" i="79"/>
  <c r="F18" i="79"/>
  <c r="F77" i="79"/>
  <c r="F64" i="79"/>
  <c r="F54" i="79"/>
  <c r="F53" i="79"/>
  <c r="F48" i="79"/>
  <c r="F33" i="79"/>
  <c r="F57" i="79"/>
  <c r="F40" i="79"/>
  <c r="F39" i="79"/>
  <c r="F28" i="79"/>
  <c r="F24" i="79"/>
  <c r="F23" i="79"/>
  <c r="F80" i="79"/>
  <c r="F65" i="79"/>
  <c r="F22" i="79"/>
  <c r="F20" i="79"/>
  <c r="F71" i="79"/>
  <c r="F58" i="79"/>
  <c r="F42" i="79"/>
  <c r="F41" i="79"/>
  <c r="F34" i="79"/>
  <c r="D20" i="79"/>
  <c r="F66" i="79"/>
  <c r="F29" i="79"/>
  <c r="F25" i="79"/>
  <c r="F73" i="79"/>
  <c r="F62" i="79"/>
  <c r="F55" i="79"/>
  <c r="F44" i="79"/>
  <c r="F43" i="79"/>
  <c r="F67" i="79"/>
  <c r="F35" i="79"/>
  <c r="F50" i="79"/>
  <c r="F30" i="79"/>
  <c r="F26" i="79"/>
  <c r="N16" i="79"/>
  <c r="Z31" i="79"/>
  <c r="V76" i="80"/>
  <c r="V64" i="80"/>
  <c r="V48" i="80"/>
  <c r="V59" i="80"/>
  <c r="V47" i="80"/>
  <c r="V31" i="80"/>
  <c r="V27" i="80"/>
  <c r="V23" i="80"/>
  <c r="V80" i="80"/>
  <c r="V78" i="80"/>
  <c r="V70" i="80"/>
  <c r="V66" i="80"/>
  <c r="V58" i="80"/>
  <c r="V50" i="80"/>
  <c r="V38" i="80"/>
  <c r="V49" i="80"/>
  <c r="V71" i="80"/>
  <c r="V67" i="80"/>
  <c r="V84" i="80"/>
  <c r="V73" i="80"/>
  <c r="V61" i="80"/>
  <c r="V53" i="80"/>
  <c r="V41" i="80"/>
  <c r="V29" i="80"/>
  <c r="V25" i="80"/>
  <c r="V75" i="80"/>
  <c r="V44" i="80"/>
  <c r="V26" i="80"/>
  <c r="V22" i="80"/>
  <c r="V16" i="80"/>
  <c r="V54" i="80"/>
  <c r="Z12" i="80"/>
  <c r="V34" i="80"/>
  <c r="V30" i="80"/>
  <c r="V68" i="80"/>
  <c r="V57" i="80"/>
  <c r="V37" i="80"/>
  <c r="V62" i="80"/>
  <c r="V51" i="80"/>
  <c r="V42" i="80"/>
  <c r="V65" i="80"/>
  <c r="V60" i="80"/>
  <c r="V52" i="80"/>
  <c r="V32" i="80"/>
  <c r="V24" i="80"/>
  <c r="V17" i="80"/>
  <c r="V74" i="80"/>
  <c r="V55" i="80"/>
  <c r="V35" i="80"/>
  <c r="V72" i="80"/>
  <c r="V63" i="80"/>
  <c r="V45" i="80"/>
  <c r="V28" i="80"/>
  <c r="V77" i="80"/>
  <c r="V69" i="80"/>
  <c r="V56" i="80"/>
  <c r="V46" i="80"/>
  <c r="V43" i="80"/>
  <c r="V33" i="80"/>
  <c r="V18" i="80"/>
  <c r="V40" i="80"/>
  <c r="V39" i="80"/>
  <c r="V20" i="80"/>
  <c r="Z40" i="80"/>
  <c r="X40" i="80"/>
  <c r="L55" i="74"/>
  <c r="L79" i="74"/>
  <c r="L95" i="74"/>
  <c r="X34" i="75"/>
  <c r="Z34" i="75" s="1"/>
  <c r="V43" i="75"/>
  <c r="V47" i="75"/>
  <c r="V59" i="75"/>
  <c r="V64" i="75"/>
  <c r="V68" i="75"/>
  <c r="V77" i="75"/>
  <c r="V82" i="75"/>
  <c r="P12" i="76"/>
  <c r="Z22" i="76"/>
  <c r="H64" i="78"/>
  <c r="N13" i="79"/>
  <c r="N41" i="79"/>
  <c r="D12" i="80"/>
  <c r="L13" i="80"/>
  <c r="N13" i="80" s="1"/>
  <c r="V48" i="75"/>
  <c r="V71" i="75"/>
  <c r="N14" i="76"/>
  <c r="X17" i="76"/>
  <c r="L19" i="76"/>
  <c r="N19" i="76" s="1"/>
  <c r="X24" i="76"/>
  <c r="L26" i="76"/>
  <c r="X29" i="76"/>
  <c r="Z29" i="76" s="1"/>
  <c r="L31" i="76"/>
  <c r="N16" i="78"/>
  <c r="N30" i="78"/>
  <c r="L68" i="78"/>
  <c r="R75" i="79"/>
  <c r="R68" i="79"/>
  <c r="R67" i="79"/>
  <c r="R55" i="79"/>
  <c r="R54" i="79"/>
  <c r="R41" i="79"/>
  <c r="R40" i="79"/>
  <c r="R28" i="79"/>
  <c r="R24" i="79"/>
  <c r="P20" i="79"/>
  <c r="R71" i="79"/>
  <c r="R65" i="79"/>
  <c r="R61" i="79"/>
  <c r="R66" i="79"/>
  <c r="R58" i="79"/>
  <c r="R43" i="79"/>
  <c r="R42" i="79"/>
  <c r="R34" i="79"/>
  <c r="R49" i="79"/>
  <c r="R29" i="79"/>
  <c r="R25" i="79"/>
  <c r="R44" i="79"/>
  <c r="R62" i="79"/>
  <c r="R45" i="79"/>
  <c r="R35" i="79"/>
  <c r="R16" i="79"/>
  <c r="R59" i="79"/>
  <c r="R51" i="79"/>
  <c r="R50" i="79"/>
  <c r="R31" i="79"/>
  <c r="R30" i="79"/>
  <c r="R26" i="79"/>
  <c r="R46" i="79"/>
  <c r="R17" i="79"/>
  <c r="R52" i="79"/>
  <c r="R47" i="79"/>
  <c r="R37" i="79"/>
  <c r="R36" i="79"/>
  <c r="R32" i="79"/>
  <c r="X12" i="79"/>
  <c r="R63" i="79"/>
  <c r="R60" i="79"/>
  <c r="R56" i="79"/>
  <c r="R53" i="79"/>
  <c r="R27" i="79"/>
  <c r="R64" i="79"/>
  <c r="R39" i="79"/>
  <c r="R38" i="79"/>
  <c r="R23" i="79"/>
  <c r="R18" i="79"/>
  <c r="X41" i="79"/>
  <c r="Z41" i="79" s="1"/>
  <c r="Z43" i="79"/>
  <c r="F75" i="79"/>
  <c r="X107" i="76"/>
  <c r="Z107" i="76" s="1"/>
  <c r="N12" i="78"/>
  <c r="X13" i="78"/>
  <c r="F20" i="78"/>
  <c r="F21" i="78"/>
  <c r="F25" i="78"/>
  <c r="L29" i="78"/>
  <c r="N29" i="78" s="1"/>
  <c r="J30" i="78"/>
  <c r="J40" i="78"/>
  <c r="J44" i="78"/>
  <c r="J52" i="78"/>
  <c r="J60" i="78"/>
  <c r="N66" i="78"/>
  <c r="J68" i="78"/>
  <c r="J17" i="79"/>
  <c r="J31" i="79"/>
  <c r="J46" i="79"/>
  <c r="J51" i="79"/>
  <c r="J75" i="79"/>
  <c r="J42" i="80"/>
  <c r="L52" i="80"/>
  <c r="N52" i="80" s="1"/>
  <c r="J80" i="80"/>
  <c r="L13" i="82"/>
  <c r="N13" i="82" s="1"/>
  <c r="Z22" i="83"/>
  <c r="F27" i="83"/>
  <c r="F40" i="83"/>
  <c r="F42" i="83"/>
  <c r="R46" i="83"/>
  <c r="R58" i="83"/>
  <c r="R62" i="83"/>
  <c r="D106" i="76"/>
  <c r="L106" i="76" s="1"/>
  <c r="N106" i="76" s="1"/>
  <c r="X108" i="76"/>
  <c r="J21" i="78"/>
  <c r="J25" i="78"/>
  <c r="F34" i="78"/>
  <c r="F38" i="78"/>
  <c r="J39" i="78"/>
  <c r="J69" i="78"/>
  <c r="J16" i="79"/>
  <c r="J26" i="79"/>
  <c r="J30" i="79"/>
  <c r="J45" i="79"/>
  <c r="J50" i="79"/>
  <c r="J59" i="79"/>
  <c r="Z14" i="80"/>
  <c r="J24" i="80"/>
  <c r="J31" i="80"/>
  <c r="J38" i="80"/>
  <c r="N65" i="80"/>
  <c r="X75" i="80"/>
  <c r="R28" i="82"/>
  <c r="R32" i="82"/>
  <c r="R18" i="82"/>
  <c r="R19" i="82"/>
  <c r="R25" i="82"/>
  <c r="R20" i="82"/>
  <c r="Z62" i="83"/>
  <c r="X62" i="83"/>
  <c r="Z67" i="83"/>
  <c r="L21" i="84"/>
  <c r="D12" i="84"/>
  <c r="J34" i="78"/>
  <c r="J38" i="78"/>
  <c r="F43" i="78"/>
  <c r="F50" i="78"/>
  <c r="F51" i="78"/>
  <c r="X57" i="78"/>
  <c r="F59" i="78"/>
  <c r="L69" i="78"/>
  <c r="L16" i="79"/>
  <c r="X22" i="79"/>
  <c r="Z22" i="79" s="1"/>
  <c r="J35" i="79"/>
  <c r="J67" i="79"/>
  <c r="L16" i="80"/>
  <c r="N16" i="80" s="1"/>
  <c r="J17" i="80"/>
  <c r="L22" i="80"/>
  <c r="N22" i="80" s="1"/>
  <c r="X46" i="80"/>
  <c r="Z46" i="80" s="1"/>
  <c r="J48" i="80"/>
  <c r="J51" i="80"/>
  <c r="J60" i="80"/>
  <c r="Z63" i="80"/>
  <c r="T12" i="82"/>
  <c r="X12" i="82" s="1"/>
  <c r="P22" i="82"/>
  <c r="L16" i="83"/>
  <c r="N16" i="83" s="1"/>
  <c r="F36" i="83"/>
  <c r="R42" i="83"/>
  <c r="Z58" i="83"/>
  <c r="F24" i="78"/>
  <c r="J43" i="78"/>
  <c r="J51" i="78"/>
  <c r="J59" i="78"/>
  <c r="J44" i="79"/>
  <c r="J55" i="79"/>
  <c r="J62" i="79"/>
  <c r="L71" i="79"/>
  <c r="J27" i="80"/>
  <c r="X38" i="80"/>
  <c r="J41" i="80"/>
  <c r="Z15" i="82"/>
  <c r="F23" i="83"/>
  <c r="F34" i="83"/>
  <c r="F53" i="83"/>
  <c r="R54" i="83"/>
  <c r="X27" i="84"/>
  <c r="Z29" i="84"/>
  <c r="P12" i="87"/>
  <c r="X13" i="87"/>
  <c r="J24" i="78"/>
  <c r="F33" i="78"/>
  <c r="F37" i="78"/>
  <c r="F48" i="78"/>
  <c r="F49" i="78"/>
  <c r="J50" i="78"/>
  <c r="J25" i="79"/>
  <c r="J29" i="79"/>
  <c r="J43" i="79"/>
  <c r="J49" i="79"/>
  <c r="J72" i="80"/>
  <c r="J68" i="80"/>
  <c r="J54" i="80"/>
  <c r="J73" i="80"/>
  <c r="J55" i="80"/>
  <c r="J43" i="80"/>
  <c r="J35" i="80"/>
  <c r="J74" i="80"/>
  <c r="J62" i="80"/>
  <c r="J56" i="80"/>
  <c r="J44" i="80"/>
  <c r="J75" i="80"/>
  <c r="J69" i="80"/>
  <c r="J63" i="80"/>
  <c r="J57" i="80"/>
  <c r="J45" i="80"/>
  <c r="J77" i="80"/>
  <c r="J65" i="80"/>
  <c r="J78" i="80"/>
  <c r="J70" i="80"/>
  <c r="J66" i="80"/>
  <c r="J59" i="80"/>
  <c r="J49" i="80"/>
  <c r="J37" i="80"/>
  <c r="J33" i="80"/>
  <c r="J23" i="80"/>
  <c r="J71" i="80"/>
  <c r="J67" i="80"/>
  <c r="J30" i="80"/>
  <c r="X52" i="80"/>
  <c r="Z52" i="80" s="1"/>
  <c r="X25" i="82"/>
  <c r="N23" i="83"/>
  <c r="Z70" i="83"/>
  <c r="F76" i="83"/>
  <c r="X15" i="84"/>
  <c r="Z17" i="84"/>
  <c r="Z27" i="84"/>
  <c r="J34" i="79"/>
  <c r="J42" i="79"/>
  <c r="J58" i="79"/>
  <c r="J66" i="79"/>
  <c r="Z25" i="82"/>
  <c r="R88" i="83"/>
  <c r="R39" i="83"/>
  <c r="R38" i="83"/>
  <c r="R34" i="83"/>
  <c r="R65" i="83"/>
  <c r="R77" i="83"/>
  <c r="R76" i="83"/>
  <c r="R72" i="83"/>
  <c r="R52" i="83"/>
  <c r="R51" i="83"/>
  <c r="R63" i="83"/>
  <c r="R56" i="83"/>
  <c r="R55" i="83"/>
  <c r="R32" i="83"/>
  <c r="R31" i="83"/>
  <c r="R27" i="83"/>
  <c r="R82" i="83"/>
  <c r="R74" i="83"/>
  <c r="R80" i="83"/>
  <c r="R35" i="83"/>
  <c r="R68" i="83"/>
  <c r="R84" i="83"/>
  <c r="R75" i="83"/>
  <c r="R73" i="83"/>
  <c r="R47" i="83"/>
  <c r="R44" i="83"/>
  <c r="R81" i="83"/>
  <c r="R78" i="83"/>
  <c r="R71" i="83"/>
  <c r="R59" i="83"/>
  <c r="R48" i="83"/>
  <c r="R29" i="83"/>
  <c r="P20" i="83"/>
  <c r="R20" i="83" s="1"/>
  <c r="R45" i="83"/>
  <c r="R41" i="83"/>
  <c r="R40" i="83"/>
  <c r="R33" i="83"/>
  <c r="R26" i="83"/>
  <c r="R22" i="83"/>
  <c r="R16" i="83"/>
  <c r="R36" i="83"/>
  <c r="R23" i="83"/>
  <c r="X12" i="83"/>
  <c r="Z12" i="83" s="1"/>
  <c r="R66" i="83"/>
  <c r="R60" i="83"/>
  <c r="R49" i="83"/>
  <c r="R79" i="83"/>
  <c r="R69" i="83"/>
  <c r="R53" i="83"/>
  <c r="R24" i="83"/>
  <c r="R17" i="83"/>
  <c r="R67" i="83"/>
  <c r="R50" i="83"/>
  <c r="R37" i="83"/>
  <c r="R18" i="83"/>
  <c r="R57" i="83"/>
  <c r="R61" i="83"/>
  <c r="Z15" i="84"/>
  <c r="Z20" i="85"/>
  <c r="V20" i="85"/>
  <c r="X15" i="78"/>
  <c r="Z15" i="78" s="1"/>
  <c r="F23" i="78"/>
  <c r="J42" i="78"/>
  <c r="F46" i="78"/>
  <c r="F47" i="78"/>
  <c r="J48" i="78"/>
  <c r="J58" i="78"/>
  <c r="F64" i="78"/>
  <c r="H20" i="79"/>
  <c r="J41" i="79"/>
  <c r="J61" i="79"/>
  <c r="J65" i="79"/>
  <c r="J71" i="79"/>
  <c r="H20" i="80"/>
  <c r="J26" i="80"/>
  <c r="J40" i="80"/>
  <c r="J47" i="80"/>
  <c r="J64" i="80"/>
  <c r="Z28" i="82"/>
  <c r="R25" i="83"/>
  <c r="R30" i="83"/>
  <c r="F41" i="83"/>
  <c r="X20" i="85"/>
  <c r="J23" i="78"/>
  <c r="X30" i="78"/>
  <c r="F32" i="78"/>
  <c r="F36" i="78"/>
  <c r="J47" i="78"/>
  <c r="L48" i="78"/>
  <c r="F55" i="78"/>
  <c r="F56" i="78"/>
  <c r="J57" i="78"/>
  <c r="F65" i="78"/>
  <c r="X68" i="78"/>
  <c r="Z68" i="78" s="1"/>
  <c r="L13" i="79"/>
  <c r="J20" i="79"/>
  <c r="J22" i="79"/>
  <c r="J24" i="79"/>
  <c r="J28" i="79"/>
  <c r="X31" i="79"/>
  <c r="J40" i="79"/>
  <c r="L41" i="79"/>
  <c r="X51" i="79"/>
  <c r="Z51" i="79" s="1"/>
  <c r="X16" i="80"/>
  <c r="Z16" i="80" s="1"/>
  <c r="J20" i="80"/>
  <c r="X22" i="80"/>
  <c r="Z22" i="80" s="1"/>
  <c r="L40" i="80"/>
  <c r="X44" i="80"/>
  <c r="Z44" i="80" s="1"/>
  <c r="J50" i="80"/>
  <c r="J53" i="80"/>
  <c r="N59" i="80"/>
  <c r="X13" i="83"/>
  <c r="Z13" i="83" s="1"/>
  <c r="F17" i="83"/>
  <c r="D20" i="83"/>
  <c r="F64" i="83"/>
  <c r="N26" i="84"/>
  <c r="L36" i="84"/>
  <c r="X90" i="84"/>
  <c r="Z90" i="84" s="1"/>
  <c r="D27" i="78"/>
  <c r="F27" i="78" s="1"/>
  <c r="J32" i="78"/>
  <c r="J36" i="78"/>
  <c r="F41" i="78"/>
  <c r="F45" i="78"/>
  <c r="J46" i="78"/>
  <c r="J56" i="78"/>
  <c r="F66" i="78"/>
  <c r="J23" i="79"/>
  <c r="J33" i="79"/>
  <c r="J39" i="79"/>
  <c r="J48" i="79"/>
  <c r="J57" i="79"/>
  <c r="J69" i="79"/>
  <c r="X71" i="79"/>
  <c r="J29" i="80"/>
  <c r="J36" i="80"/>
  <c r="L75" i="80"/>
  <c r="R28" i="83"/>
  <c r="L24" i="84"/>
  <c r="N24" i="84" s="1"/>
  <c r="F22" i="78"/>
  <c r="F29" i="78"/>
  <c r="J41" i="78"/>
  <c r="J45" i="78"/>
  <c r="F53" i="78"/>
  <c r="F54" i="78"/>
  <c r="J55" i="78"/>
  <c r="F61" i="78"/>
  <c r="F62" i="78"/>
  <c r="J65" i="78"/>
  <c r="F67" i="78"/>
  <c r="J56" i="79"/>
  <c r="J64" i="79"/>
  <c r="J54" i="79"/>
  <c r="J18" i="79"/>
  <c r="J38" i="79"/>
  <c r="J53" i="79"/>
  <c r="Z66" i="79"/>
  <c r="J39" i="80"/>
  <c r="L46" i="80"/>
  <c r="N46" i="80" s="1"/>
  <c r="J61" i="80"/>
  <c r="R43" i="83"/>
  <c r="F48" i="83"/>
  <c r="F52" i="83"/>
  <c r="H77" i="88"/>
  <c r="J20" i="88"/>
  <c r="J22" i="78"/>
  <c r="H27" i="78"/>
  <c r="F30" i="78"/>
  <c r="F31" i="78"/>
  <c r="F35" i="78"/>
  <c r="J54" i="78"/>
  <c r="J62" i="78"/>
  <c r="F68" i="78"/>
  <c r="J27" i="79"/>
  <c r="J37" i="79"/>
  <c r="J47" i="79"/>
  <c r="X57" i="79"/>
  <c r="Z57" i="79" s="1"/>
  <c r="J60" i="79"/>
  <c r="J63" i="79"/>
  <c r="J25" i="80"/>
  <c r="J46" i="80"/>
  <c r="L63" i="80"/>
  <c r="X73" i="80"/>
  <c r="Z73" i="80" s="1"/>
  <c r="N77" i="80"/>
  <c r="J84" i="80"/>
  <c r="F20" i="82"/>
  <c r="F26" i="82"/>
  <c r="F25" i="82"/>
  <c r="F24" i="82"/>
  <c r="D22" i="82"/>
  <c r="L12" i="82"/>
  <c r="N12" i="82" s="1"/>
  <c r="F28" i="82"/>
  <c r="F32" i="82"/>
  <c r="Z14" i="82"/>
  <c r="F82" i="83"/>
  <c r="F81" i="83"/>
  <c r="F74" i="83"/>
  <c r="F46" i="83"/>
  <c r="F45" i="83"/>
  <c r="F18" i="83"/>
  <c r="F69" i="83"/>
  <c r="F57" i="83"/>
  <c r="F56" i="83"/>
  <c r="F86" i="83"/>
  <c r="F84" i="83"/>
  <c r="F75" i="83"/>
  <c r="F71" i="83"/>
  <c r="F70" i="83"/>
  <c r="F59" i="83"/>
  <c r="F58" i="83"/>
  <c r="F47" i="83"/>
  <c r="F93" i="83"/>
  <c r="F90" i="83"/>
  <c r="F51" i="83"/>
  <c r="F50" i="83"/>
  <c r="F35" i="83"/>
  <c r="F78" i="83"/>
  <c r="F77" i="83"/>
  <c r="F37" i="83"/>
  <c r="F54" i="83"/>
  <c r="F67" i="83"/>
  <c r="F61" i="83"/>
  <c r="F43" i="83"/>
  <c r="F31" i="83"/>
  <c r="F28" i="83"/>
  <c r="F25" i="83"/>
  <c r="F88" i="83"/>
  <c r="F80" i="83"/>
  <c r="F65" i="83"/>
  <c r="F62" i="83"/>
  <c r="F55" i="83"/>
  <c r="F38" i="83"/>
  <c r="F73" i="83"/>
  <c r="F68" i="83"/>
  <c r="F44" i="83"/>
  <c r="F32" i="83"/>
  <c r="F63" i="83"/>
  <c r="F39" i="83"/>
  <c r="F33" i="83"/>
  <c r="F29" i="83"/>
  <c r="F26" i="83"/>
  <c r="F20" i="83"/>
  <c r="F66" i="83"/>
  <c r="F22" i="83"/>
  <c r="F16" i="83"/>
  <c r="N14" i="83"/>
  <c r="N22" i="83"/>
  <c r="Z41" i="83"/>
  <c r="R64" i="83"/>
  <c r="J19" i="82"/>
  <c r="H12" i="83"/>
  <c r="V77" i="83"/>
  <c r="V65" i="83"/>
  <c r="V49" i="83"/>
  <c r="V41" i="83"/>
  <c r="V29" i="83"/>
  <c r="V25" i="83"/>
  <c r="V76" i="83"/>
  <c r="V72" i="83"/>
  <c r="V60" i="83"/>
  <c r="V79" i="83"/>
  <c r="V78" i="83"/>
  <c r="V66" i="83"/>
  <c r="V62" i="83"/>
  <c r="V54" i="83"/>
  <c r="V42" i="83"/>
  <c r="V84" i="83"/>
  <c r="V82" i="83"/>
  <c r="V74" i="83"/>
  <c r="V70" i="83"/>
  <c r="V58" i="83"/>
  <c r="V46" i="83"/>
  <c r="V22" i="83"/>
  <c r="V20" i="83"/>
  <c r="V18" i="83"/>
  <c r="Z43" i="83"/>
  <c r="V61" i="83"/>
  <c r="X17" i="84"/>
  <c r="X29" i="84"/>
  <c r="Z96" i="84"/>
  <c r="J32" i="85"/>
  <c r="J15" i="85"/>
  <c r="J16" i="85"/>
  <c r="J21" i="85"/>
  <c r="J22" i="85"/>
  <c r="J20" i="85"/>
  <c r="J23" i="85"/>
  <c r="H18" i="85"/>
  <c r="J24" i="85"/>
  <c r="J25" i="85"/>
  <c r="J26" i="85"/>
  <c r="X13" i="88"/>
  <c r="Z13" i="88" s="1"/>
  <c r="P12" i="88"/>
  <c r="N23" i="88"/>
  <c r="V27" i="83"/>
  <c r="V30" i="83"/>
  <c r="V34" i="83"/>
  <c r="V50" i="83"/>
  <c r="Z54" i="83"/>
  <c r="V57" i="83"/>
  <c r="V64" i="83"/>
  <c r="V67" i="83"/>
  <c r="N81" i="83"/>
  <c r="N84" i="84"/>
  <c r="L84" i="84"/>
  <c r="N13" i="85"/>
  <c r="T12" i="87"/>
  <c r="Z13" i="87"/>
  <c r="F27" i="87"/>
  <c r="J61" i="87"/>
  <c r="Z23" i="88"/>
  <c r="J32" i="82"/>
  <c r="V53" i="83"/>
  <c r="V69" i="83"/>
  <c r="Z79" i="83"/>
  <c r="Z19" i="84"/>
  <c r="Z31" i="84"/>
  <c r="N23" i="85"/>
  <c r="J28" i="85"/>
  <c r="J23" i="87"/>
  <c r="J27" i="87"/>
  <c r="F36" i="87"/>
  <c r="N42" i="87"/>
  <c r="F73" i="87"/>
  <c r="Z57" i="88"/>
  <c r="L16" i="84"/>
  <c r="X19" i="84"/>
  <c r="X21" i="84"/>
  <c r="Z21" i="84" s="1"/>
  <c r="L28" i="84"/>
  <c r="N28" i="84" s="1"/>
  <c r="X31" i="84"/>
  <c r="X33" i="84"/>
  <c r="X78" i="84"/>
  <c r="Z78" i="84" s="1"/>
  <c r="X40" i="87"/>
  <c r="Z40" i="87" s="1"/>
  <c r="F64" i="87"/>
  <c r="J81" i="87"/>
  <c r="J28" i="82"/>
  <c r="V36" i="83"/>
  <c r="L39" i="83"/>
  <c r="N39" i="83" s="1"/>
  <c r="Z33" i="84"/>
  <c r="T30" i="85"/>
  <c r="N32" i="87"/>
  <c r="Z42" i="87"/>
  <c r="F51" i="87"/>
  <c r="F55" i="87"/>
  <c r="N64" i="87"/>
  <c r="L64" i="87"/>
  <c r="N22" i="88"/>
  <c r="Z13" i="82"/>
  <c r="H22" i="82"/>
  <c r="L28" i="82"/>
  <c r="V23" i="83"/>
  <c r="V26" i="83"/>
  <c r="V33" i="83"/>
  <c r="V40" i="83"/>
  <c r="L58" i="83"/>
  <c r="N58" i="83" s="1"/>
  <c r="V63" i="83"/>
  <c r="V18" i="85"/>
  <c r="F61" i="87"/>
  <c r="F60" i="87"/>
  <c r="F82" i="87"/>
  <c r="F81" i="87"/>
  <c r="F62" i="87"/>
  <c r="F54" i="87"/>
  <c r="F53" i="87"/>
  <c r="F86" i="87"/>
  <c r="F84" i="87"/>
  <c r="F90" i="87"/>
  <c r="F71" i="87"/>
  <c r="F65" i="87"/>
  <c r="F52" i="87"/>
  <c r="F46" i="87"/>
  <c r="F37" i="87"/>
  <c r="F33" i="87"/>
  <c r="F32" i="87"/>
  <c r="F69" i="87"/>
  <c r="F28" i="87"/>
  <c r="F24" i="87"/>
  <c r="F23" i="87"/>
  <c r="F77" i="87"/>
  <c r="F57" i="87"/>
  <c r="F39" i="87"/>
  <c r="F38" i="87"/>
  <c r="F22" i="87"/>
  <c r="F20" i="87"/>
  <c r="F78" i="87"/>
  <c r="F74" i="87"/>
  <c r="F34" i="87"/>
  <c r="D20" i="87"/>
  <c r="F93" i="87"/>
  <c r="F66" i="87"/>
  <c r="F47" i="87"/>
  <c r="F41" i="87"/>
  <c r="F40" i="87"/>
  <c r="F29" i="87"/>
  <c r="F25" i="87"/>
  <c r="F88" i="87"/>
  <c r="F72" i="87"/>
  <c r="F58" i="87"/>
  <c r="F79" i="87"/>
  <c r="F70" i="87"/>
  <c r="F59" i="87"/>
  <c r="F48" i="87"/>
  <c r="F43" i="87"/>
  <c r="F42" i="87"/>
  <c r="F35" i="87"/>
  <c r="F67" i="87"/>
  <c r="F30" i="87"/>
  <c r="F26" i="87"/>
  <c r="F80" i="87"/>
  <c r="F75" i="87"/>
  <c r="F68" i="87"/>
  <c r="F63" i="87"/>
  <c r="F49" i="87"/>
  <c r="F45" i="87"/>
  <c r="F44" i="87"/>
  <c r="F17" i="87"/>
  <c r="F16" i="87"/>
  <c r="J32" i="87"/>
  <c r="J64" i="87"/>
  <c r="J71" i="87"/>
  <c r="X22" i="88"/>
  <c r="Z22" i="88" s="1"/>
  <c r="J22" i="82"/>
  <c r="J24" i="82"/>
  <c r="J26" i="82"/>
  <c r="V16" i="83"/>
  <c r="V45" i="83"/>
  <c r="Z48" i="83"/>
  <c r="V52" i="83"/>
  <c r="V59" i="83"/>
  <c r="V71" i="83"/>
  <c r="Z81" i="83"/>
  <c r="X81" i="83"/>
  <c r="V88" i="83"/>
  <c r="N20" i="84"/>
  <c r="Z23" i="84"/>
  <c r="N32" i="84"/>
  <c r="Z35" i="84"/>
  <c r="F30" i="85"/>
  <c r="F28" i="85"/>
  <c r="F32" i="85"/>
  <c r="F16" i="85"/>
  <c r="F15" i="85"/>
  <c r="F37" i="85"/>
  <c r="F34" i="85"/>
  <c r="F22" i="85"/>
  <c r="F21" i="85"/>
  <c r="F20" i="85"/>
  <c r="F18" i="85"/>
  <c r="F24" i="85"/>
  <c r="F23" i="85"/>
  <c r="D18" i="85"/>
  <c r="L12" i="85"/>
  <c r="N12" i="85" s="1"/>
  <c r="X21" i="85"/>
  <c r="Z21" i="85" s="1"/>
  <c r="J80" i="87"/>
  <c r="J72" i="87"/>
  <c r="J68" i="87"/>
  <c r="J52" i="87"/>
  <c r="J73" i="87"/>
  <c r="J69" i="87"/>
  <c r="J55" i="87"/>
  <c r="J45" i="87"/>
  <c r="J84" i="87"/>
  <c r="J88" i="87"/>
  <c r="J74" i="87"/>
  <c r="J70" i="87"/>
  <c r="J77" i="87"/>
  <c r="J38" i="87"/>
  <c r="J28" i="87"/>
  <c r="J24" i="87"/>
  <c r="J22" i="87"/>
  <c r="J57" i="87"/>
  <c r="J39" i="87"/>
  <c r="H20" i="87"/>
  <c r="J20" i="87" s="1"/>
  <c r="J78" i="87"/>
  <c r="J53" i="87"/>
  <c r="J47" i="87"/>
  <c r="J40" i="87"/>
  <c r="J34" i="87"/>
  <c r="J82" i="87"/>
  <c r="J66" i="87"/>
  <c r="J62" i="87"/>
  <c r="J58" i="87"/>
  <c r="J41" i="87"/>
  <c r="J29" i="87"/>
  <c r="J25" i="87"/>
  <c r="J79" i="87"/>
  <c r="J42" i="87"/>
  <c r="J67" i="87"/>
  <c r="J59" i="87"/>
  <c r="J54" i="87"/>
  <c r="J48" i="87"/>
  <c r="J43" i="87"/>
  <c r="J35" i="87"/>
  <c r="J75" i="87"/>
  <c r="J49" i="87"/>
  <c r="J44" i="87"/>
  <c r="J30" i="87"/>
  <c r="J26" i="87"/>
  <c r="J16" i="87"/>
  <c r="J63" i="87"/>
  <c r="J17" i="87"/>
  <c r="J60" i="87"/>
  <c r="J50" i="87"/>
  <c r="J36" i="87"/>
  <c r="N12" i="87"/>
  <c r="J51" i="87"/>
  <c r="J25" i="82"/>
  <c r="X14" i="83"/>
  <c r="Z14" i="83" s="1"/>
  <c r="T20" i="83"/>
  <c r="V44" i="83"/>
  <c r="Z45" i="83"/>
  <c r="V47" i="83"/>
  <c r="V48" i="83"/>
  <c r="N50" i="83"/>
  <c r="V56" i="83"/>
  <c r="L62" i="83"/>
  <c r="N62" i="83" s="1"/>
  <c r="V73" i="83"/>
  <c r="V75" i="83"/>
  <c r="V81" i="83"/>
  <c r="P12" i="84"/>
  <c r="X13" i="84"/>
  <c r="X25" i="84"/>
  <c r="Z25" i="84" s="1"/>
  <c r="Z101" i="84"/>
  <c r="V21" i="85"/>
  <c r="L12" i="87"/>
  <c r="J37" i="87"/>
  <c r="Z47" i="87"/>
  <c r="Z64" i="87"/>
  <c r="L16" i="88"/>
  <c r="V66" i="93"/>
  <c r="V54" i="93"/>
  <c r="V46" i="93"/>
  <c r="V69" i="93"/>
  <c r="V61" i="93"/>
  <c r="V49" i="93"/>
  <c r="V68" i="93"/>
  <c r="V56" i="93"/>
  <c r="V48" i="93"/>
  <c r="V73" i="93"/>
  <c r="V51" i="93"/>
  <c r="V39" i="93"/>
  <c r="V72" i="93"/>
  <c r="V70" i="93"/>
  <c r="V42" i="93"/>
  <c r="V77" i="93"/>
  <c r="V65" i="93"/>
  <c r="V43" i="93"/>
  <c r="V37" i="93"/>
  <c r="V22" i="93"/>
  <c r="V20" i="93"/>
  <c r="V18" i="93"/>
  <c r="V30" i="93"/>
  <c r="T20" i="93"/>
  <c r="V53" i="93"/>
  <c r="V27" i="93"/>
  <c r="V24" i="93"/>
  <c r="V50" i="93"/>
  <c r="V47" i="93"/>
  <c r="V38" i="93"/>
  <c r="V35" i="93"/>
  <c r="V63" i="93"/>
  <c r="V59" i="93"/>
  <c r="V41" i="93"/>
  <c r="V32" i="93"/>
  <c r="V31" i="93"/>
  <c r="V28" i="93"/>
  <c r="V44" i="93"/>
  <c r="V40" i="93"/>
  <c r="V25" i="93"/>
  <c r="V16" i="93"/>
  <c r="V57" i="93"/>
  <c r="V55" i="93"/>
  <c r="V45" i="93"/>
  <c r="V36" i="93"/>
  <c r="V33" i="93"/>
  <c r="V67" i="93"/>
  <c r="V64" i="93"/>
  <c r="V52" i="93"/>
  <c r="V29" i="93"/>
  <c r="V17" i="93"/>
  <c r="V60" i="93"/>
  <c r="Z12" i="93"/>
  <c r="V34" i="93"/>
  <c r="X12" i="93"/>
  <c r="V62" i="93"/>
  <c r="V26" i="93"/>
  <c r="V23" i="93"/>
  <c r="V58" i="93"/>
  <c r="V38" i="83"/>
  <c r="V39" i="83"/>
  <c r="V51" i="83"/>
  <c r="N54" i="83"/>
  <c r="V55" i="83"/>
  <c r="X56" i="83"/>
  <c r="Z56" i="83" s="1"/>
  <c r="V68" i="83"/>
  <c r="L79" i="83"/>
  <c r="T12" i="84"/>
  <c r="Z13" i="84"/>
  <c r="N15" i="84"/>
  <c r="N96" i="84"/>
  <c r="L96" i="84"/>
  <c r="N116" i="84"/>
  <c r="L116" i="84"/>
  <c r="N20" i="85"/>
  <c r="F26" i="85"/>
  <c r="L60" i="87"/>
  <c r="N60" i="87" s="1"/>
  <c r="N16" i="88"/>
  <c r="X53" i="87"/>
  <c r="Z53" i="87" s="1"/>
  <c r="Z69" i="91"/>
  <c r="X69" i="91"/>
  <c r="V32" i="85"/>
  <c r="V54" i="88"/>
  <c r="V42" i="88"/>
  <c r="V30" i="88"/>
  <c r="V26" i="88"/>
  <c r="V75" i="88"/>
  <c r="V73" i="88"/>
  <c r="V65" i="88"/>
  <c r="V61" i="88"/>
  <c r="V45" i="88"/>
  <c r="V44" i="88"/>
  <c r="V36" i="88"/>
  <c r="V32" i="88"/>
  <c r="V67" i="88"/>
  <c r="V55" i="88"/>
  <c r="V47" i="88"/>
  <c r="V31" i="88"/>
  <c r="V27" i="88"/>
  <c r="V23" i="88"/>
  <c r="V66" i="88"/>
  <c r="V62" i="88"/>
  <c r="V46" i="88"/>
  <c r="V22" i="88"/>
  <c r="V20" i="88"/>
  <c r="V18" i="88"/>
  <c r="V79" i="88"/>
  <c r="V69" i="88"/>
  <c r="V57" i="88"/>
  <c r="V49" i="88"/>
  <c r="V37" i="88"/>
  <c r="V33" i="88"/>
  <c r="V68" i="88"/>
  <c r="V56" i="88"/>
  <c r="V48" i="88"/>
  <c r="V28" i="88"/>
  <c r="V24" i="88"/>
  <c r="V71" i="88"/>
  <c r="V70" i="88"/>
  <c r="V58" i="88"/>
  <c r="V50" i="88"/>
  <c r="V38" i="88"/>
  <c r="J49" i="88"/>
  <c r="V52" i="88"/>
  <c r="Z71" i="88"/>
  <c r="L23" i="92"/>
  <c r="N23" i="92" s="1"/>
  <c r="V15" i="85"/>
  <c r="F63" i="88"/>
  <c r="F22" i="88"/>
  <c r="F20" i="88"/>
  <c r="F84" i="88"/>
  <c r="F81" i="88"/>
  <c r="F70" i="88"/>
  <c r="F69" i="88"/>
  <c r="F58" i="88"/>
  <c r="F57" i="88"/>
  <c r="F50" i="88"/>
  <c r="F49" i="88"/>
  <c r="F38" i="88"/>
  <c r="F34" i="88"/>
  <c r="F72" i="88"/>
  <c r="F71" i="88"/>
  <c r="F64" i="88"/>
  <c r="F52" i="88"/>
  <c r="F51" i="88"/>
  <c r="F40" i="88"/>
  <c r="F39" i="88"/>
  <c r="F59" i="88"/>
  <c r="F35" i="88"/>
  <c r="F54" i="88"/>
  <c r="F53" i="88"/>
  <c r="F42" i="88"/>
  <c r="F41" i="88"/>
  <c r="F73" i="88"/>
  <c r="F65" i="88"/>
  <c r="F61" i="88"/>
  <c r="F60" i="88"/>
  <c r="F17" i="88"/>
  <c r="F16" i="88"/>
  <c r="F55" i="88"/>
  <c r="J24" i="88"/>
  <c r="J31" i="88"/>
  <c r="F44" i="88"/>
  <c r="F46" i="88"/>
  <c r="F75" i="88"/>
  <c r="Z18" i="91"/>
  <c r="D12" i="93"/>
  <c r="L14" i="93"/>
  <c r="R28" i="85"/>
  <c r="J70" i="88"/>
  <c r="J58" i="88"/>
  <c r="J50" i="88"/>
  <c r="J38" i="88"/>
  <c r="J34" i="88"/>
  <c r="J71" i="88"/>
  <c r="J51" i="88"/>
  <c r="J39" i="88"/>
  <c r="J29" i="88"/>
  <c r="J25" i="88"/>
  <c r="J72" i="88"/>
  <c r="J64" i="88"/>
  <c r="J52" i="88"/>
  <c r="J40" i="88"/>
  <c r="J59" i="88"/>
  <c r="J53" i="88"/>
  <c r="J41" i="88"/>
  <c r="J35" i="88"/>
  <c r="J60" i="88"/>
  <c r="J54" i="88"/>
  <c r="J42" i="88"/>
  <c r="J30" i="88"/>
  <c r="J26" i="88"/>
  <c r="J16" i="88"/>
  <c r="J73" i="88"/>
  <c r="J65" i="88"/>
  <c r="J61" i="88"/>
  <c r="J43" i="88"/>
  <c r="J44" i="88"/>
  <c r="J36" i="88"/>
  <c r="N12" i="88"/>
  <c r="J77" i="88"/>
  <c r="J75" i="88"/>
  <c r="J66" i="88"/>
  <c r="J62" i="88"/>
  <c r="J46" i="88"/>
  <c r="T20" i="88"/>
  <c r="V64" i="88"/>
  <c r="J34" i="91"/>
  <c r="R26" i="85"/>
  <c r="J33" i="88"/>
  <c r="J37" i="88"/>
  <c r="V60" i="88"/>
  <c r="J97" i="91"/>
  <c r="J95" i="91"/>
  <c r="J91" i="91"/>
  <c r="J83" i="91"/>
  <c r="J67" i="91"/>
  <c r="J55" i="91"/>
  <c r="J43" i="91"/>
  <c r="J35" i="91"/>
  <c r="J31" i="91"/>
  <c r="J94" i="91"/>
  <c r="J84" i="91"/>
  <c r="J78" i="91"/>
  <c r="J74" i="91"/>
  <c r="J62" i="91"/>
  <c r="J56" i="91"/>
  <c r="J99" i="91"/>
  <c r="J93" i="91"/>
  <c r="J85" i="91"/>
  <c r="J63" i="91"/>
  <c r="J57" i="91"/>
  <c r="J45" i="91"/>
  <c r="J37" i="91"/>
  <c r="J86" i="91"/>
  <c r="J68" i="91"/>
  <c r="J64" i="91"/>
  <c r="J104" i="91"/>
  <c r="J101" i="91"/>
  <c r="J65" i="91"/>
  <c r="J49" i="91"/>
  <c r="J41" i="91"/>
  <c r="J33" i="91"/>
  <c r="J71" i="91"/>
  <c r="J51" i="91"/>
  <c r="J81" i="91"/>
  <c r="J69" i="91"/>
  <c r="J38" i="91"/>
  <c r="J19" i="91"/>
  <c r="J46" i="91"/>
  <c r="J28" i="91"/>
  <c r="J24" i="91"/>
  <c r="J20" i="91"/>
  <c r="J18" i="91"/>
  <c r="J16" i="91"/>
  <c r="J14" i="91"/>
  <c r="J79" i="91"/>
  <c r="J72" i="91"/>
  <c r="J53" i="91"/>
  <c r="J39" i="91"/>
  <c r="J32" i="91"/>
  <c r="J29" i="91"/>
  <c r="H16" i="91"/>
  <c r="J89" i="91"/>
  <c r="J82" i="91"/>
  <c r="J77" i="91"/>
  <c r="J60" i="91"/>
  <c r="J50" i="91"/>
  <c r="J87" i="91"/>
  <c r="J75" i="91"/>
  <c r="J40" i="91"/>
  <c r="J25" i="91"/>
  <c r="J21" i="91"/>
  <c r="J58" i="91"/>
  <c r="J54" i="91"/>
  <c r="J47" i="91"/>
  <c r="J30" i="91"/>
  <c r="J70" i="91"/>
  <c r="J61" i="91"/>
  <c r="J36" i="91"/>
  <c r="J90" i="91"/>
  <c r="J73" i="91"/>
  <c r="J44" i="91"/>
  <c r="J26" i="91"/>
  <c r="J22" i="91"/>
  <c r="J80" i="91"/>
  <c r="J66" i="91"/>
  <c r="J48" i="91"/>
  <c r="J88" i="91"/>
  <c r="L23" i="85"/>
  <c r="V26" i="85"/>
  <c r="V28" i="85"/>
  <c r="V30" i="85"/>
  <c r="Z51" i="87"/>
  <c r="X16" i="88"/>
  <c r="Z16" i="88" s="1"/>
  <c r="J23" i="88"/>
  <c r="J28" i="88"/>
  <c r="V35" i="88"/>
  <c r="J48" i="88"/>
  <c r="X60" i="88"/>
  <c r="Z60" i="88" s="1"/>
  <c r="L12" i="91"/>
  <c r="Z29" i="91"/>
  <c r="X29" i="91"/>
  <c r="X46" i="91"/>
  <c r="Z46" i="91" s="1"/>
  <c r="J59" i="91"/>
  <c r="L101" i="84"/>
  <c r="N101" i="84" s="1"/>
  <c r="L123" i="84"/>
  <c r="X12" i="85"/>
  <c r="L20" i="85"/>
  <c r="R24" i="85"/>
  <c r="R25" i="85"/>
  <c r="X28" i="85"/>
  <c r="X32" i="87"/>
  <c r="Z32" i="87" s="1"/>
  <c r="L42" i="87"/>
  <c r="X64" i="87"/>
  <c r="L14" i="88"/>
  <c r="N14" i="88" s="1"/>
  <c r="L23" i="88"/>
  <c r="J55" i="88"/>
  <c r="J63" i="88"/>
  <c r="F67" i="88"/>
  <c r="V72" i="88"/>
  <c r="N12" i="91"/>
  <c r="P16" i="91"/>
  <c r="N58" i="92"/>
  <c r="L58" i="92"/>
  <c r="Z12" i="85"/>
  <c r="V24" i="85"/>
  <c r="J22" i="88"/>
  <c r="F30" i="88"/>
  <c r="Z39" i="88"/>
  <c r="N43" i="88"/>
  <c r="F45" i="88"/>
  <c r="Z51" i="88"/>
  <c r="J57" i="88"/>
  <c r="N67" i="88"/>
  <c r="L67" i="88"/>
  <c r="N86" i="91"/>
  <c r="X94" i="91"/>
  <c r="Z94" i="91" s="1"/>
  <c r="P93" i="91"/>
  <c r="L15" i="84"/>
  <c r="L19" i="84"/>
  <c r="N19" i="84" s="1"/>
  <c r="L23" i="84"/>
  <c r="N23" i="84" s="1"/>
  <c r="L27" i="84"/>
  <c r="L31" i="84"/>
  <c r="N31" i="84" s="1"/>
  <c r="L35" i="84"/>
  <c r="N35" i="84" s="1"/>
  <c r="P18" i="85"/>
  <c r="R22" i="85"/>
  <c r="R23" i="85"/>
  <c r="V25" i="85"/>
  <c r="X55" i="87"/>
  <c r="Z55" i="87" s="1"/>
  <c r="J17" i="88"/>
  <c r="L22" i="88"/>
  <c r="V39" i="88"/>
  <c r="N45" i="88"/>
  <c r="F47" i="88"/>
  <c r="V51" i="88"/>
  <c r="V59" i="88"/>
  <c r="J67" i="88"/>
  <c r="J69" i="88"/>
  <c r="F77" i="88"/>
  <c r="J52" i="91"/>
  <c r="R71" i="92"/>
  <c r="R67" i="92"/>
  <c r="R55" i="92"/>
  <c r="R44" i="92"/>
  <c r="R43" i="92"/>
  <c r="R31" i="92"/>
  <c r="R27" i="92"/>
  <c r="R62" i="92"/>
  <c r="R18" i="92"/>
  <c r="R46" i="92"/>
  <c r="R45" i="92"/>
  <c r="R37" i="92"/>
  <c r="R73" i="92"/>
  <c r="R72" i="92"/>
  <c r="R68" i="92"/>
  <c r="R56" i="92"/>
  <c r="R33" i="92"/>
  <c r="R32" i="92"/>
  <c r="R28" i="92"/>
  <c r="R64" i="92"/>
  <c r="R63" i="92"/>
  <c r="R48" i="92"/>
  <c r="R47" i="92"/>
  <c r="R24" i="92"/>
  <c r="R19" i="92"/>
  <c r="R75" i="92"/>
  <c r="R74" i="92"/>
  <c r="R38" i="92"/>
  <c r="R34" i="92"/>
  <c r="R69" i="92"/>
  <c r="R65" i="92"/>
  <c r="R58" i="92"/>
  <c r="R57" i="92"/>
  <c r="R50" i="92"/>
  <c r="R49" i="92"/>
  <c r="R29" i="92"/>
  <c r="R25" i="92"/>
  <c r="P21" i="92"/>
  <c r="R21" i="92" s="1"/>
  <c r="R76" i="92"/>
  <c r="R78" i="92"/>
  <c r="R60" i="92"/>
  <c r="R59" i="92"/>
  <c r="R52" i="92"/>
  <c r="R51" i="92"/>
  <c r="R40" i="92"/>
  <c r="R39" i="92"/>
  <c r="R35" i="92"/>
  <c r="R70" i="92"/>
  <c r="R66" i="92"/>
  <c r="R30" i="92"/>
  <c r="R26" i="92"/>
  <c r="R61" i="92"/>
  <c r="R42" i="92"/>
  <c r="R82" i="92"/>
  <c r="R54" i="92"/>
  <c r="R17" i="92"/>
  <c r="X12" i="92"/>
  <c r="R41" i="92"/>
  <c r="R23" i="92"/>
  <c r="R53" i="92"/>
  <c r="R18" i="85"/>
  <c r="Z67" i="87"/>
  <c r="D20" i="88"/>
  <c r="N32" i="88"/>
  <c r="F36" i="88"/>
  <c r="V41" i="88"/>
  <c r="J45" i="88"/>
  <c r="V63" i="88"/>
  <c r="J23" i="91"/>
  <c r="N52" i="91"/>
  <c r="R104" i="91"/>
  <c r="R101" i="91"/>
  <c r="R69" i="91"/>
  <c r="R68" i="91"/>
  <c r="R64" i="91"/>
  <c r="R32" i="91"/>
  <c r="R87" i="91"/>
  <c r="R79" i="91"/>
  <c r="R75" i="91"/>
  <c r="R59" i="91"/>
  <c r="R48" i="91"/>
  <c r="R47" i="91"/>
  <c r="R70" i="91"/>
  <c r="R65" i="91"/>
  <c r="R66" i="91"/>
  <c r="R42" i="91"/>
  <c r="R34" i="91"/>
  <c r="R30" i="91"/>
  <c r="R97" i="91"/>
  <c r="R95" i="91"/>
  <c r="R94" i="91"/>
  <c r="R91" i="91"/>
  <c r="R84" i="91"/>
  <c r="R83" i="91"/>
  <c r="T16" i="91"/>
  <c r="R19" i="91"/>
  <c r="V34" i="91"/>
  <c r="R37" i="91"/>
  <c r="V42" i="91"/>
  <c r="R45" i="91"/>
  <c r="V71" i="91"/>
  <c r="R76" i="91"/>
  <c r="R88" i="91"/>
  <c r="V62" i="92"/>
  <c r="V46" i="92"/>
  <c r="V18" i="92"/>
  <c r="V73" i="92"/>
  <c r="V45" i="92"/>
  <c r="V37" i="92"/>
  <c r="V33" i="92"/>
  <c r="V72" i="92"/>
  <c r="V68" i="92"/>
  <c r="V64" i="92"/>
  <c r="V56" i="92"/>
  <c r="V48" i="92"/>
  <c r="V32" i="92"/>
  <c r="V28" i="92"/>
  <c r="V24" i="92"/>
  <c r="V75" i="92"/>
  <c r="V63" i="92"/>
  <c r="V47" i="92"/>
  <c r="V23" i="92"/>
  <c r="V21" i="92"/>
  <c r="V19" i="92"/>
  <c r="V74" i="92"/>
  <c r="V58" i="92"/>
  <c r="V50" i="92"/>
  <c r="V38" i="92"/>
  <c r="V34" i="92"/>
  <c r="T21" i="92"/>
  <c r="V69" i="92"/>
  <c r="V65" i="92"/>
  <c r="V57" i="92"/>
  <c r="V49" i="92"/>
  <c r="V29" i="92"/>
  <c r="V25" i="92"/>
  <c r="V78" i="92"/>
  <c r="V76" i="92"/>
  <c r="V60" i="92"/>
  <c r="V52" i="92"/>
  <c r="V40" i="92"/>
  <c r="V59" i="92"/>
  <c r="V51" i="92"/>
  <c r="V39" i="92"/>
  <c r="V35" i="92"/>
  <c r="V70" i="92"/>
  <c r="V66" i="92"/>
  <c r="V54" i="92"/>
  <c r="V42" i="92"/>
  <c r="V30" i="92"/>
  <c r="V26" i="92"/>
  <c r="V61" i="92"/>
  <c r="V53" i="92"/>
  <c r="V41" i="92"/>
  <c r="V17" i="92"/>
  <c r="V43" i="92"/>
  <c r="Z64" i="92"/>
  <c r="N75" i="92"/>
  <c r="L75" i="92"/>
  <c r="N14" i="93"/>
  <c r="V87" i="91"/>
  <c r="V79" i="91"/>
  <c r="V75" i="91"/>
  <c r="V59" i="91"/>
  <c r="V47" i="91"/>
  <c r="V39" i="91"/>
  <c r="V70" i="91"/>
  <c r="V50" i="91"/>
  <c r="V65" i="91"/>
  <c r="V49" i="91"/>
  <c r="V41" i="91"/>
  <c r="V88" i="91"/>
  <c r="V80" i="91"/>
  <c r="V76" i="91"/>
  <c r="V72" i="91"/>
  <c r="V97" i="91"/>
  <c r="V95" i="91"/>
  <c r="V89" i="91"/>
  <c r="V81" i="91"/>
  <c r="V77" i="91"/>
  <c r="V73" i="91"/>
  <c r="V61" i="91"/>
  <c r="V53" i="91"/>
  <c r="V93" i="91"/>
  <c r="V91" i="91"/>
  <c r="V83" i="91"/>
  <c r="V67" i="91"/>
  <c r="V63" i="91"/>
  <c r="V55" i="91"/>
  <c r="V43" i="91"/>
  <c r="V86" i="91"/>
  <c r="V78" i="91"/>
  <c r="V14" i="91"/>
  <c r="V16" i="91"/>
  <c r="V18" i="91"/>
  <c r="V37" i="91"/>
  <c r="V38" i="91"/>
  <c r="V45" i="91"/>
  <c r="R52" i="91"/>
  <c r="V56" i="91"/>
  <c r="R78" i="91"/>
  <c r="V104" i="91"/>
  <c r="Z23" i="92"/>
  <c r="V67" i="92"/>
  <c r="X12" i="91"/>
  <c r="V19" i="91"/>
  <c r="V23" i="91"/>
  <c r="V27" i="91"/>
  <c r="V31" i="91"/>
  <c r="Z52" i="91"/>
  <c r="X52" i="91"/>
  <c r="L58" i="91"/>
  <c r="N58" i="91" s="1"/>
  <c r="V64" i="91"/>
  <c r="V68" i="91"/>
  <c r="N93" i="91"/>
  <c r="L14" i="92"/>
  <c r="N50" i="92"/>
  <c r="L50" i="92"/>
  <c r="Z75" i="92"/>
  <c r="N32" i="93"/>
  <c r="Z32" i="95"/>
  <c r="Z12" i="91"/>
  <c r="R51" i="91"/>
  <c r="V52" i="91"/>
  <c r="R55" i="91"/>
  <c r="V66" i="91"/>
  <c r="F75" i="91"/>
  <c r="R80" i="91"/>
  <c r="R85" i="91"/>
  <c r="F87" i="91"/>
  <c r="H12" i="92"/>
  <c r="N14" i="92"/>
  <c r="N17" i="92"/>
  <c r="D16" i="91"/>
  <c r="R22" i="91"/>
  <c r="R26" i="91"/>
  <c r="R33" i="91"/>
  <c r="X36" i="91"/>
  <c r="Z36" i="91" s="1"/>
  <c r="R44" i="91"/>
  <c r="V48" i="91"/>
  <c r="V51" i="91"/>
  <c r="R61" i="91"/>
  <c r="F63" i="91"/>
  <c r="F72" i="91"/>
  <c r="R73" i="91"/>
  <c r="F77" i="91"/>
  <c r="V85" i="91"/>
  <c r="F89" i="91"/>
  <c r="R90" i="91"/>
  <c r="R93" i="91"/>
  <c r="R99" i="91"/>
  <c r="D12" i="92"/>
  <c r="N44" i="92"/>
  <c r="V22" i="91"/>
  <c r="V26" i="91"/>
  <c r="N29" i="91"/>
  <c r="F32" i="91"/>
  <c r="V33" i="91"/>
  <c r="R36" i="91"/>
  <c r="F39" i="91"/>
  <c r="R41" i="91"/>
  <c r="F46" i="91"/>
  <c r="F53" i="91"/>
  <c r="R58" i="91"/>
  <c r="N63" i="91"/>
  <c r="F79" i="91"/>
  <c r="V99" i="91"/>
  <c r="N24" i="92"/>
  <c r="N42" i="92"/>
  <c r="Z50" i="92"/>
  <c r="N48" i="95"/>
  <c r="V30" i="91"/>
  <c r="V44" i="91"/>
  <c r="N46" i="91"/>
  <c r="L46" i="91"/>
  <c r="V90" i="91"/>
  <c r="Z12" i="92"/>
  <c r="Z17" i="92"/>
  <c r="X17" i="92"/>
  <c r="X44" i="92"/>
  <c r="Z44" i="92" s="1"/>
  <c r="V71" i="92"/>
  <c r="R21" i="91"/>
  <c r="R25" i="91"/>
  <c r="R35" i="91"/>
  <c r="V36" i="91"/>
  <c r="R43" i="91"/>
  <c r="R54" i="91"/>
  <c r="R57" i="91"/>
  <c r="V58" i="91"/>
  <c r="R63" i="91"/>
  <c r="R77" i="91"/>
  <c r="L86" i="91"/>
  <c r="R89" i="91"/>
  <c r="Z24" i="92"/>
  <c r="V44" i="92"/>
  <c r="V82" i="92"/>
  <c r="H12" i="93"/>
  <c r="F91" i="91"/>
  <c r="F90" i="91"/>
  <c r="F83" i="91"/>
  <c r="F82" i="91"/>
  <c r="F67" i="91"/>
  <c r="F55" i="91"/>
  <c r="F54" i="91"/>
  <c r="F97" i="91"/>
  <c r="F95" i="91"/>
  <c r="F78" i="91"/>
  <c r="F74" i="91"/>
  <c r="F62" i="91"/>
  <c r="F99" i="91"/>
  <c r="F94" i="91"/>
  <c r="F85" i="91"/>
  <c r="F84" i="91"/>
  <c r="F104" i="91"/>
  <c r="F101" i="91"/>
  <c r="F70" i="91"/>
  <c r="F69" i="91"/>
  <c r="F88" i="91"/>
  <c r="F80" i="91"/>
  <c r="F76" i="91"/>
  <c r="F60" i="91"/>
  <c r="V21" i="91"/>
  <c r="V25" i="91"/>
  <c r="F34" i="91"/>
  <c r="V35" i="91"/>
  <c r="R40" i="91"/>
  <c r="F42" i="91"/>
  <c r="F49" i="91"/>
  <c r="R50" i="91"/>
  <c r="F52" i="91"/>
  <c r="V57" i="91"/>
  <c r="Z58" i="91"/>
  <c r="R60" i="91"/>
  <c r="Z63" i="91"/>
  <c r="R67" i="91"/>
  <c r="F71" i="91"/>
  <c r="X72" i="91"/>
  <c r="Z72" i="91" s="1"/>
  <c r="R82" i="91"/>
  <c r="F86" i="91"/>
  <c r="Z95" i="91"/>
  <c r="T93" i="91"/>
  <c r="V27" i="92"/>
  <c r="Z42" i="92"/>
  <c r="R32" i="93"/>
  <c r="R31" i="93"/>
  <c r="R27" i="93"/>
  <c r="R67" i="93"/>
  <c r="R66" i="93"/>
  <c r="R55" i="93"/>
  <c r="R54" i="93"/>
  <c r="R47" i="93"/>
  <c r="R46" i="93"/>
  <c r="R61" i="93"/>
  <c r="R69" i="93"/>
  <c r="R68" i="93"/>
  <c r="R56" i="93"/>
  <c r="R49" i="93"/>
  <c r="R48" i="93"/>
  <c r="R72" i="93"/>
  <c r="R58" i="93"/>
  <c r="R57" i="93"/>
  <c r="R77" i="93"/>
  <c r="R63" i="93"/>
  <c r="R59" i="93"/>
  <c r="R62" i="93"/>
  <c r="R60" i="93"/>
  <c r="R34" i="93"/>
  <c r="R37" i="93"/>
  <c r="R23" i="93"/>
  <c r="R18" i="93"/>
  <c r="R65" i="93"/>
  <c r="R43" i="93"/>
  <c r="R30" i="93"/>
  <c r="R22" i="93"/>
  <c r="R53" i="93"/>
  <c r="R24" i="93"/>
  <c r="P20" i="93"/>
  <c r="R20" i="93" s="1"/>
  <c r="R50" i="93"/>
  <c r="R39" i="93"/>
  <c r="R38" i="93"/>
  <c r="R35" i="93"/>
  <c r="R51" i="93"/>
  <c r="R28" i="93"/>
  <c r="R44" i="93"/>
  <c r="R41" i="93"/>
  <c r="R40" i="93"/>
  <c r="R25" i="93"/>
  <c r="R16" i="93"/>
  <c r="R73" i="93"/>
  <c r="R36" i="93"/>
  <c r="R33" i="93"/>
  <c r="Z58" i="93"/>
  <c r="V71" i="94"/>
  <c r="V59" i="94"/>
  <c r="V51" i="94"/>
  <c r="V39" i="94"/>
  <c r="V66" i="94"/>
  <c r="V62" i="94"/>
  <c r="V50" i="94"/>
  <c r="V38" i="94"/>
  <c r="V34" i="94"/>
  <c r="V75" i="94"/>
  <c r="V73" i="94"/>
  <c r="V61" i="94"/>
  <c r="V53" i="94"/>
  <c r="V41" i="94"/>
  <c r="V29" i="94"/>
  <c r="V25" i="94"/>
  <c r="V52" i="94"/>
  <c r="V40" i="94"/>
  <c r="V16" i="94"/>
  <c r="V67" i="94"/>
  <c r="V63" i="94"/>
  <c r="V43" i="94"/>
  <c r="V35" i="94"/>
  <c r="V54" i="94"/>
  <c r="V79" i="94"/>
  <c r="V45" i="94"/>
  <c r="V17" i="94"/>
  <c r="V68" i="94"/>
  <c r="V64" i="94"/>
  <c r="V56" i="94"/>
  <c r="V44" i="94"/>
  <c r="V36" i="94"/>
  <c r="V32" i="94"/>
  <c r="V55" i="94"/>
  <c r="V47" i="94"/>
  <c r="V31" i="94"/>
  <c r="V27" i="94"/>
  <c r="V23" i="94"/>
  <c r="V69" i="94"/>
  <c r="V65" i="94"/>
  <c r="V57" i="94"/>
  <c r="V49" i="94"/>
  <c r="V37" i="94"/>
  <c r="V33" i="94"/>
  <c r="T20" i="94"/>
  <c r="V20" i="94"/>
  <c r="V28" i="94"/>
  <c r="V58" i="94"/>
  <c r="V30" i="94"/>
  <c r="V60" i="94"/>
  <c r="V22" i="94"/>
  <c r="V18" i="94"/>
  <c r="V70" i="94"/>
  <c r="V24" i="94"/>
  <c r="V26" i="94"/>
  <c r="N53" i="94"/>
  <c r="J80" i="95"/>
  <c r="J76" i="95"/>
  <c r="J60" i="95"/>
  <c r="J82" i="95"/>
  <c r="J72" i="95"/>
  <c r="J66" i="95"/>
  <c r="J83" i="95"/>
  <c r="J77" i="95"/>
  <c r="J73" i="95"/>
  <c r="J61" i="95"/>
  <c r="J87" i="95"/>
  <c r="J63" i="95"/>
  <c r="J57" i="95"/>
  <c r="J88" i="95"/>
  <c r="J68" i="95"/>
  <c r="J64" i="95"/>
  <c r="J75" i="95"/>
  <c r="J70" i="95"/>
  <c r="J67" i="95"/>
  <c r="J65" i="95"/>
  <c r="J62" i="95"/>
  <c r="J55" i="95"/>
  <c r="J46" i="95"/>
  <c r="J32" i="95"/>
  <c r="J18" i="95"/>
  <c r="J37" i="95"/>
  <c r="J33" i="95"/>
  <c r="J23" i="95"/>
  <c r="J91" i="95"/>
  <c r="J56" i="95"/>
  <c r="J28" i="95"/>
  <c r="J24" i="95"/>
  <c r="J22" i="95"/>
  <c r="J20" i="95"/>
  <c r="J95" i="95"/>
  <c r="J78" i="95"/>
  <c r="J47" i="95"/>
  <c r="H20" i="95"/>
  <c r="J81" i="95"/>
  <c r="J48" i="95"/>
  <c r="J38" i="95"/>
  <c r="J34" i="95"/>
  <c r="J84" i="95"/>
  <c r="J71" i="95"/>
  <c r="J49" i="95"/>
  <c r="J39" i="95"/>
  <c r="J29" i="95"/>
  <c r="J25" i="95"/>
  <c r="J74" i="95"/>
  <c r="J50" i="95"/>
  <c r="J40" i="95"/>
  <c r="J69" i="95"/>
  <c r="J58" i="95"/>
  <c r="J51" i="95"/>
  <c r="J41" i="95"/>
  <c r="J35" i="95"/>
  <c r="J85" i="95"/>
  <c r="J79" i="95"/>
  <c r="J52" i="95"/>
  <c r="J42" i="95"/>
  <c r="J30" i="95"/>
  <c r="J26" i="95"/>
  <c r="J16" i="95"/>
  <c r="J59" i="95"/>
  <c r="J54" i="95"/>
  <c r="J44" i="95"/>
  <c r="J36" i="95"/>
  <c r="N16" i="95"/>
  <c r="F42" i="95"/>
  <c r="F44" i="95"/>
  <c r="J53" i="95"/>
  <c r="N85" i="95"/>
  <c r="L85" i="95"/>
  <c r="Z49" i="101"/>
  <c r="N72" i="93"/>
  <c r="Z73" i="93"/>
  <c r="D12" i="94"/>
  <c r="L13" i="94"/>
  <c r="N13" i="94" s="1"/>
  <c r="N51" i="94"/>
  <c r="F26" i="95"/>
  <c r="J31" i="95"/>
  <c r="Z48" i="95"/>
  <c r="F58" i="95"/>
  <c r="J55" i="94"/>
  <c r="J45" i="94"/>
  <c r="J31" i="94"/>
  <c r="J27" i="94"/>
  <c r="J56" i="94"/>
  <c r="J46" i="94"/>
  <c r="J32" i="94"/>
  <c r="J18" i="94"/>
  <c r="J69" i="94"/>
  <c r="J65" i="94"/>
  <c r="J57" i="94"/>
  <c r="J47" i="94"/>
  <c r="J37" i="94"/>
  <c r="J33" i="94"/>
  <c r="J23" i="94"/>
  <c r="J70" i="94"/>
  <c r="J58" i="94"/>
  <c r="J48" i="94"/>
  <c r="J28" i="94"/>
  <c r="J24" i="94"/>
  <c r="J22" i="94"/>
  <c r="J20" i="94"/>
  <c r="J71" i="94"/>
  <c r="J59" i="94"/>
  <c r="J49" i="94"/>
  <c r="H20" i="94"/>
  <c r="J72" i="94"/>
  <c r="J66" i="94"/>
  <c r="J60" i="94"/>
  <c r="J50" i="94"/>
  <c r="J73" i="94"/>
  <c r="J61" i="94"/>
  <c r="J51" i="94"/>
  <c r="J39" i="94"/>
  <c r="J29" i="94"/>
  <c r="J25" i="94"/>
  <c r="J62" i="94"/>
  <c r="J52" i="94"/>
  <c r="J40" i="94"/>
  <c r="J75" i="94"/>
  <c r="J67" i="94"/>
  <c r="J63" i="94"/>
  <c r="J53" i="94"/>
  <c r="J41" i="94"/>
  <c r="J35" i="94"/>
  <c r="J79" i="94"/>
  <c r="J43" i="94"/>
  <c r="J17" i="94"/>
  <c r="J30" i="94"/>
  <c r="T12" i="95"/>
  <c r="X13" i="95"/>
  <c r="Z43" i="97"/>
  <c r="X43" i="97"/>
  <c r="Z41" i="93"/>
  <c r="L47" i="93"/>
  <c r="N47" i="93" s="1"/>
  <c r="X51" i="93"/>
  <c r="X72" i="93"/>
  <c r="Z72" i="93" s="1"/>
  <c r="J16" i="94"/>
  <c r="L41" i="94"/>
  <c r="N49" i="94"/>
  <c r="Z51" i="94"/>
  <c r="Z13" i="95"/>
  <c r="Z23" i="98"/>
  <c r="X23" i="98"/>
  <c r="X78" i="92"/>
  <c r="N39" i="94"/>
  <c r="N41" i="94"/>
  <c r="N43" i="94"/>
  <c r="J54" i="94"/>
  <c r="Z51" i="93"/>
  <c r="F95" i="95"/>
  <c r="F90" i="95"/>
  <c r="F65" i="95"/>
  <c r="F71" i="95"/>
  <c r="F100" i="95"/>
  <c r="F97" i="95"/>
  <c r="F82" i="95"/>
  <c r="F81" i="95"/>
  <c r="F66" i="95"/>
  <c r="F86" i="95"/>
  <c r="F85" i="95"/>
  <c r="F78" i="95"/>
  <c r="F74" i="95"/>
  <c r="F62" i="95"/>
  <c r="F54" i="95"/>
  <c r="F31" i="95"/>
  <c r="F27" i="95"/>
  <c r="F80" i="95"/>
  <c r="F75" i="95"/>
  <c r="F73" i="95"/>
  <c r="F70" i="95"/>
  <c r="F67" i="95"/>
  <c r="F55" i="95"/>
  <c r="F46" i="95"/>
  <c r="F45" i="95"/>
  <c r="F18" i="95"/>
  <c r="F83" i="95"/>
  <c r="F37" i="95"/>
  <c r="F33" i="95"/>
  <c r="F32" i="95"/>
  <c r="F60" i="95"/>
  <c r="F28" i="95"/>
  <c r="F24" i="95"/>
  <c r="F23" i="95"/>
  <c r="F91" i="95"/>
  <c r="F56" i="95"/>
  <c r="F47" i="95"/>
  <c r="F22" i="95"/>
  <c r="F20" i="95"/>
  <c r="F87" i="95"/>
  <c r="F76" i="95"/>
  <c r="F63" i="95"/>
  <c r="F57" i="95"/>
  <c r="F38" i="95"/>
  <c r="F34" i="95"/>
  <c r="D20" i="95"/>
  <c r="F84" i="95"/>
  <c r="F68" i="95"/>
  <c r="F49" i="95"/>
  <c r="F48" i="95"/>
  <c r="F29" i="95"/>
  <c r="F25" i="95"/>
  <c r="F61" i="95"/>
  <c r="F40" i="95"/>
  <c r="F39" i="95"/>
  <c r="F88" i="95"/>
  <c r="F64" i="95"/>
  <c r="F51" i="95"/>
  <c r="F50" i="95"/>
  <c r="F35" i="95"/>
  <c r="F77" i="95"/>
  <c r="F53" i="95"/>
  <c r="F52" i="95"/>
  <c r="F17" i="95"/>
  <c r="F16" i="95"/>
  <c r="X83" i="95"/>
  <c r="Z83" i="95" s="1"/>
  <c r="T90" i="95"/>
  <c r="Z90" i="95" s="1"/>
  <c r="Z91" i="95"/>
  <c r="L45" i="93"/>
  <c r="N45" i="93" s="1"/>
  <c r="N58" i="93"/>
  <c r="Z16" i="94"/>
  <c r="N23" i="94"/>
  <c r="Z41" i="94"/>
  <c r="Z47" i="94"/>
  <c r="X49" i="94"/>
  <c r="Z49" i="94" s="1"/>
  <c r="Z22" i="95"/>
  <c r="J27" i="95"/>
  <c r="F41" i="95"/>
  <c r="F43" i="95"/>
  <c r="J45" i="95"/>
  <c r="J86" i="95"/>
  <c r="F93" i="95"/>
  <c r="X13" i="92"/>
  <c r="X13" i="93"/>
  <c r="Z13" i="93" s="1"/>
  <c r="X23" i="94"/>
  <c r="Z23" i="94" s="1"/>
  <c r="J26" i="94"/>
  <c r="Z39" i="94"/>
  <c r="Z43" i="94"/>
  <c r="Z45" i="94"/>
  <c r="N39" i="95"/>
  <c r="L52" i="95"/>
  <c r="X56" i="95"/>
  <c r="Z56" i="95" s="1"/>
  <c r="F59" i="95"/>
  <c r="F69" i="95"/>
  <c r="F79" i="95"/>
  <c r="Z13" i="92"/>
  <c r="N55" i="93"/>
  <c r="J42" i="94"/>
  <c r="J68" i="94"/>
  <c r="L12" i="95"/>
  <c r="N12" i="95" s="1"/>
  <c r="F30" i="95"/>
  <c r="J43" i="95"/>
  <c r="X58" i="93"/>
  <c r="J38" i="94"/>
  <c r="J44" i="94"/>
  <c r="R77" i="95"/>
  <c r="R73" i="95"/>
  <c r="R61" i="95"/>
  <c r="R67" i="95"/>
  <c r="R87" i="95"/>
  <c r="R86" i="95"/>
  <c r="R78" i="95"/>
  <c r="R74" i="95"/>
  <c r="R63" i="95"/>
  <c r="R62" i="95"/>
  <c r="R70" i="95"/>
  <c r="R95" i="95"/>
  <c r="R65" i="95"/>
  <c r="R91" i="95"/>
  <c r="R60" i="95"/>
  <c r="R48" i="95"/>
  <c r="R47" i="95"/>
  <c r="R81" i="95"/>
  <c r="R39" i="95"/>
  <c r="R38" i="95"/>
  <c r="R34" i="95"/>
  <c r="R84" i="95"/>
  <c r="R76" i="95"/>
  <c r="R71" i="95"/>
  <c r="R57" i="95"/>
  <c r="R50" i="95"/>
  <c r="R49" i="95"/>
  <c r="R29" i="95"/>
  <c r="R25" i="95"/>
  <c r="R68" i="95"/>
  <c r="R41" i="95"/>
  <c r="R40" i="95"/>
  <c r="R58" i="95"/>
  <c r="R52" i="95"/>
  <c r="R51" i="95"/>
  <c r="R35" i="95"/>
  <c r="R16" i="95"/>
  <c r="R88" i="95"/>
  <c r="R85" i="95"/>
  <c r="R79" i="95"/>
  <c r="R72" i="95"/>
  <c r="R69" i="95"/>
  <c r="R66" i="95"/>
  <c r="R64" i="95"/>
  <c r="R43" i="95"/>
  <c r="R42" i="95"/>
  <c r="R30" i="95"/>
  <c r="R26" i="95"/>
  <c r="R53" i="95"/>
  <c r="R17" i="95"/>
  <c r="R82" i="95"/>
  <c r="R59" i="95"/>
  <c r="R54" i="95"/>
  <c r="R45" i="95"/>
  <c r="R44" i="95"/>
  <c r="R36" i="95"/>
  <c r="R32" i="95"/>
  <c r="R31" i="95"/>
  <c r="R27" i="95"/>
  <c r="R83" i="95"/>
  <c r="R80" i="95"/>
  <c r="R56" i="95"/>
  <c r="R55" i="95"/>
  <c r="R37" i="95"/>
  <c r="R33" i="95"/>
  <c r="R22" i="95"/>
  <c r="R20" i="95"/>
  <c r="N50" i="95"/>
  <c r="Z54" i="95"/>
  <c r="F65" i="97"/>
  <c r="F87" i="97"/>
  <c r="F85" i="97"/>
  <c r="F76" i="97"/>
  <c r="F72" i="97"/>
  <c r="F89" i="97"/>
  <c r="F84" i="97"/>
  <c r="F94" i="97"/>
  <c r="F91" i="97"/>
  <c r="F68" i="97"/>
  <c r="F67" i="97"/>
  <c r="F55" i="97"/>
  <c r="F54" i="97"/>
  <c r="F78" i="97"/>
  <c r="F74" i="97"/>
  <c r="F62" i="97"/>
  <c r="F46" i="97"/>
  <c r="F80" i="97"/>
  <c r="F53" i="97"/>
  <c r="F47" i="97"/>
  <c r="F38" i="97"/>
  <c r="F34" i="97"/>
  <c r="D20" i="97"/>
  <c r="F71" i="97"/>
  <c r="F60" i="97"/>
  <c r="F29" i="97"/>
  <c r="F25" i="97"/>
  <c r="F40" i="97"/>
  <c r="F39" i="97"/>
  <c r="F63" i="97"/>
  <c r="F57" i="97"/>
  <c r="F49" i="97"/>
  <c r="F48" i="97"/>
  <c r="F35" i="97"/>
  <c r="F81" i="97"/>
  <c r="F42" i="97"/>
  <c r="F41" i="97"/>
  <c r="F30" i="97"/>
  <c r="F26" i="97"/>
  <c r="F69" i="97"/>
  <c r="F66" i="97"/>
  <c r="F61" i="97"/>
  <c r="F50" i="97"/>
  <c r="F44" i="97"/>
  <c r="F43" i="97"/>
  <c r="F36" i="97"/>
  <c r="F79" i="97"/>
  <c r="F64" i="97"/>
  <c r="F58" i="97"/>
  <c r="F51" i="97"/>
  <c r="F31" i="97"/>
  <c r="F27" i="97"/>
  <c r="F82" i="97"/>
  <c r="F70" i="97"/>
  <c r="F45" i="97"/>
  <c r="F18" i="97"/>
  <c r="F77" i="97"/>
  <c r="F75" i="97"/>
  <c r="F52" i="97"/>
  <c r="F28" i="97"/>
  <c r="F24" i="97"/>
  <c r="F23" i="97"/>
  <c r="F32" i="97"/>
  <c r="F73" i="97"/>
  <c r="F56" i="97"/>
  <c r="L12" i="97"/>
  <c r="F22" i="97"/>
  <c r="F17" i="97"/>
  <c r="F20" i="97"/>
  <c r="F33" i="97"/>
  <c r="F59" i="97"/>
  <c r="F37" i="97"/>
  <c r="F16" i="97"/>
  <c r="R18" i="94"/>
  <c r="R23" i="94"/>
  <c r="R46" i="94"/>
  <c r="R47" i="94"/>
  <c r="J84" i="97"/>
  <c r="J76" i="97"/>
  <c r="J72" i="97"/>
  <c r="J60" i="97"/>
  <c r="J89" i="97"/>
  <c r="J66" i="97"/>
  <c r="J55" i="97"/>
  <c r="J78" i="97"/>
  <c r="J74" i="97"/>
  <c r="J62" i="97"/>
  <c r="J56" i="97"/>
  <c r="J79" i="97"/>
  <c r="J69" i="97"/>
  <c r="J63" i="97"/>
  <c r="J57" i="97"/>
  <c r="J71" i="97"/>
  <c r="J68" i="97"/>
  <c r="J65" i="97"/>
  <c r="J39" i="97"/>
  <c r="J29" i="97"/>
  <c r="J25" i="97"/>
  <c r="J48" i="97"/>
  <c r="J40" i="97"/>
  <c r="J81" i="97"/>
  <c r="J54" i="97"/>
  <c r="J49" i="97"/>
  <c r="J41" i="97"/>
  <c r="J35" i="97"/>
  <c r="J42" i="97"/>
  <c r="J30" i="97"/>
  <c r="J26" i="97"/>
  <c r="J16" i="97"/>
  <c r="J85" i="97"/>
  <c r="J61" i="97"/>
  <c r="J50" i="97"/>
  <c r="J43" i="97"/>
  <c r="J17" i="97"/>
  <c r="J44" i="97"/>
  <c r="J36" i="97"/>
  <c r="J70" i="97"/>
  <c r="J64" i="97"/>
  <c r="J58" i="97"/>
  <c r="J51" i="97"/>
  <c r="J45" i="97"/>
  <c r="J31" i="97"/>
  <c r="J27" i="97"/>
  <c r="J82" i="97"/>
  <c r="J32" i="97"/>
  <c r="J18" i="97"/>
  <c r="J77" i="97"/>
  <c r="J67" i="97"/>
  <c r="J52" i="97"/>
  <c r="J46" i="97"/>
  <c r="J37" i="97"/>
  <c r="J33" i="97"/>
  <c r="J23" i="97"/>
  <c r="J75" i="97"/>
  <c r="J59" i="97"/>
  <c r="J73" i="97"/>
  <c r="H20" i="97"/>
  <c r="R25" i="97"/>
  <c r="N41" i="97"/>
  <c r="H12" i="98"/>
  <c r="N14" i="98"/>
  <c r="L14" i="98"/>
  <c r="X12" i="94"/>
  <c r="Z12" i="94" s="1"/>
  <c r="R36" i="94"/>
  <c r="R44" i="94"/>
  <c r="R45" i="94"/>
  <c r="R64" i="94"/>
  <c r="R68" i="94"/>
  <c r="L69" i="95"/>
  <c r="N69" i="95" s="1"/>
  <c r="N72" i="95"/>
  <c r="N23" i="97"/>
  <c r="Z41" i="97"/>
  <c r="V53" i="98"/>
  <c r="V51" i="98"/>
  <c r="V49" i="98"/>
  <c r="V41" i="98"/>
  <c r="V33" i="98"/>
  <c r="T20" i="98"/>
  <c r="V40" i="98"/>
  <c r="V28" i="98"/>
  <c r="V24" i="98"/>
  <c r="V43" i="98"/>
  <c r="V42" i="98"/>
  <c r="V34" i="98"/>
  <c r="V60" i="98"/>
  <c r="V57" i="98"/>
  <c r="V55" i="98"/>
  <c r="V45" i="98"/>
  <c r="V44" i="98"/>
  <c r="V16" i="98"/>
  <c r="V35" i="98"/>
  <c r="V46" i="98"/>
  <c r="V30" i="98"/>
  <c r="V26" i="98"/>
  <c r="V37" i="98"/>
  <c r="V32" i="98"/>
  <c r="V47" i="98"/>
  <c r="V38" i="98"/>
  <c r="V36" i="98"/>
  <c r="V17" i="98"/>
  <c r="V48" i="98"/>
  <c r="V39" i="98"/>
  <c r="V20" i="98"/>
  <c r="V22" i="98"/>
  <c r="V31" i="98"/>
  <c r="V18" i="98"/>
  <c r="Z12" i="98"/>
  <c r="V29" i="98"/>
  <c r="V27" i="98"/>
  <c r="V23" i="98"/>
  <c r="X12" i="98"/>
  <c r="R79" i="94"/>
  <c r="T12" i="97"/>
  <c r="J53" i="97"/>
  <c r="R26" i="94"/>
  <c r="R30" i="94"/>
  <c r="R42" i="94"/>
  <c r="R43" i="94"/>
  <c r="R54" i="94"/>
  <c r="X13" i="97"/>
  <c r="Z13" i="97" s="1"/>
  <c r="Z16" i="97"/>
  <c r="Z23" i="97"/>
  <c r="R35" i="97"/>
  <c r="N67" i="97"/>
  <c r="J80" i="97"/>
  <c r="T43" i="99"/>
  <c r="X44" i="99"/>
  <c r="Z44" i="99" s="1"/>
  <c r="R63" i="94"/>
  <c r="R67" i="94"/>
  <c r="J38" i="99"/>
  <c r="J28" i="99"/>
  <c r="J24" i="99"/>
  <c r="J14" i="99"/>
  <c r="J39" i="99"/>
  <c r="J29" i="99"/>
  <c r="J15" i="99"/>
  <c r="J40" i="99"/>
  <c r="J30" i="99"/>
  <c r="J20" i="99"/>
  <c r="J41" i="99"/>
  <c r="J25" i="99"/>
  <c r="J21" i="99"/>
  <c r="J19" i="99"/>
  <c r="J17" i="99"/>
  <c r="J46" i="99"/>
  <c r="J44" i="99"/>
  <c r="H17" i="99"/>
  <c r="J43" i="99"/>
  <c r="J31" i="99"/>
  <c r="J48" i="99"/>
  <c r="J32" i="99"/>
  <c r="J26" i="99"/>
  <c r="J22" i="99"/>
  <c r="J33" i="99"/>
  <c r="J53" i="99"/>
  <c r="J50" i="99"/>
  <c r="J34" i="99"/>
  <c r="N12" i="99"/>
  <c r="J36" i="99"/>
  <c r="J37" i="99"/>
  <c r="J35" i="99"/>
  <c r="J23" i="99"/>
  <c r="L12" i="99"/>
  <c r="X15" i="101"/>
  <c r="Z15" i="101" s="1"/>
  <c r="P12" i="101"/>
  <c r="R40" i="94"/>
  <c r="R41" i="94"/>
  <c r="R52" i="94"/>
  <c r="R53" i="94"/>
  <c r="R75" i="94"/>
  <c r="L39" i="95"/>
  <c r="X45" i="95"/>
  <c r="Z45" i="95" s="1"/>
  <c r="X54" i="95"/>
  <c r="J24" i="97"/>
  <c r="J38" i="97"/>
  <c r="R25" i="94"/>
  <c r="R29" i="94"/>
  <c r="R61" i="94"/>
  <c r="R62" i="94"/>
  <c r="R73" i="94"/>
  <c r="Z58" i="95"/>
  <c r="L83" i="95"/>
  <c r="N91" i="95"/>
  <c r="L91" i="95"/>
  <c r="R29" i="97"/>
  <c r="J47" i="97"/>
  <c r="R34" i="94"/>
  <c r="R38" i="94"/>
  <c r="R39" i="94"/>
  <c r="R50" i="94"/>
  <c r="R51" i="94"/>
  <c r="R66" i="94"/>
  <c r="N22" i="97"/>
  <c r="R59" i="94"/>
  <c r="R60" i="94"/>
  <c r="R71" i="94"/>
  <c r="R72" i="94"/>
  <c r="L54" i="95"/>
  <c r="N54" i="95" s="1"/>
  <c r="X91" i="95"/>
  <c r="P90" i="95"/>
  <c r="X90" i="95" s="1"/>
  <c r="N12" i="97"/>
  <c r="R77" i="97"/>
  <c r="R73" i="97"/>
  <c r="R61" i="97"/>
  <c r="R54" i="97"/>
  <c r="R53" i="97"/>
  <c r="R56" i="97"/>
  <c r="R55" i="97"/>
  <c r="R81" i="97"/>
  <c r="R80" i="97"/>
  <c r="R64" i="97"/>
  <c r="R75" i="97"/>
  <c r="R71" i="97"/>
  <c r="R85" i="97"/>
  <c r="R82" i="97"/>
  <c r="R59" i="97"/>
  <c r="R58" i="97"/>
  <c r="R63" i="97"/>
  <c r="R57" i="97"/>
  <c r="R50" i="97"/>
  <c r="R43" i="97"/>
  <c r="R42" i="97"/>
  <c r="R30" i="97"/>
  <c r="R26" i="97"/>
  <c r="R74" i="97"/>
  <c r="R17" i="97"/>
  <c r="R76" i="97"/>
  <c r="R69" i="97"/>
  <c r="R45" i="97"/>
  <c r="R44" i="97"/>
  <c r="R36" i="97"/>
  <c r="X12" i="97"/>
  <c r="R89" i="97"/>
  <c r="R66" i="97"/>
  <c r="R51" i="97"/>
  <c r="R32" i="97"/>
  <c r="R31" i="97"/>
  <c r="R27" i="97"/>
  <c r="R79" i="97"/>
  <c r="R72" i="97"/>
  <c r="R70" i="97"/>
  <c r="R52" i="97"/>
  <c r="R23" i="97"/>
  <c r="R18" i="97"/>
  <c r="R67" i="97"/>
  <c r="R46" i="97"/>
  <c r="R37" i="97"/>
  <c r="R33" i="97"/>
  <c r="R22" i="97"/>
  <c r="R28" i="97"/>
  <c r="R24" i="97"/>
  <c r="P20" i="97"/>
  <c r="R20" i="97" s="1"/>
  <c r="R62" i="97"/>
  <c r="R39" i="97"/>
  <c r="R38" i="97"/>
  <c r="R34" i="97"/>
  <c r="R84" i="97"/>
  <c r="R68" i="97"/>
  <c r="R65" i="97"/>
  <c r="R48" i="97"/>
  <c r="R47" i="97"/>
  <c r="R60" i="97"/>
  <c r="R41" i="97"/>
  <c r="R40" i="97"/>
  <c r="J22" i="97"/>
  <c r="J34" i="97"/>
  <c r="H12" i="100"/>
  <c r="L13" i="100"/>
  <c r="N13" i="100" s="1"/>
  <c r="P20" i="94"/>
  <c r="R24" i="94"/>
  <c r="R28" i="94"/>
  <c r="R48" i="94"/>
  <c r="H90" i="95"/>
  <c r="Z14" i="97"/>
  <c r="R49" i="97"/>
  <c r="T85" i="101"/>
  <c r="L67" i="97"/>
  <c r="N19" i="99"/>
  <c r="Z24" i="100"/>
  <c r="N13" i="97"/>
  <c r="X14" i="97"/>
  <c r="X16" i="97"/>
  <c r="L22" i="97"/>
  <c r="L79" i="97"/>
  <c r="X37" i="98"/>
  <c r="L43" i="98"/>
  <c r="Z29" i="99"/>
  <c r="R67" i="100"/>
  <c r="R60" i="100"/>
  <c r="R45" i="100"/>
  <c r="R72" i="100"/>
  <c r="R62" i="100"/>
  <c r="R58" i="100"/>
  <c r="R50" i="100"/>
  <c r="R31" i="100"/>
  <c r="R24" i="100"/>
  <c r="R65" i="100"/>
  <c r="R46" i="100"/>
  <c r="R39" i="100"/>
  <c r="R38" i="100"/>
  <c r="R26" i="100"/>
  <c r="P22" i="100"/>
  <c r="R22" i="100" s="1"/>
  <c r="R57" i="100"/>
  <c r="R51" i="100"/>
  <c r="R47" i="100"/>
  <c r="R41" i="100"/>
  <c r="R40" i="100"/>
  <c r="R32" i="100"/>
  <c r="R52" i="100"/>
  <c r="R27" i="100"/>
  <c r="R68" i="100"/>
  <c r="R48" i="100"/>
  <c r="R43" i="100"/>
  <c r="R42" i="100"/>
  <c r="R63" i="100"/>
  <c r="R49" i="100"/>
  <c r="R33" i="100"/>
  <c r="R18" i="100"/>
  <c r="R29" i="100"/>
  <c r="R28" i="100"/>
  <c r="R64" i="100"/>
  <c r="R61" i="100"/>
  <c r="R54" i="100"/>
  <c r="R53" i="100"/>
  <c r="R44" i="100"/>
  <c r="R19" i="100"/>
  <c r="R35" i="100"/>
  <c r="R34" i="100"/>
  <c r="R30" i="100"/>
  <c r="L18" i="100"/>
  <c r="N18" i="100" s="1"/>
  <c r="R20" i="100"/>
  <c r="X24" i="100"/>
  <c r="X37" i="100"/>
  <c r="Z37" i="100" s="1"/>
  <c r="N19" i="101"/>
  <c r="N70" i="97"/>
  <c r="R37" i="98"/>
  <c r="X19" i="99"/>
  <c r="Z19" i="99" s="1"/>
  <c r="X40" i="99"/>
  <c r="Z35" i="100"/>
  <c r="X19" i="101"/>
  <c r="N79" i="97"/>
  <c r="Z48" i="98"/>
  <c r="X48" i="98"/>
  <c r="Z19" i="101"/>
  <c r="N25" i="100"/>
  <c r="N49" i="100"/>
  <c r="L49" i="100"/>
  <c r="R39" i="98"/>
  <c r="R38" i="98"/>
  <c r="R23" i="98"/>
  <c r="R18" i="98"/>
  <c r="R49" i="98"/>
  <c r="R33" i="98"/>
  <c r="R22" i="98"/>
  <c r="R51" i="98"/>
  <c r="R41" i="98"/>
  <c r="R40" i="98"/>
  <c r="R28" i="98"/>
  <c r="R24" i="98"/>
  <c r="P20" i="98"/>
  <c r="R20" i="98" s="1"/>
  <c r="R43" i="98"/>
  <c r="R42" i="98"/>
  <c r="R34" i="98"/>
  <c r="R55" i="98"/>
  <c r="R29" i="98"/>
  <c r="R25" i="98"/>
  <c r="R45" i="98"/>
  <c r="R44" i="98"/>
  <c r="R35" i="98"/>
  <c r="R16" i="98"/>
  <c r="R46" i="98"/>
  <c r="R30" i="98"/>
  <c r="R26" i="98"/>
  <c r="X39" i="98"/>
  <c r="L45" i="98"/>
  <c r="R36" i="100"/>
  <c r="Z52" i="97"/>
  <c r="N54" i="97"/>
  <c r="Z70" i="97"/>
  <c r="X70" i="97"/>
  <c r="R36" i="98"/>
  <c r="R47" i="98"/>
  <c r="R25" i="100"/>
  <c r="N52" i="100"/>
  <c r="D12" i="101"/>
  <c r="L17" i="101"/>
  <c r="Z25" i="101"/>
  <c r="N63" i="97"/>
  <c r="X67" i="97"/>
  <c r="Z67" i="97" s="1"/>
  <c r="R32" i="98"/>
  <c r="F72" i="100"/>
  <c r="F67" i="100"/>
  <c r="F46" i="100"/>
  <c r="F45" i="100"/>
  <c r="F70" i="100"/>
  <c r="F44" i="100"/>
  <c r="F19" i="100"/>
  <c r="F18" i="100"/>
  <c r="F64" i="100"/>
  <c r="F50" i="100"/>
  <c r="F34" i="100"/>
  <c r="F30" i="100"/>
  <c r="F29" i="100"/>
  <c r="F59" i="100"/>
  <c r="F55" i="100"/>
  <c r="F54" i="100"/>
  <c r="F65" i="100"/>
  <c r="F36" i="100"/>
  <c r="F35" i="100"/>
  <c r="F20" i="100"/>
  <c r="F31" i="100"/>
  <c r="F62" i="100"/>
  <c r="F57" i="100"/>
  <c r="F56" i="100"/>
  <c r="F51" i="100"/>
  <c r="F38" i="100"/>
  <c r="F37" i="100"/>
  <c r="F26" i="100"/>
  <c r="F25" i="100"/>
  <c r="F24" i="100"/>
  <c r="F22" i="100"/>
  <c r="F60" i="100"/>
  <c r="F47" i="100"/>
  <c r="F40" i="100"/>
  <c r="F39" i="100"/>
  <c r="F32" i="100"/>
  <c r="D22" i="100"/>
  <c r="L12" i="100"/>
  <c r="F74" i="100"/>
  <c r="F27" i="100"/>
  <c r="F63" i="100"/>
  <c r="F52" i="100"/>
  <c r="F48" i="100"/>
  <c r="F42" i="100"/>
  <c r="F41" i="100"/>
  <c r="T12" i="100"/>
  <c r="Z14" i="100"/>
  <c r="X25" i="100"/>
  <c r="Z25" i="100" s="1"/>
  <c r="F28" i="100"/>
  <c r="F43" i="100"/>
  <c r="L67" i="100"/>
  <c r="J83" i="101"/>
  <c r="J82" i="101"/>
  <c r="J73" i="101"/>
  <c r="J69" i="101"/>
  <c r="J63" i="101"/>
  <c r="J55" i="101"/>
  <c r="J43" i="101"/>
  <c r="J33" i="101"/>
  <c r="J29" i="101"/>
  <c r="J19" i="101"/>
  <c r="J64" i="101"/>
  <c r="J57" i="101"/>
  <c r="J45" i="101"/>
  <c r="J39" i="101"/>
  <c r="J74" i="101"/>
  <c r="J70" i="101"/>
  <c r="J58" i="101"/>
  <c r="J87" i="101"/>
  <c r="J75" i="101"/>
  <c r="J65" i="101"/>
  <c r="J76" i="101"/>
  <c r="J77" i="101"/>
  <c r="J71" i="101"/>
  <c r="J59" i="101"/>
  <c r="J49" i="101"/>
  <c r="J35" i="101"/>
  <c r="J31" i="101"/>
  <c r="J27" i="101"/>
  <c r="J25" i="101"/>
  <c r="J23" i="101"/>
  <c r="J78" i="101"/>
  <c r="J66" i="101"/>
  <c r="J50" i="101"/>
  <c r="J36" i="101"/>
  <c r="J79" i="101"/>
  <c r="J67" i="101"/>
  <c r="J51" i="101"/>
  <c r="J41" i="101"/>
  <c r="J37" i="101"/>
  <c r="J80" i="101"/>
  <c r="J72" i="101"/>
  <c r="J68" i="101"/>
  <c r="J60" i="101"/>
  <c r="J52" i="101"/>
  <c r="J46" i="101"/>
  <c r="J34" i="101"/>
  <c r="J56" i="101"/>
  <c r="J32" i="101"/>
  <c r="H23" i="101"/>
  <c r="J54" i="101"/>
  <c r="J47" i="101"/>
  <c r="J30" i="101"/>
  <c r="J62" i="101"/>
  <c r="J44" i="101"/>
  <c r="J28" i="101"/>
  <c r="J20" i="101"/>
  <c r="J42" i="101"/>
  <c r="J61" i="101"/>
  <c r="J53" i="101"/>
  <c r="J48" i="101"/>
  <c r="J40" i="101"/>
  <c r="J38" i="101"/>
  <c r="J26" i="101"/>
  <c r="J21" i="101"/>
  <c r="Z32" i="98"/>
  <c r="X32" i="98"/>
  <c r="N43" i="100"/>
  <c r="L43" i="100"/>
  <c r="Z52" i="100"/>
  <c r="R56" i="100"/>
  <c r="F61" i="100"/>
  <c r="X81" i="97"/>
  <c r="Z81" i="97" s="1"/>
  <c r="F60" i="98"/>
  <c r="F57" i="98"/>
  <c r="F46" i="98"/>
  <c r="F45" i="98"/>
  <c r="F30" i="98"/>
  <c r="F26" i="98"/>
  <c r="F17" i="98"/>
  <c r="F16" i="98"/>
  <c r="F36" i="98"/>
  <c r="F47" i="98"/>
  <c r="F31" i="98"/>
  <c r="F27" i="98"/>
  <c r="F38" i="98"/>
  <c r="F37" i="98"/>
  <c r="F49" i="98"/>
  <c r="F48" i="98"/>
  <c r="F33" i="98"/>
  <c r="F32" i="98"/>
  <c r="F40" i="98"/>
  <c r="F39" i="98"/>
  <c r="F28" i="98"/>
  <c r="F24" i="98"/>
  <c r="F23" i="98"/>
  <c r="F22" i="98"/>
  <c r="F20" i="98"/>
  <c r="F53" i="98"/>
  <c r="F51" i="98"/>
  <c r="F42" i="98"/>
  <c r="F41" i="98"/>
  <c r="F34" i="98"/>
  <c r="D20" i="98"/>
  <c r="F18" i="98"/>
  <c r="F35" i="98"/>
  <c r="F37" i="99"/>
  <c r="F36" i="99"/>
  <c r="F28" i="99"/>
  <c r="F24" i="99"/>
  <c r="F39" i="99"/>
  <c r="F38" i="99"/>
  <c r="F15" i="99"/>
  <c r="F14" i="99"/>
  <c r="F30" i="99"/>
  <c r="F29" i="99"/>
  <c r="F41" i="99"/>
  <c r="F40" i="99"/>
  <c r="F25" i="99"/>
  <c r="F21" i="99"/>
  <c r="F20" i="99"/>
  <c r="F19" i="99"/>
  <c r="F17" i="99"/>
  <c r="F46" i="99"/>
  <c r="F44" i="99"/>
  <c r="F31" i="99"/>
  <c r="D17" i="99"/>
  <c r="F48" i="99"/>
  <c r="F43" i="99"/>
  <c r="F26" i="99"/>
  <c r="F22" i="99"/>
  <c r="F33" i="99"/>
  <c r="F32" i="99"/>
  <c r="Z20" i="99"/>
  <c r="F27" i="99"/>
  <c r="L36" i="99"/>
  <c r="N36" i="99" s="1"/>
  <c r="Z16" i="100"/>
  <c r="N53" i="101"/>
  <c r="N61" i="101"/>
  <c r="J53" i="102"/>
  <c r="J31" i="102"/>
  <c r="H16" i="102"/>
  <c r="J58" i="102"/>
  <c r="J55" i="102"/>
  <c r="J41" i="102"/>
  <c r="J33" i="102"/>
  <c r="J25" i="102"/>
  <c r="J21" i="102"/>
  <c r="J43" i="102"/>
  <c r="J35" i="102"/>
  <c r="J44" i="102"/>
  <c r="J36" i="102"/>
  <c r="J26" i="102"/>
  <c r="J22" i="102"/>
  <c r="J46" i="102"/>
  <c r="J38" i="102"/>
  <c r="J47" i="102"/>
  <c r="J39" i="102"/>
  <c r="J27" i="102"/>
  <c r="J23" i="102"/>
  <c r="J40" i="102"/>
  <c r="J51" i="102"/>
  <c r="J14" i="102"/>
  <c r="J45" i="102"/>
  <c r="J32" i="102"/>
  <c r="J28" i="102"/>
  <c r="J16" i="102"/>
  <c r="J18" i="102"/>
  <c r="J19" i="102"/>
  <c r="J24" i="102"/>
  <c r="J49" i="102"/>
  <c r="J29" i="102"/>
  <c r="J20" i="102"/>
  <c r="J30" i="102"/>
  <c r="N12" i="102"/>
  <c r="V82" i="101"/>
  <c r="V80" i="101"/>
  <c r="V77" i="101"/>
  <c r="V65" i="101"/>
  <c r="V49" i="101"/>
  <c r="V25" i="101"/>
  <c r="V23" i="101"/>
  <c r="V21" i="101"/>
  <c r="V87" i="101"/>
  <c r="V76" i="101"/>
  <c r="V79" i="101"/>
  <c r="V71" i="101"/>
  <c r="V67" i="101"/>
  <c r="V59" i="101"/>
  <c r="V51" i="101"/>
  <c r="V35" i="101"/>
  <c r="V31" i="101"/>
  <c r="V27" i="101"/>
  <c r="V78" i="101"/>
  <c r="V66" i="101"/>
  <c r="V50" i="101"/>
  <c r="V61" i="101"/>
  <c r="V72" i="101"/>
  <c r="V68" i="101"/>
  <c r="V60" i="101"/>
  <c r="V83" i="101"/>
  <c r="V63" i="101"/>
  <c r="V55" i="101"/>
  <c r="V43" i="101"/>
  <c r="V19" i="101"/>
  <c r="V62" i="101"/>
  <c r="V54" i="101"/>
  <c r="V42" i="101"/>
  <c r="V38" i="101"/>
  <c r="V85" i="101"/>
  <c r="V73" i="101"/>
  <c r="V69" i="101"/>
  <c r="V57" i="101"/>
  <c r="V45" i="101"/>
  <c r="V33" i="101"/>
  <c r="V29" i="101"/>
  <c r="V64" i="101"/>
  <c r="V56" i="101"/>
  <c r="X49" i="101"/>
  <c r="L55" i="101"/>
  <c r="N55" i="101" s="1"/>
  <c r="L12" i="102"/>
  <c r="J37" i="102"/>
  <c r="H67" i="100"/>
  <c r="N45" i="101"/>
  <c r="N57" i="101"/>
  <c r="N75" i="101"/>
  <c r="T51" i="102"/>
  <c r="Z16" i="102"/>
  <c r="J49" i="104"/>
  <c r="J43" i="104"/>
  <c r="J31" i="104"/>
  <c r="J50" i="104"/>
  <c r="J44" i="104"/>
  <c r="J32" i="104"/>
  <c r="J26" i="104"/>
  <c r="J45" i="104"/>
  <c r="J33" i="104"/>
  <c r="J56" i="104"/>
  <c r="J46" i="104"/>
  <c r="J36" i="104"/>
  <c r="J28" i="104"/>
  <c r="J38" i="104"/>
  <c r="J47" i="104"/>
  <c r="J27" i="104"/>
  <c r="J48" i="104"/>
  <c r="J41" i="104"/>
  <c r="J25" i="104"/>
  <c r="J30" i="104"/>
  <c r="J19" i="104"/>
  <c r="J42" i="104"/>
  <c r="J39" i="104"/>
  <c r="J52" i="104"/>
  <c r="J34" i="104"/>
  <c r="J21" i="104"/>
  <c r="J40" i="104"/>
  <c r="H21" i="104"/>
  <c r="J17" i="104"/>
  <c r="J37" i="104"/>
  <c r="J24" i="104"/>
  <c r="J23" i="104"/>
  <c r="J29" i="104"/>
  <c r="J18" i="104"/>
  <c r="J35" i="104"/>
  <c r="V29" i="99"/>
  <c r="V37" i="99"/>
  <c r="N68" i="100"/>
  <c r="V48" i="101"/>
  <c r="Z51" i="101"/>
  <c r="X53" i="101"/>
  <c r="Z53" i="101" s="1"/>
  <c r="X75" i="101"/>
  <c r="Z32" i="102"/>
  <c r="J34" i="102"/>
  <c r="V14" i="99"/>
  <c r="R23" i="99"/>
  <c r="R27" i="99"/>
  <c r="R35" i="99"/>
  <c r="R36" i="99"/>
  <c r="V38" i="99"/>
  <c r="H43" i="99"/>
  <c r="X13" i="100"/>
  <c r="Z13" i="100" s="1"/>
  <c r="V36" i="101"/>
  <c r="V40" i="101"/>
  <c r="X45" i="101"/>
  <c r="V53" i="101"/>
  <c r="V70" i="101"/>
  <c r="Z75" i="101"/>
  <c r="V23" i="99"/>
  <c r="V27" i="99"/>
  <c r="V35" i="99"/>
  <c r="Z49" i="100"/>
  <c r="X52" i="100"/>
  <c r="L16" i="101"/>
  <c r="N47" i="101"/>
  <c r="V75" i="101"/>
  <c r="Z45" i="101"/>
  <c r="X16" i="100"/>
  <c r="V26" i="101"/>
  <c r="V28" i="101"/>
  <c r="L47" i="101"/>
  <c r="V80" i="103"/>
  <c r="V72" i="103"/>
  <c r="V68" i="103"/>
  <c r="V56" i="103"/>
  <c r="V44" i="103"/>
  <c r="V32" i="103"/>
  <c r="V28" i="103"/>
  <c r="V63" i="103"/>
  <c r="V55" i="103"/>
  <c r="V43" i="103"/>
  <c r="V19" i="103"/>
  <c r="V58" i="103"/>
  <c r="V46" i="103"/>
  <c r="V38" i="103"/>
  <c r="V83" i="103"/>
  <c r="V81" i="103"/>
  <c r="V73" i="103"/>
  <c r="V69" i="103"/>
  <c r="V57" i="103"/>
  <c r="V64" i="103"/>
  <c r="V48" i="103"/>
  <c r="V24" i="103"/>
  <c r="V22" i="103"/>
  <c r="V20" i="103"/>
  <c r="V75" i="103"/>
  <c r="V59" i="103"/>
  <c r="V47" i="103"/>
  <c r="V39" i="103"/>
  <c r="V35" i="103"/>
  <c r="T22" i="103"/>
  <c r="V74" i="103"/>
  <c r="V70" i="103"/>
  <c r="V66" i="103"/>
  <c r="V50" i="103"/>
  <c r="V34" i="103"/>
  <c r="V30" i="103"/>
  <c r="V26" i="103"/>
  <c r="V77" i="103"/>
  <c r="V65" i="103"/>
  <c r="V49" i="103"/>
  <c r="V87" i="103"/>
  <c r="V76" i="103"/>
  <c r="V60" i="103"/>
  <c r="V52" i="103"/>
  <c r="V40" i="103"/>
  <c r="V36" i="103"/>
  <c r="V79" i="103"/>
  <c r="V71" i="103"/>
  <c r="V67" i="103"/>
  <c r="V51" i="103"/>
  <c r="V31" i="103"/>
  <c r="V27" i="103"/>
  <c r="V54" i="103"/>
  <c r="V42" i="103"/>
  <c r="V78" i="103"/>
  <c r="V62" i="103"/>
  <c r="V29" i="103"/>
  <c r="V37" i="103"/>
  <c r="V41" i="103"/>
  <c r="V33" i="103"/>
  <c r="V53" i="103"/>
  <c r="V45" i="103"/>
  <c r="V22" i="99"/>
  <c r="V26" i="99"/>
  <c r="R31" i="99"/>
  <c r="R32" i="99"/>
  <c r="V34" i="99"/>
  <c r="V48" i="99"/>
  <c r="V50" i="99"/>
  <c r="V53" i="99"/>
  <c r="L25" i="100"/>
  <c r="X43" i="100"/>
  <c r="Z43" i="100" s="1"/>
  <c r="X67" i="100"/>
  <c r="Z67" i="100" s="1"/>
  <c r="X68" i="100"/>
  <c r="Z68" i="100" s="1"/>
  <c r="X16" i="101"/>
  <c r="Z16" i="101" s="1"/>
  <c r="V20" i="101"/>
  <c r="V52" i="101"/>
  <c r="Z18" i="102"/>
  <c r="X13" i="98"/>
  <c r="L37" i="98"/>
  <c r="X43" i="98"/>
  <c r="L20" i="99"/>
  <c r="N20" i="99" s="1"/>
  <c r="X34" i="99"/>
  <c r="Z34" i="99" s="1"/>
  <c r="L40" i="99"/>
  <c r="V30" i="101"/>
  <c r="V44" i="101"/>
  <c r="Z47" i="101"/>
  <c r="P17" i="99"/>
  <c r="R21" i="99"/>
  <c r="R25" i="99"/>
  <c r="R41" i="99"/>
  <c r="R44" i="99"/>
  <c r="N15" i="101"/>
  <c r="V32" i="101"/>
  <c r="V37" i="101"/>
  <c r="V39" i="101"/>
  <c r="V47" i="101"/>
  <c r="V58" i="101"/>
  <c r="V74" i="101"/>
  <c r="J42" i="102"/>
  <c r="L24" i="103"/>
  <c r="N24" i="103" s="1"/>
  <c r="T12" i="107"/>
  <c r="R44" i="102"/>
  <c r="R43" i="102"/>
  <c r="R26" i="102"/>
  <c r="R22" i="102"/>
  <c r="R47" i="102"/>
  <c r="R39" i="102"/>
  <c r="R28" i="102"/>
  <c r="R27" i="102"/>
  <c r="R23" i="102"/>
  <c r="R51" i="102"/>
  <c r="R49" i="102"/>
  <c r="R40" i="102"/>
  <c r="R24" i="102"/>
  <c r="R37" i="102"/>
  <c r="R42" i="102"/>
  <c r="F46" i="102"/>
  <c r="R53" i="102"/>
  <c r="F87" i="103"/>
  <c r="F65" i="103"/>
  <c r="F49" i="103"/>
  <c r="F48" i="103"/>
  <c r="F24" i="103"/>
  <c r="F22" i="103"/>
  <c r="F76" i="103"/>
  <c r="F75" i="103"/>
  <c r="F60" i="103"/>
  <c r="F40" i="103"/>
  <c r="F36" i="103"/>
  <c r="F35" i="103"/>
  <c r="D22" i="103"/>
  <c r="L12" i="103"/>
  <c r="F71" i="103"/>
  <c r="F67" i="103"/>
  <c r="F66" i="103"/>
  <c r="F51" i="103"/>
  <c r="F50" i="103"/>
  <c r="F31" i="103"/>
  <c r="F27" i="103"/>
  <c r="F78" i="103"/>
  <c r="F77" i="103"/>
  <c r="F61" i="103"/>
  <c r="F53" i="103"/>
  <c r="F52" i="103"/>
  <c r="F41" i="103"/>
  <c r="F37" i="103"/>
  <c r="F80" i="103"/>
  <c r="F79" i="103"/>
  <c r="F72" i="103"/>
  <c r="F68" i="103"/>
  <c r="F32" i="103"/>
  <c r="F28" i="103"/>
  <c r="F63" i="103"/>
  <c r="F62" i="103"/>
  <c r="F55" i="103"/>
  <c r="F54" i="103"/>
  <c r="F43" i="103"/>
  <c r="F42" i="103"/>
  <c r="F19" i="103"/>
  <c r="F18" i="103"/>
  <c r="F38" i="103"/>
  <c r="F81" i="103"/>
  <c r="F73" i="103"/>
  <c r="F69" i="103"/>
  <c r="F57" i="103"/>
  <c r="F56" i="103"/>
  <c r="F45" i="103"/>
  <c r="F44" i="103"/>
  <c r="F33" i="103"/>
  <c r="F29" i="103"/>
  <c r="F64" i="103"/>
  <c r="F20" i="103"/>
  <c r="J76" i="103"/>
  <c r="J66" i="103"/>
  <c r="J60" i="103"/>
  <c r="J50" i="103"/>
  <c r="J40" i="103"/>
  <c r="J36" i="103"/>
  <c r="N12" i="103"/>
  <c r="J77" i="103"/>
  <c r="J71" i="103"/>
  <c r="J67" i="103"/>
  <c r="J51" i="103"/>
  <c r="J31" i="103"/>
  <c r="J27" i="103"/>
  <c r="J78" i="103"/>
  <c r="J52" i="103"/>
  <c r="J79" i="103"/>
  <c r="J61" i="103"/>
  <c r="J53" i="103"/>
  <c r="J80" i="103"/>
  <c r="J72" i="103"/>
  <c r="J68" i="103"/>
  <c r="J62" i="103"/>
  <c r="J54" i="103"/>
  <c r="J42" i="103"/>
  <c r="J32" i="103"/>
  <c r="J28" i="103"/>
  <c r="J18" i="103"/>
  <c r="J63" i="103"/>
  <c r="J55" i="103"/>
  <c r="J43" i="103"/>
  <c r="J19" i="103"/>
  <c r="J56" i="103"/>
  <c r="J44" i="103"/>
  <c r="J38" i="103"/>
  <c r="J81" i="103"/>
  <c r="J73" i="103"/>
  <c r="J69" i="103"/>
  <c r="J57" i="103"/>
  <c r="J45" i="103"/>
  <c r="J33" i="103"/>
  <c r="J29" i="103"/>
  <c r="J64" i="103"/>
  <c r="J58" i="103"/>
  <c r="J46" i="103"/>
  <c r="J20" i="103"/>
  <c r="J83" i="103"/>
  <c r="J59" i="103"/>
  <c r="J47" i="103"/>
  <c r="J39" i="103"/>
  <c r="J25" i="103"/>
  <c r="J24" i="103"/>
  <c r="F26" i="103"/>
  <c r="J35" i="103"/>
  <c r="J75" i="103"/>
  <c r="R34" i="102"/>
  <c r="Z42" i="102"/>
  <c r="X42" i="102"/>
  <c r="N46" i="102"/>
  <c r="R87" i="103"/>
  <c r="R62" i="103"/>
  <c r="R61" i="103"/>
  <c r="R54" i="103"/>
  <c r="R53" i="103"/>
  <c r="R42" i="103"/>
  <c r="R41" i="103"/>
  <c r="R37" i="103"/>
  <c r="R18" i="103"/>
  <c r="R80" i="103"/>
  <c r="R72" i="103"/>
  <c r="R68" i="103"/>
  <c r="R32" i="103"/>
  <c r="R28" i="103"/>
  <c r="R63" i="103"/>
  <c r="R56" i="103"/>
  <c r="R55" i="103"/>
  <c r="R44" i="103"/>
  <c r="R43" i="103"/>
  <c r="R19" i="103"/>
  <c r="R81" i="103"/>
  <c r="R73" i="103"/>
  <c r="R69" i="103"/>
  <c r="R58" i="103"/>
  <c r="R57" i="103"/>
  <c r="R46" i="103"/>
  <c r="R45" i="103"/>
  <c r="R33" i="103"/>
  <c r="R29" i="103"/>
  <c r="R83" i="103"/>
  <c r="R64" i="103"/>
  <c r="R25" i="103"/>
  <c r="R20" i="103"/>
  <c r="R59" i="103"/>
  <c r="R48" i="103"/>
  <c r="R47" i="103"/>
  <c r="R39" i="103"/>
  <c r="R24" i="103"/>
  <c r="R22" i="103"/>
  <c r="R75" i="103"/>
  <c r="R74" i="103"/>
  <c r="R70" i="103"/>
  <c r="R35" i="103"/>
  <c r="R34" i="103"/>
  <c r="R30" i="103"/>
  <c r="R26" i="103"/>
  <c r="P22" i="103"/>
  <c r="R66" i="103"/>
  <c r="R65" i="103"/>
  <c r="R50" i="103"/>
  <c r="R49" i="103"/>
  <c r="R77" i="103"/>
  <c r="R76" i="103"/>
  <c r="R60" i="103"/>
  <c r="R40" i="103"/>
  <c r="R36" i="103"/>
  <c r="X12" i="103"/>
  <c r="Z12" i="103" s="1"/>
  <c r="R71" i="103"/>
  <c r="R79" i="103"/>
  <c r="X12" i="102"/>
  <c r="X30" i="102"/>
  <c r="Z30" i="102" s="1"/>
  <c r="Z34" i="102"/>
  <c r="X34" i="102"/>
  <c r="F39" i="102"/>
  <c r="L49" i="102"/>
  <c r="Z14" i="103"/>
  <c r="X16" i="103"/>
  <c r="Z16" i="103" s="1"/>
  <c r="Z24" i="103"/>
  <c r="Z77" i="103"/>
  <c r="Z79" i="103"/>
  <c r="X79" i="103"/>
  <c r="F83" i="103"/>
  <c r="D16" i="102"/>
  <c r="R46" i="102"/>
  <c r="F58" i="103"/>
  <c r="F74" i="103"/>
  <c r="N83" i="103"/>
  <c r="L83" i="103"/>
  <c r="P21" i="105"/>
  <c r="X17" i="105"/>
  <c r="Z17" i="105" s="1"/>
  <c r="L43" i="107"/>
  <c r="N43" i="107"/>
  <c r="N48" i="103"/>
  <c r="L48" i="103"/>
  <c r="Z62" i="103"/>
  <c r="X62" i="103"/>
  <c r="X61" i="101"/>
  <c r="Z61" i="101" s="1"/>
  <c r="L75" i="101"/>
  <c r="R55" i="102"/>
  <c r="J34" i="103"/>
  <c r="N46" i="103"/>
  <c r="J48" i="103"/>
  <c r="R67" i="103"/>
  <c r="F70" i="103"/>
  <c r="R78" i="103"/>
  <c r="V35" i="104"/>
  <c r="V27" i="104"/>
  <c r="V56" i="104"/>
  <c r="V46" i="104"/>
  <c r="V38" i="104"/>
  <c r="V37" i="104"/>
  <c r="V29" i="104"/>
  <c r="V42" i="104"/>
  <c r="V30" i="104"/>
  <c r="V49" i="104"/>
  <c r="V41" i="104"/>
  <c r="V48" i="104"/>
  <c r="V44" i="104"/>
  <c r="V32" i="104"/>
  <c r="V43" i="104"/>
  <c r="V36" i="104"/>
  <c r="V33" i="104"/>
  <c r="V28" i="104"/>
  <c r="T21" i="104"/>
  <c r="V52" i="104"/>
  <c r="V39" i="104"/>
  <c r="V34" i="104"/>
  <c r="V23" i="104"/>
  <c r="V45" i="104"/>
  <c r="V26" i="104"/>
  <c r="V17" i="104"/>
  <c r="V47" i="104"/>
  <c r="V40" i="104"/>
  <c r="V24" i="104"/>
  <c r="V31" i="104"/>
  <c r="V18" i="104"/>
  <c r="N28" i="102"/>
  <c r="N38" i="102"/>
  <c r="N15" i="103"/>
  <c r="F25" i="103"/>
  <c r="R52" i="103"/>
  <c r="J70" i="103"/>
  <c r="N43" i="105"/>
  <c r="L25" i="103"/>
  <c r="N25" i="103" s="1"/>
  <c r="Z42" i="103"/>
  <c r="X42" i="103"/>
  <c r="X46" i="103"/>
  <c r="Z46" i="103" s="1"/>
  <c r="X54" i="103"/>
  <c r="Z54" i="103" s="1"/>
  <c r="N23" i="104"/>
  <c r="F51" i="102"/>
  <c r="F49" i="102"/>
  <c r="F40" i="102"/>
  <c r="F24" i="102"/>
  <c r="F20" i="102"/>
  <c r="F19" i="102"/>
  <c r="F53" i="102"/>
  <c r="F58" i="102"/>
  <c r="F55" i="102"/>
  <c r="F43" i="102"/>
  <c r="F42" i="102"/>
  <c r="F35" i="102"/>
  <c r="F34" i="102"/>
  <c r="F45" i="102"/>
  <c r="F44" i="102"/>
  <c r="F37" i="102"/>
  <c r="F36" i="102"/>
  <c r="P16" i="102"/>
  <c r="R18" i="102"/>
  <c r="Z19" i="102"/>
  <c r="F23" i="102"/>
  <c r="F25" i="102"/>
  <c r="R32" i="102"/>
  <c r="L44" i="102"/>
  <c r="N44" i="102" s="1"/>
  <c r="R45" i="102"/>
  <c r="Z18" i="103"/>
  <c r="X18" i="103"/>
  <c r="J22" i="103"/>
  <c r="R27" i="103"/>
  <c r="F30" i="103"/>
  <c r="F59" i="103"/>
  <c r="H85" i="103"/>
  <c r="D12" i="104"/>
  <c r="L13" i="104"/>
  <c r="V25" i="104"/>
  <c r="N28" i="104"/>
  <c r="Z44" i="104"/>
  <c r="V31" i="102"/>
  <c r="V53" i="102"/>
  <c r="V55" i="102"/>
  <c r="V58" i="102"/>
  <c r="N17" i="104"/>
  <c r="N40" i="104"/>
  <c r="L40" i="104"/>
  <c r="V87" i="105"/>
  <c r="V77" i="105"/>
  <c r="V61" i="105"/>
  <c r="V53" i="105"/>
  <c r="V41" i="105"/>
  <c r="V17" i="105"/>
  <c r="V80" i="105"/>
  <c r="V72" i="105"/>
  <c r="V68" i="105"/>
  <c r="V52" i="105"/>
  <c r="V40" i="105"/>
  <c r="V36" i="105"/>
  <c r="V79" i="105"/>
  <c r="V63" i="105"/>
  <c r="V55" i="105"/>
  <c r="V43" i="105"/>
  <c r="V31" i="105"/>
  <c r="V27" i="105"/>
  <c r="V62" i="105"/>
  <c r="V54" i="105"/>
  <c r="V42" i="105"/>
  <c r="V81" i="105"/>
  <c r="V73" i="105"/>
  <c r="V69" i="105"/>
  <c r="V57" i="105"/>
  <c r="V45" i="105"/>
  <c r="V37" i="105"/>
  <c r="V83" i="105"/>
  <c r="V64" i="105"/>
  <c r="V56" i="105"/>
  <c r="V44" i="105"/>
  <c r="V32" i="105"/>
  <c r="V28" i="105"/>
  <c r="V24" i="105"/>
  <c r="V59" i="105"/>
  <c r="V47" i="105"/>
  <c r="V23" i="105"/>
  <c r="V21" i="105"/>
  <c r="V19" i="105"/>
  <c r="V74" i="105"/>
  <c r="V70" i="105"/>
  <c r="V58" i="105"/>
  <c r="V46" i="105"/>
  <c r="V38" i="105"/>
  <c r="V34" i="105"/>
  <c r="T21" i="105"/>
  <c r="V65" i="105"/>
  <c r="V49" i="105"/>
  <c r="V33" i="105"/>
  <c r="V29" i="105"/>
  <c r="V25" i="105"/>
  <c r="V75" i="105"/>
  <c r="V71" i="105"/>
  <c r="V67" i="105"/>
  <c r="V51" i="105"/>
  <c r="V39" i="105"/>
  <c r="V35" i="105"/>
  <c r="Z14" i="105"/>
  <c r="V26" i="105"/>
  <c r="Z43" i="105"/>
  <c r="L57" i="105"/>
  <c r="N57" i="105" s="1"/>
  <c r="V78" i="105"/>
  <c r="N13" i="104"/>
  <c r="Z14" i="104"/>
  <c r="L23" i="104"/>
  <c r="L24" i="104"/>
  <c r="N24" i="104" s="1"/>
  <c r="Z32" i="104"/>
  <c r="N34" i="104"/>
  <c r="V76" i="105"/>
  <c r="P12" i="104"/>
  <c r="F87" i="105"/>
  <c r="F83" i="105"/>
  <c r="F74" i="105"/>
  <c r="F70" i="105"/>
  <c r="F58" i="105"/>
  <c r="F57" i="105"/>
  <c r="F46" i="105"/>
  <c r="F45" i="105"/>
  <c r="F38" i="105"/>
  <c r="F85" i="105"/>
  <c r="F65" i="105"/>
  <c r="F33" i="105"/>
  <c r="F29" i="105"/>
  <c r="F25" i="105"/>
  <c r="F24" i="105"/>
  <c r="F60" i="105"/>
  <c r="F59" i="105"/>
  <c r="F48" i="105"/>
  <c r="F47" i="105"/>
  <c r="F23" i="105"/>
  <c r="F21" i="105"/>
  <c r="F75" i="105"/>
  <c r="F71" i="105"/>
  <c r="F39" i="105"/>
  <c r="F35" i="105"/>
  <c r="F34" i="105"/>
  <c r="F66" i="105"/>
  <c r="F50" i="105"/>
  <c r="F49" i="105"/>
  <c r="F30" i="105"/>
  <c r="F26" i="105"/>
  <c r="F77" i="105"/>
  <c r="F76" i="105"/>
  <c r="F61" i="105"/>
  <c r="F72" i="105"/>
  <c r="F68" i="105"/>
  <c r="F67" i="105"/>
  <c r="F52" i="105"/>
  <c r="F51" i="105"/>
  <c r="F40" i="105"/>
  <c r="F36" i="105"/>
  <c r="L12" i="105"/>
  <c r="N12" i="105" s="1"/>
  <c r="F79" i="105"/>
  <c r="F78" i="105"/>
  <c r="F31" i="105"/>
  <c r="F27" i="105"/>
  <c r="F89" i="105"/>
  <c r="F62" i="105"/>
  <c r="F54" i="105"/>
  <c r="F53" i="105"/>
  <c r="F42" i="105"/>
  <c r="F41" i="105"/>
  <c r="F18" i="105"/>
  <c r="F17" i="105"/>
  <c r="F64" i="105"/>
  <c r="F63" i="105"/>
  <c r="F56" i="105"/>
  <c r="F55" i="105"/>
  <c r="F44" i="105"/>
  <c r="F43" i="105"/>
  <c r="F32" i="105"/>
  <c r="F28" i="105"/>
  <c r="V48" i="105"/>
  <c r="N55" i="105"/>
  <c r="V14" i="102"/>
  <c r="V16" i="102"/>
  <c r="V18" i="102"/>
  <c r="V30" i="102"/>
  <c r="Z24" i="104"/>
  <c r="Z40" i="104"/>
  <c r="J65" i="105"/>
  <c r="J59" i="105"/>
  <c r="J47" i="105"/>
  <c r="J33" i="105"/>
  <c r="J29" i="105"/>
  <c r="J25" i="105"/>
  <c r="J23" i="105"/>
  <c r="J60" i="105"/>
  <c r="J48" i="105"/>
  <c r="J34" i="105"/>
  <c r="H21" i="105"/>
  <c r="L21" i="105" s="1"/>
  <c r="J75" i="105"/>
  <c r="J71" i="105"/>
  <c r="J49" i="105"/>
  <c r="J39" i="105"/>
  <c r="J35" i="105"/>
  <c r="J87" i="105"/>
  <c r="J76" i="105"/>
  <c r="J66" i="105"/>
  <c r="J50" i="105"/>
  <c r="J30" i="105"/>
  <c r="J26" i="105"/>
  <c r="J77" i="105"/>
  <c r="J67" i="105"/>
  <c r="J61" i="105"/>
  <c r="J51" i="105"/>
  <c r="J78" i="105"/>
  <c r="J72" i="105"/>
  <c r="J68" i="105"/>
  <c r="J52" i="105"/>
  <c r="J40" i="105"/>
  <c r="J36" i="105"/>
  <c r="J79" i="105"/>
  <c r="J53" i="105"/>
  <c r="J41" i="105"/>
  <c r="J31" i="105"/>
  <c r="J27" i="105"/>
  <c r="J17" i="105"/>
  <c r="J80" i="105"/>
  <c r="J62" i="105"/>
  <c r="J54" i="105"/>
  <c r="J42" i="105"/>
  <c r="J18" i="105"/>
  <c r="J81" i="105"/>
  <c r="J73" i="105"/>
  <c r="J69" i="105"/>
  <c r="J63" i="105"/>
  <c r="J55" i="105"/>
  <c r="J43" i="105"/>
  <c r="J37" i="105"/>
  <c r="J83" i="105"/>
  <c r="J57" i="105"/>
  <c r="J45" i="105"/>
  <c r="J19" i="105"/>
  <c r="N15" i="105"/>
  <c r="V18" i="105"/>
  <c r="J32" i="105"/>
  <c r="Z67" i="105"/>
  <c r="F81" i="105"/>
  <c r="V27" i="102"/>
  <c r="V39" i="102"/>
  <c r="V47" i="102"/>
  <c r="V49" i="102"/>
  <c r="V51" i="102"/>
  <c r="X13" i="104"/>
  <c r="Z13" i="104" s="1"/>
  <c r="N15" i="104"/>
  <c r="L13" i="105"/>
  <c r="N63" i="105"/>
  <c r="F73" i="105"/>
  <c r="V37" i="102"/>
  <c r="V45" i="102"/>
  <c r="Z34" i="105"/>
  <c r="N49" i="105"/>
  <c r="V60" i="105"/>
  <c r="V46" i="102"/>
  <c r="L52" i="103"/>
  <c r="N52" i="103" s="1"/>
  <c r="X58" i="103"/>
  <c r="Z58" i="103" s="1"/>
  <c r="X34" i="104"/>
  <c r="Z34" i="104" s="1"/>
  <c r="V30" i="105"/>
  <c r="N45" i="105"/>
  <c r="Z51" i="105"/>
  <c r="V66" i="105"/>
  <c r="D89" i="105"/>
  <c r="L34" i="107"/>
  <c r="N34" i="107" s="1"/>
  <c r="V35" i="102"/>
  <c r="J28" i="105"/>
  <c r="L45" i="105"/>
  <c r="Z49" i="105"/>
  <c r="X51" i="105"/>
  <c r="F92" i="105"/>
  <c r="L19" i="106"/>
  <c r="R48" i="105"/>
  <c r="R49" i="105"/>
  <c r="R60" i="105"/>
  <c r="Z12" i="106"/>
  <c r="T16" i="106"/>
  <c r="X15" i="107"/>
  <c r="Z15" i="107" s="1"/>
  <c r="N69" i="107"/>
  <c r="Z18" i="108"/>
  <c r="Z29" i="109"/>
  <c r="X52" i="104"/>
  <c r="N13" i="105"/>
  <c r="R21" i="105"/>
  <c r="R23" i="105"/>
  <c r="R38" i="105"/>
  <c r="R46" i="105"/>
  <c r="R47" i="105"/>
  <c r="R58" i="105"/>
  <c r="R59" i="105"/>
  <c r="R70" i="105"/>
  <c r="R74" i="105"/>
  <c r="H24" i="106"/>
  <c r="J78" i="107"/>
  <c r="J62" i="107"/>
  <c r="J50" i="107"/>
  <c r="J30" i="107"/>
  <c r="J26" i="107"/>
  <c r="J79" i="107"/>
  <c r="J73" i="107"/>
  <c r="J51" i="107"/>
  <c r="J80" i="107"/>
  <c r="J68" i="107"/>
  <c r="J52" i="107"/>
  <c r="J40" i="107"/>
  <c r="J36" i="107"/>
  <c r="J81" i="107"/>
  <c r="J69" i="107"/>
  <c r="J63" i="107"/>
  <c r="J82" i="107"/>
  <c r="J74" i="107"/>
  <c r="J70" i="107"/>
  <c r="J54" i="107"/>
  <c r="J42" i="107"/>
  <c r="J55" i="107"/>
  <c r="J43" i="107"/>
  <c r="J37" i="107"/>
  <c r="J64" i="107"/>
  <c r="J56" i="107"/>
  <c r="J83" i="107"/>
  <c r="J75" i="107"/>
  <c r="J71" i="107"/>
  <c r="J65" i="107"/>
  <c r="J57" i="107"/>
  <c r="J45" i="107"/>
  <c r="J19" i="107"/>
  <c r="J66" i="107"/>
  <c r="J58" i="107"/>
  <c r="J46" i="107"/>
  <c r="J38" i="107"/>
  <c r="J24" i="107"/>
  <c r="J76" i="107"/>
  <c r="J72" i="107"/>
  <c r="J60" i="107"/>
  <c r="J48" i="107"/>
  <c r="J34" i="107"/>
  <c r="N14" i="107"/>
  <c r="X24" i="107"/>
  <c r="Z24" i="107" s="1"/>
  <c r="N41" i="107"/>
  <c r="N53" i="107"/>
  <c r="J67" i="107"/>
  <c r="J89" i="107"/>
  <c r="L33" i="108"/>
  <c r="X35" i="108"/>
  <c r="Z35" i="108" s="1"/>
  <c r="T33" i="108"/>
  <c r="R19" i="105"/>
  <c r="R24" i="105"/>
  <c r="R83" i="105"/>
  <c r="Z19" i="106"/>
  <c r="V24" i="106"/>
  <c r="N17" i="107"/>
  <c r="J27" i="107"/>
  <c r="J31" i="107"/>
  <c r="Z34" i="107"/>
  <c r="J39" i="107"/>
  <c r="J41" i="107"/>
  <c r="Z49" i="107"/>
  <c r="J53" i="107"/>
  <c r="R28" i="105"/>
  <c r="R32" i="105"/>
  <c r="R44" i="105"/>
  <c r="R45" i="105"/>
  <c r="R56" i="105"/>
  <c r="R57" i="105"/>
  <c r="R64" i="105"/>
  <c r="V19" i="106"/>
  <c r="V28" i="106"/>
  <c r="J17" i="107"/>
  <c r="J25" i="107"/>
  <c r="J29" i="107"/>
  <c r="J33" i="107"/>
  <c r="N59" i="107"/>
  <c r="J61" i="107"/>
  <c r="J77" i="107"/>
  <c r="V33" i="108"/>
  <c r="V31" i="108"/>
  <c r="V30" i="108"/>
  <c r="V29" i="108"/>
  <c r="V25" i="108"/>
  <c r="V21" i="108"/>
  <c r="V39" i="108"/>
  <c r="V41" i="108"/>
  <c r="V22" i="108"/>
  <c r="V44" i="108"/>
  <c r="V27" i="108"/>
  <c r="V26" i="108"/>
  <c r="V34" i="108"/>
  <c r="Z12" i="108"/>
  <c r="V35" i="108"/>
  <c r="V23" i="108"/>
  <c r="V19" i="108"/>
  <c r="V37" i="108"/>
  <c r="V28" i="108"/>
  <c r="T16" i="108"/>
  <c r="R37" i="105"/>
  <c r="R69" i="105"/>
  <c r="R73" i="105"/>
  <c r="R81" i="105"/>
  <c r="N16" i="106"/>
  <c r="Z18" i="106"/>
  <c r="J23" i="107"/>
  <c r="N45" i="107"/>
  <c r="J59" i="107"/>
  <c r="V16" i="108"/>
  <c r="R18" i="105"/>
  <c r="R42" i="105"/>
  <c r="R43" i="105"/>
  <c r="R54" i="105"/>
  <c r="R55" i="105"/>
  <c r="R62" i="105"/>
  <c r="R63" i="105"/>
  <c r="J35" i="107"/>
  <c r="Z53" i="107"/>
  <c r="R27" i="105"/>
  <c r="R31" i="105"/>
  <c r="R79" i="105"/>
  <c r="R80" i="105"/>
  <c r="V16" i="106"/>
  <c r="D12" i="107"/>
  <c r="X17" i="107"/>
  <c r="Z17" i="107" s="1"/>
  <c r="Z23" i="107"/>
  <c r="Z59" i="107"/>
  <c r="Z19" i="108"/>
  <c r="N27" i="108"/>
  <c r="X19" i="109"/>
  <c r="Z19" i="109" s="1"/>
  <c r="L38" i="109"/>
  <c r="F38" i="109"/>
  <c r="X12" i="105"/>
  <c r="Z12" i="105" s="1"/>
  <c r="R17" i="105"/>
  <c r="R36" i="105"/>
  <c r="R40" i="105"/>
  <c r="R41" i="105"/>
  <c r="R52" i="105"/>
  <c r="R53" i="105"/>
  <c r="R68" i="105"/>
  <c r="R72" i="105"/>
  <c r="D16" i="106"/>
  <c r="F24" i="106"/>
  <c r="F22" i="106"/>
  <c r="L12" i="106"/>
  <c r="V22" i="106"/>
  <c r="J47" i="107"/>
  <c r="N38" i="109"/>
  <c r="R61" i="105"/>
  <c r="R77" i="105"/>
  <c r="R78" i="105"/>
  <c r="J24" i="106"/>
  <c r="J22" i="106"/>
  <c r="J26" i="106"/>
  <c r="V26" i="106"/>
  <c r="H21" i="107"/>
  <c r="J21" i="107" s="1"/>
  <c r="J44" i="107"/>
  <c r="J85" i="107"/>
  <c r="V57" i="109"/>
  <c r="V49" i="109"/>
  <c r="V64" i="109"/>
  <c r="V56" i="109"/>
  <c r="V48" i="109"/>
  <c r="V40" i="109"/>
  <c r="V32" i="109"/>
  <c r="V63" i="109"/>
  <c r="V59" i="109"/>
  <c r="V51" i="109"/>
  <c r="V39" i="109"/>
  <c r="V27" i="109"/>
  <c r="V23" i="109"/>
  <c r="V71" i="109"/>
  <c r="V65" i="109"/>
  <c r="V70" i="109"/>
  <c r="V60" i="109"/>
  <c r="V52" i="109"/>
  <c r="V69" i="109"/>
  <c r="V67" i="109"/>
  <c r="V75" i="109"/>
  <c r="V61" i="109"/>
  <c r="V55" i="109"/>
  <c r="V47" i="109"/>
  <c r="V35" i="109"/>
  <c r="V31" i="109"/>
  <c r="V62" i="109"/>
  <c r="V46" i="109"/>
  <c r="V38" i="109"/>
  <c r="V26" i="109"/>
  <c r="V22" i="109"/>
  <c r="V66" i="109"/>
  <c r="V58" i="109"/>
  <c r="V37" i="109"/>
  <c r="V20" i="109"/>
  <c r="V53" i="109"/>
  <c r="V41" i="109"/>
  <c r="V42" i="109"/>
  <c r="V30" i="109"/>
  <c r="V44" i="109"/>
  <c r="V15" i="109"/>
  <c r="V24" i="109"/>
  <c r="V21" i="109"/>
  <c r="V33" i="109"/>
  <c r="V45" i="109"/>
  <c r="V36" i="109"/>
  <c r="V17" i="109"/>
  <c r="V54" i="109"/>
  <c r="T17" i="109"/>
  <c r="Z12" i="109"/>
  <c r="V43" i="109"/>
  <c r="V29" i="109"/>
  <c r="V28" i="109"/>
  <c r="V25" i="109"/>
  <c r="V19" i="109"/>
  <c r="R26" i="105"/>
  <c r="R30" i="105"/>
  <c r="R50" i="105"/>
  <c r="R51" i="105"/>
  <c r="R66" i="105"/>
  <c r="R67" i="105"/>
  <c r="N12" i="106"/>
  <c r="F18" i="106"/>
  <c r="F19" i="106"/>
  <c r="V20" i="106"/>
  <c r="V31" i="106"/>
  <c r="P12" i="107"/>
  <c r="X13" i="107"/>
  <c r="Z13" i="107" s="1"/>
  <c r="J18" i="107"/>
  <c r="L24" i="107"/>
  <c r="N24" i="107" s="1"/>
  <c r="J28" i="107"/>
  <c r="J32" i="107"/>
  <c r="J49" i="107"/>
  <c r="Z27" i="108"/>
  <c r="R39" i="108"/>
  <c r="R37" i="108"/>
  <c r="R35" i="108"/>
  <c r="R19" i="108"/>
  <c r="J26" i="108"/>
  <c r="R62" i="109"/>
  <c r="R47" i="109"/>
  <c r="R46" i="109"/>
  <c r="R38" i="109"/>
  <c r="R37" i="109"/>
  <c r="R57" i="109"/>
  <c r="R56" i="109"/>
  <c r="R49" i="109"/>
  <c r="R48" i="109"/>
  <c r="R32" i="109"/>
  <c r="X12" i="109"/>
  <c r="R59" i="109"/>
  <c r="R58" i="109"/>
  <c r="R66" i="109"/>
  <c r="R65" i="109"/>
  <c r="R42" i="109"/>
  <c r="R41" i="109"/>
  <c r="R71" i="109"/>
  <c r="R60" i="109"/>
  <c r="R53" i="109"/>
  <c r="R52" i="109"/>
  <c r="R70" i="109"/>
  <c r="R67" i="109"/>
  <c r="R69" i="109"/>
  <c r="R54" i="109"/>
  <c r="R45" i="109"/>
  <c r="R44" i="109"/>
  <c r="R55" i="109"/>
  <c r="R36" i="109"/>
  <c r="R35" i="109"/>
  <c r="R31" i="109"/>
  <c r="L15" i="109"/>
  <c r="P17" i="109"/>
  <c r="J33" i="109"/>
  <c r="J36" i="109"/>
  <c r="J39" i="109"/>
  <c r="L23" i="107"/>
  <c r="N23" i="107" s="1"/>
  <c r="X41" i="107"/>
  <c r="Z41" i="107" s="1"/>
  <c r="L47" i="107"/>
  <c r="X53" i="107"/>
  <c r="L59" i="107"/>
  <c r="X69" i="107"/>
  <c r="Z69" i="107" s="1"/>
  <c r="X81" i="107"/>
  <c r="Z81" i="107" s="1"/>
  <c r="L85" i="107"/>
  <c r="X12" i="108"/>
  <c r="X14" i="108"/>
  <c r="X18" i="108"/>
  <c r="R27" i="108"/>
  <c r="J31" i="108"/>
  <c r="R33" i="108"/>
  <c r="J15" i="109"/>
  <c r="J21" i="109"/>
  <c r="Z40" i="109"/>
  <c r="J42" i="109"/>
  <c r="Z45" i="109"/>
  <c r="N47" i="109"/>
  <c r="N59" i="109"/>
  <c r="R61" i="109"/>
  <c r="P16" i="106"/>
  <c r="R20" i="106"/>
  <c r="R26" i="108"/>
  <c r="J30" i="108"/>
  <c r="R44" i="108"/>
  <c r="R33" i="109"/>
  <c r="R39" i="109"/>
  <c r="J47" i="109"/>
  <c r="N51" i="109"/>
  <c r="R75" i="109"/>
  <c r="D16" i="108"/>
  <c r="J21" i="108"/>
  <c r="R22" i="108"/>
  <c r="J25" i="108"/>
  <c r="J39" i="108"/>
  <c r="R24" i="109"/>
  <c r="R27" i="109"/>
  <c r="J38" i="109"/>
  <c r="X45" i="109"/>
  <c r="L51" i="109"/>
  <c r="N57" i="109"/>
  <c r="Z59" i="109"/>
  <c r="R19" i="106"/>
  <c r="J29" i="108"/>
  <c r="R31" i="108"/>
  <c r="R41" i="108"/>
  <c r="F23" i="109"/>
  <c r="J26" i="109"/>
  <c r="F29" i="109"/>
  <c r="F32" i="109"/>
  <c r="F41" i="109"/>
  <c r="X42" i="109"/>
  <c r="Z42" i="109" s="1"/>
  <c r="Z49" i="109"/>
  <c r="X51" i="109"/>
  <c r="J62" i="109"/>
  <c r="H16" i="108"/>
  <c r="J23" i="109"/>
  <c r="R30" i="109"/>
  <c r="J32" i="109"/>
  <c r="J41" i="109"/>
  <c r="F46" i="109"/>
  <c r="R51" i="109"/>
  <c r="F55" i="109"/>
  <c r="Z57" i="109"/>
  <c r="J60" i="109"/>
  <c r="N69" i="109"/>
  <c r="J46" i="109"/>
  <c r="J50" i="109"/>
  <c r="Z51" i="109"/>
  <c r="J66" i="109"/>
  <c r="F28" i="108"/>
  <c r="F27" i="108"/>
  <c r="J19" i="108"/>
  <c r="J28" i="108"/>
  <c r="F34" i="108"/>
  <c r="F35" i="108"/>
  <c r="J37" i="108"/>
  <c r="F71" i="109"/>
  <c r="F54" i="109"/>
  <c r="F53" i="109"/>
  <c r="F75" i="109"/>
  <c r="F70" i="109"/>
  <c r="F61" i="109"/>
  <c r="F25" i="109"/>
  <c r="F21" i="109"/>
  <c r="F20" i="109"/>
  <c r="F69" i="109"/>
  <c r="F44" i="109"/>
  <c r="F19" i="109"/>
  <c r="F17" i="109"/>
  <c r="F15" i="109"/>
  <c r="F62" i="109"/>
  <c r="F56" i="109"/>
  <c r="F48" i="109"/>
  <c r="F47" i="109"/>
  <c r="F63" i="109"/>
  <c r="F58" i="109"/>
  <c r="F57" i="109"/>
  <c r="F50" i="109"/>
  <c r="F49" i="109"/>
  <c r="F60" i="109"/>
  <c r="F59" i="109"/>
  <c r="F52" i="109"/>
  <c r="F51" i="109"/>
  <c r="F28" i="109"/>
  <c r="F24" i="109"/>
  <c r="F67" i="109"/>
  <c r="F66" i="109"/>
  <c r="F43" i="109"/>
  <c r="F42" i="109"/>
  <c r="J19" i="109"/>
  <c r="R20" i="109"/>
  <c r="R26" i="109"/>
  <c r="J28" i="109"/>
  <c r="F40" i="109"/>
  <c r="Z53" i="109"/>
  <c r="Z69" i="109"/>
  <c r="L19" i="108"/>
  <c r="N19" i="108" s="1"/>
  <c r="J75" i="109"/>
  <c r="J69" i="109"/>
  <c r="J61" i="109"/>
  <c r="J44" i="109"/>
  <c r="J55" i="109"/>
  <c r="J45" i="109"/>
  <c r="J35" i="109"/>
  <c r="J31" i="109"/>
  <c r="J56" i="109"/>
  <c r="J48" i="109"/>
  <c r="J63" i="109"/>
  <c r="J57" i="109"/>
  <c r="J49" i="109"/>
  <c r="J64" i="109"/>
  <c r="J58" i="109"/>
  <c r="J65" i="109"/>
  <c r="J59" i="109"/>
  <c r="J51" i="109"/>
  <c r="J71" i="109"/>
  <c r="J67" i="109"/>
  <c r="J53" i="109"/>
  <c r="J43" i="109"/>
  <c r="J29" i="109"/>
  <c r="J70" i="109"/>
  <c r="J54" i="109"/>
  <c r="J34" i="109"/>
  <c r="J30" i="109"/>
  <c r="J20" i="109"/>
  <c r="D73" i="109"/>
  <c r="F73" i="109" s="1"/>
  <c r="R23" i="109"/>
  <c r="J25" i="109"/>
  <c r="L36" i="109"/>
  <c r="N36" i="109" s="1"/>
  <c r="J52" i="109"/>
  <c r="R64" i="109"/>
  <c r="Z71" i="109"/>
  <c r="R28" i="106"/>
  <c r="L12" i="108"/>
  <c r="P16" i="108"/>
  <c r="R20" i="108"/>
  <c r="J23" i="108"/>
  <c r="R24" i="108"/>
  <c r="J27" i="108"/>
  <c r="H33" i="108"/>
  <c r="J34" i="108"/>
  <c r="L12" i="109"/>
  <c r="N12" i="109" s="1"/>
  <c r="H17" i="109"/>
  <c r="R19" i="109"/>
  <c r="J22" i="109"/>
  <c r="R29" i="109"/>
  <c r="R34" i="109"/>
  <c r="F36" i="109"/>
  <c r="J40" i="109"/>
  <c r="L45" i="109"/>
  <c r="R50" i="109"/>
  <c r="F47" i="72" l="1"/>
  <c r="F46" i="72"/>
  <c r="F44" i="72"/>
  <c r="F81" i="72"/>
  <c r="F68" i="72"/>
  <c r="F69" i="72"/>
  <c r="F64" i="72"/>
  <c r="F60" i="72"/>
  <c r="F42" i="72"/>
  <c r="F56" i="72"/>
  <c r="F50" i="72"/>
  <c r="F45" i="72"/>
  <c r="F37" i="72"/>
  <c r="F33" i="72"/>
  <c r="F83" i="72"/>
  <c r="F77" i="72"/>
  <c r="F74" i="72"/>
  <c r="F24" i="72"/>
  <c r="F23" i="72"/>
  <c r="F70" i="72"/>
  <c r="F65" i="72"/>
  <c r="F61" i="72"/>
  <c r="F57" i="72"/>
  <c r="F51" i="72"/>
  <c r="F66" i="72"/>
  <c r="F62" i="72"/>
  <c r="F43" i="72"/>
  <c r="F38" i="72"/>
  <c r="F34" i="72"/>
  <c r="F78" i="72"/>
  <c r="F71" i="72"/>
  <c r="F25" i="72"/>
  <c r="F75" i="72"/>
  <c r="F72" i="72"/>
  <c r="F52" i="72"/>
  <c r="F40" i="72"/>
  <c r="F39" i="72"/>
  <c r="L12" i="72"/>
  <c r="N12" i="72" s="1"/>
  <c r="F87" i="72"/>
  <c r="F79" i="72"/>
  <c r="F58" i="72"/>
  <c r="F53" i="72"/>
  <c r="F35" i="72"/>
  <c r="F31" i="72"/>
  <c r="F30" i="72"/>
  <c r="F54" i="72"/>
  <c r="F48" i="72"/>
  <c r="F41" i="72"/>
  <c r="D27" i="72"/>
  <c r="F55" i="72"/>
  <c r="F29" i="72"/>
  <c r="F76" i="72"/>
  <c r="F59" i="72"/>
  <c r="F36" i="72"/>
  <c r="F27" i="72"/>
  <c r="F63" i="72"/>
  <c r="F80" i="72"/>
  <c r="F73" i="72"/>
  <c r="F67" i="72"/>
  <c r="F32" i="72"/>
  <c r="F49" i="72"/>
  <c r="T73" i="79"/>
  <c r="T112" i="76"/>
  <c r="Z16" i="60"/>
  <c r="T50" i="60"/>
  <c r="D22" i="67"/>
  <c r="L16" i="67"/>
  <c r="T57" i="61"/>
  <c r="F128" i="42"/>
  <c r="F123" i="42"/>
  <c r="F106" i="42"/>
  <c r="F102" i="42"/>
  <c r="F66" i="42"/>
  <c r="F65" i="42"/>
  <c r="F58" i="42"/>
  <c r="F57" i="42"/>
  <c r="F122" i="42"/>
  <c r="F113" i="42"/>
  <c r="F112" i="42"/>
  <c r="F97" i="42"/>
  <c r="F96" i="42"/>
  <c r="F85" i="42"/>
  <c r="F77" i="42"/>
  <c r="F76" i="42"/>
  <c r="F49" i="42"/>
  <c r="F45" i="42"/>
  <c r="F121" i="42"/>
  <c r="F92" i="42"/>
  <c r="F68" i="42"/>
  <c r="F67" i="42"/>
  <c r="F40" i="42"/>
  <c r="F36" i="42"/>
  <c r="F133" i="42"/>
  <c r="F130" i="42"/>
  <c r="F115" i="42"/>
  <c r="F114" i="42"/>
  <c r="F107" i="42"/>
  <c r="F103" i="42"/>
  <c r="F79" i="42"/>
  <c r="F78" i="42"/>
  <c r="F59" i="42"/>
  <c r="F27" i="42"/>
  <c r="F26" i="42"/>
  <c r="F98" i="42"/>
  <c r="F86" i="42"/>
  <c r="F70" i="42"/>
  <c r="F69" i="42"/>
  <c r="F50" i="42"/>
  <c r="F93" i="42"/>
  <c r="F83" i="42"/>
  <c r="F82" i="42"/>
  <c r="F47" i="42"/>
  <c r="F94" i="42"/>
  <c r="F62" i="42"/>
  <c r="F61" i="42"/>
  <c r="F54" i="42"/>
  <c r="F53" i="42"/>
  <c r="F42" i="42"/>
  <c r="F38" i="42"/>
  <c r="F34" i="42"/>
  <c r="F33" i="42"/>
  <c r="F84" i="42"/>
  <c r="F64" i="42"/>
  <c r="F63" i="42"/>
  <c r="F56" i="42"/>
  <c r="F55" i="42"/>
  <c r="F48" i="42"/>
  <c r="F44" i="42"/>
  <c r="F43" i="42"/>
  <c r="F118" i="42"/>
  <c r="F116" i="42"/>
  <c r="F108" i="42"/>
  <c r="F101" i="42"/>
  <c r="F88" i="42"/>
  <c r="F75" i="42"/>
  <c r="F41" i="42"/>
  <c r="F39" i="42"/>
  <c r="F126" i="42"/>
  <c r="F110" i="42"/>
  <c r="F95" i="42"/>
  <c r="F90" i="42"/>
  <c r="F80" i="42"/>
  <c r="F73" i="42"/>
  <c r="F71" i="42"/>
  <c r="F105" i="42"/>
  <c r="F60" i="42"/>
  <c r="F30" i="42"/>
  <c r="F100" i="42"/>
  <c r="F52" i="42"/>
  <c r="D30" i="42"/>
  <c r="F124" i="42"/>
  <c r="F119" i="42"/>
  <c r="F117" i="42"/>
  <c r="F87" i="42"/>
  <c r="F81" i="42"/>
  <c r="F46" i="42"/>
  <c r="F111" i="42"/>
  <c r="F109" i="42"/>
  <c r="F91" i="42"/>
  <c r="F89" i="42"/>
  <c r="F74" i="42"/>
  <c r="F72" i="42"/>
  <c r="F32" i="42"/>
  <c r="F28" i="42"/>
  <c r="F104" i="42"/>
  <c r="F37" i="42"/>
  <c r="L12" i="42"/>
  <c r="N12" i="42" s="1"/>
  <c r="F51" i="42"/>
  <c r="F99" i="42"/>
  <c r="F35" i="42"/>
  <c r="D95" i="45"/>
  <c r="H100" i="33"/>
  <c r="J42" i="33"/>
  <c r="F292" i="18"/>
  <c r="F283" i="18"/>
  <c r="F271" i="18"/>
  <c r="F267" i="18"/>
  <c r="F266" i="18"/>
  <c r="F255" i="18"/>
  <c r="F254" i="18"/>
  <c r="F198" i="18"/>
  <c r="F191" i="18"/>
  <c r="F187" i="18"/>
  <c r="F183" i="18"/>
  <c r="F179" i="18"/>
  <c r="F175" i="18"/>
  <c r="F171" i="18"/>
  <c r="F167" i="18"/>
  <c r="F163" i="18"/>
  <c r="F159" i="18"/>
  <c r="F155" i="18"/>
  <c r="F151" i="18"/>
  <c r="F147" i="18"/>
  <c r="F291" i="18"/>
  <c r="F250" i="18"/>
  <c r="F249" i="18"/>
  <c r="F238" i="18"/>
  <c r="F214" i="18"/>
  <c r="F210" i="18"/>
  <c r="F209" i="18"/>
  <c r="D196" i="18"/>
  <c r="F290" i="18"/>
  <c r="F285" i="18"/>
  <c r="F284" i="18"/>
  <c r="F277" i="18"/>
  <c r="F261" i="18"/>
  <c r="F229" i="18"/>
  <c r="F221" i="18"/>
  <c r="F205" i="18"/>
  <c r="F201" i="18"/>
  <c r="F289" i="18"/>
  <c r="F272" i="18"/>
  <c r="F268" i="18"/>
  <c r="F256" i="18"/>
  <c r="F240" i="18"/>
  <c r="F239" i="18"/>
  <c r="F192" i="18"/>
  <c r="F188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5" i="18"/>
  <c r="F288" i="18"/>
  <c r="F279" i="18"/>
  <c r="F278" i="18"/>
  <c r="F251" i="18"/>
  <c r="F231" i="18"/>
  <c r="F230" i="18"/>
  <c r="F223" i="18"/>
  <c r="F222" i="18"/>
  <c r="F215" i="18"/>
  <c r="F211" i="18"/>
  <c r="F297" i="18"/>
  <c r="F264" i="18"/>
  <c r="F263" i="18"/>
  <c r="F252" i="18"/>
  <c r="F244" i="18"/>
  <c r="F243" i="18"/>
  <c r="F216" i="18"/>
  <c r="F212" i="18"/>
  <c r="F296" i="18"/>
  <c r="F259" i="18"/>
  <c r="F258" i="18"/>
  <c r="F235" i="18"/>
  <c r="F234" i="18"/>
  <c r="F207" i="18"/>
  <c r="F203" i="18"/>
  <c r="F294" i="18"/>
  <c r="F265" i="18"/>
  <c r="F253" i="18"/>
  <c r="F237" i="18"/>
  <c r="F236" i="18"/>
  <c r="F213" i="18"/>
  <c r="F303" i="18"/>
  <c r="F246" i="18"/>
  <c r="F218" i="18"/>
  <c r="F200" i="18"/>
  <c r="F193" i="18"/>
  <c r="F169" i="18"/>
  <c r="F281" i="18"/>
  <c r="F275" i="18"/>
  <c r="F233" i="18"/>
  <c r="F227" i="18"/>
  <c r="F181" i="18"/>
  <c r="F162" i="18"/>
  <c r="F257" i="18"/>
  <c r="F202" i="18"/>
  <c r="F153" i="18"/>
  <c r="F143" i="18"/>
  <c r="F137" i="18"/>
  <c r="F273" i="18"/>
  <c r="F269" i="18"/>
  <c r="F242" i="18"/>
  <c r="F225" i="18"/>
  <c r="F186" i="18"/>
  <c r="F174" i="18"/>
  <c r="F146" i="18"/>
  <c r="F247" i="18"/>
  <c r="F219" i="18"/>
  <c r="F165" i="18"/>
  <c r="F158" i="18"/>
  <c r="F287" i="18"/>
  <c r="F276" i="18"/>
  <c r="F228" i="18"/>
  <c r="F204" i="18"/>
  <c r="F194" i="18"/>
  <c r="F189" i="18"/>
  <c r="F177" i="18"/>
  <c r="F298" i="18"/>
  <c r="F170" i="18"/>
  <c r="F149" i="18"/>
  <c r="F141" i="18"/>
  <c r="L12" i="18"/>
  <c r="F295" i="18"/>
  <c r="F282" i="18"/>
  <c r="F280" i="18"/>
  <c r="F232" i="18"/>
  <c r="F206" i="18"/>
  <c r="F182" i="18"/>
  <c r="F161" i="18"/>
  <c r="F154" i="18"/>
  <c r="F138" i="18"/>
  <c r="F260" i="18"/>
  <c r="F248" i="18"/>
  <c r="F245" i="18"/>
  <c r="F220" i="18"/>
  <c r="F217" i="18"/>
  <c r="F199" i="18"/>
  <c r="F274" i="18"/>
  <c r="F270" i="18"/>
  <c r="F226" i="18"/>
  <c r="F224" i="18"/>
  <c r="F185" i="18"/>
  <c r="F173" i="18"/>
  <c r="F166" i="18"/>
  <c r="F262" i="18"/>
  <c r="F145" i="18"/>
  <c r="F150" i="18"/>
  <c r="F241" i="18"/>
  <c r="F142" i="18"/>
  <c r="F178" i="18"/>
  <c r="F157" i="18"/>
  <c r="F139" i="18"/>
  <c r="F208" i="18"/>
  <c r="F190" i="18"/>
  <c r="F293" i="18"/>
  <c r="F299" i="18"/>
  <c r="F264" i="15"/>
  <c r="F259" i="15"/>
  <c r="F258" i="15"/>
  <c r="F251" i="15"/>
  <c r="F235" i="15"/>
  <c r="F203" i="15"/>
  <c r="F195" i="15"/>
  <c r="F179" i="15"/>
  <c r="F175" i="15"/>
  <c r="F263" i="15"/>
  <c r="F246" i="15"/>
  <c r="F242" i="15"/>
  <c r="F230" i="15"/>
  <c r="F214" i="15"/>
  <c r="F213" i="15"/>
  <c r="F166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117" i="15"/>
  <c r="F262" i="15"/>
  <c r="F253" i="15"/>
  <c r="F252" i="15"/>
  <c r="F225" i="15"/>
  <c r="F205" i="15"/>
  <c r="F204" i="15"/>
  <c r="F197" i="15"/>
  <c r="F196" i="15"/>
  <c r="F189" i="15"/>
  <c r="F185" i="15"/>
  <c r="F261" i="15"/>
  <c r="F236" i="15"/>
  <c r="F216" i="15"/>
  <c r="F215" i="15"/>
  <c r="F180" i="15"/>
  <c r="F176" i="15"/>
  <c r="F255" i="15"/>
  <c r="F254" i="15"/>
  <c r="F247" i="15"/>
  <c r="F243" i="15"/>
  <c r="F231" i="15"/>
  <c r="F207" i="15"/>
  <c r="F206" i="15"/>
  <c r="F199" i="15"/>
  <c r="F198" i="15"/>
  <c r="F167" i="15"/>
  <c r="F163" i="15"/>
  <c r="F159" i="15"/>
  <c r="F155" i="15"/>
  <c r="F151" i="15"/>
  <c r="F147" i="15"/>
  <c r="F143" i="15"/>
  <c r="F139" i="15"/>
  <c r="F135" i="15"/>
  <c r="F131" i="15"/>
  <c r="F127" i="15"/>
  <c r="F123" i="15"/>
  <c r="F119" i="15"/>
  <c r="F238" i="15"/>
  <c r="F237" i="15"/>
  <c r="F226" i="15"/>
  <c r="F218" i="15"/>
  <c r="F217" i="15"/>
  <c r="F190" i="15"/>
  <c r="F186" i="15"/>
  <c r="F270" i="15"/>
  <c r="F274" i="15"/>
  <c r="F269" i="15"/>
  <c r="F256" i="15"/>
  <c r="F248" i="15"/>
  <c r="F244" i="15"/>
  <c r="F220" i="15"/>
  <c r="F219" i="15"/>
  <c r="F200" i="15"/>
  <c r="F192" i="15"/>
  <c r="F191" i="15"/>
  <c r="F168" i="15"/>
  <c r="F164" i="15"/>
  <c r="F160" i="15"/>
  <c r="F156" i="15"/>
  <c r="F152" i="15"/>
  <c r="F148" i="15"/>
  <c r="F144" i="15"/>
  <c r="F140" i="15"/>
  <c r="F136" i="15"/>
  <c r="F132" i="15"/>
  <c r="F128" i="15"/>
  <c r="F124" i="15"/>
  <c r="F120" i="15"/>
  <c r="F268" i="15"/>
  <c r="F239" i="15"/>
  <c r="F227" i="15"/>
  <c r="F211" i="15"/>
  <c r="F210" i="15"/>
  <c r="F187" i="15"/>
  <c r="F267" i="15"/>
  <c r="F250" i="15"/>
  <c r="F249" i="15"/>
  <c r="F234" i="15"/>
  <c r="F222" i="15"/>
  <c r="F221" i="15"/>
  <c r="F202" i="15"/>
  <c r="F201" i="15"/>
  <c r="F194" i="15"/>
  <c r="F193" i="15"/>
  <c r="F182" i="15"/>
  <c r="F178" i="15"/>
  <c r="F174" i="15"/>
  <c r="F173" i="15"/>
  <c r="F257" i="15"/>
  <c r="F224" i="15"/>
  <c r="F188" i="15"/>
  <c r="F165" i="15"/>
  <c r="F266" i="15"/>
  <c r="F181" i="15"/>
  <c r="F172" i="15"/>
  <c r="F149" i="15"/>
  <c r="F137" i="15"/>
  <c r="F228" i="15"/>
  <c r="F212" i="15"/>
  <c r="F208" i="15"/>
  <c r="F183" i="15"/>
  <c r="F232" i="15"/>
  <c r="F153" i="15"/>
  <c r="F129" i="15"/>
  <c r="F241" i="15"/>
  <c r="F223" i="15"/>
  <c r="F170" i="15"/>
  <c r="D170" i="15"/>
  <c r="F157" i="15"/>
  <c r="F141" i="15"/>
  <c r="F121" i="15"/>
  <c r="L12" i="15"/>
  <c r="F265" i="15"/>
  <c r="F240" i="15"/>
  <c r="F233" i="15"/>
  <c r="F184" i="15"/>
  <c r="F177" i="15"/>
  <c r="F161" i="15"/>
  <c r="F125" i="15"/>
  <c r="F229" i="15"/>
  <c r="F245" i="15"/>
  <c r="F133" i="15"/>
  <c r="F145" i="15"/>
  <c r="F209" i="15"/>
  <c r="D22" i="6"/>
  <c r="L16" i="6"/>
  <c r="T86" i="80"/>
  <c r="L18" i="52"/>
  <c r="D27" i="52"/>
  <c r="L18" i="50"/>
  <c r="D27" i="50"/>
  <c r="D27" i="47"/>
  <c r="L18" i="47"/>
  <c r="L18" i="32"/>
  <c r="D27" i="32"/>
  <c r="X18" i="34"/>
  <c r="P27" i="34"/>
  <c r="X18" i="25"/>
  <c r="P27" i="25"/>
  <c r="H27" i="14"/>
  <c r="N18" i="14"/>
  <c r="T27" i="32"/>
  <c r="Z18" i="32"/>
  <c r="H27" i="13"/>
  <c r="N18" i="13"/>
  <c r="L18" i="17"/>
  <c r="D27" i="17"/>
  <c r="X18" i="14"/>
  <c r="P27" i="14"/>
  <c r="T27" i="13"/>
  <c r="Z18" i="13"/>
  <c r="X18" i="5"/>
  <c r="P27" i="5"/>
  <c r="X16" i="106"/>
  <c r="P24" i="106"/>
  <c r="Z16" i="106"/>
  <c r="T24" i="106"/>
  <c r="J21" i="105"/>
  <c r="D53" i="98"/>
  <c r="H77" i="94"/>
  <c r="F68" i="94"/>
  <c r="F64" i="94"/>
  <c r="F44" i="94"/>
  <c r="F43" i="94"/>
  <c r="F36" i="94"/>
  <c r="L12" i="94"/>
  <c r="N12" i="94" s="1"/>
  <c r="F55" i="94"/>
  <c r="F31" i="94"/>
  <c r="F27" i="94"/>
  <c r="F84" i="94"/>
  <c r="F81" i="94"/>
  <c r="F46" i="94"/>
  <c r="F45" i="94"/>
  <c r="F18" i="94"/>
  <c r="F69" i="94"/>
  <c r="F65" i="94"/>
  <c r="F57" i="94"/>
  <c r="F56" i="94"/>
  <c r="F37" i="94"/>
  <c r="F33" i="94"/>
  <c r="F32" i="94"/>
  <c r="F48" i="94"/>
  <c r="F47" i="94"/>
  <c r="F28" i="94"/>
  <c r="F24" i="94"/>
  <c r="F23" i="94"/>
  <c r="F71" i="94"/>
  <c r="F70" i="94"/>
  <c r="F59" i="94"/>
  <c r="F58" i="94"/>
  <c r="F66" i="94"/>
  <c r="F50" i="94"/>
  <c r="F49" i="94"/>
  <c r="F38" i="94"/>
  <c r="F34" i="94"/>
  <c r="D20" i="94"/>
  <c r="F73" i="94"/>
  <c r="F72" i="94"/>
  <c r="F61" i="94"/>
  <c r="F60" i="94"/>
  <c r="F29" i="94"/>
  <c r="F25" i="94"/>
  <c r="F52" i="94"/>
  <c r="F51" i="94"/>
  <c r="F40" i="94"/>
  <c r="F39" i="94"/>
  <c r="F77" i="94"/>
  <c r="F75" i="94"/>
  <c r="F54" i="94"/>
  <c r="F53" i="94"/>
  <c r="F42" i="94"/>
  <c r="F41" i="94"/>
  <c r="F30" i="94"/>
  <c r="F26" i="94"/>
  <c r="F17" i="94"/>
  <c r="F63" i="94"/>
  <c r="F35" i="94"/>
  <c r="F20" i="94"/>
  <c r="F67" i="94"/>
  <c r="F16" i="94"/>
  <c r="F62" i="94"/>
  <c r="F79" i="94"/>
  <c r="F22" i="94"/>
  <c r="T86" i="83"/>
  <c r="R60" i="88"/>
  <c r="R59" i="88"/>
  <c r="R35" i="88"/>
  <c r="R16" i="88"/>
  <c r="R54" i="88"/>
  <c r="R43" i="88"/>
  <c r="R42" i="88"/>
  <c r="R30" i="88"/>
  <c r="R26" i="88"/>
  <c r="R73" i="88"/>
  <c r="R65" i="88"/>
  <c r="R61" i="88"/>
  <c r="R75" i="88"/>
  <c r="R45" i="88"/>
  <c r="R44" i="88"/>
  <c r="R36" i="88"/>
  <c r="X12" i="88"/>
  <c r="Z12" i="88" s="1"/>
  <c r="R55" i="88"/>
  <c r="R32" i="88"/>
  <c r="R31" i="88"/>
  <c r="R27" i="88"/>
  <c r="R67" i="88"/>
  <c r="R66" i="88"/>
  <c r="R62" i="88"/>
  <c r="R47" i="88"/>
  <c r="R46" i="88"/>
  <c r="R79" i="88"/>
  <c r="R37" i="88"/>
  <c r="R33" i="88"/>
  <c r="R22" i="88"/>
  <c r="R69" i="88"/>
  <c r="R68" i="88"/>
  <c r="R63" i="88"/>
  <c r="R23" i="88"/>
  <c r="R53" i="88"/>
  <c r="R48" i="88"/>
  <c r="R28" i="88"/>
  <c r="R41" i="88"/>
  <c r="R51" i="88"/>
  <c r="R39" i="88"/>
  <c r="R18" i="88"/>
  <c r="R72" i="88"/>
  <c r="R49" i="88"/>
  <c r="R24" i="88"/>
  <c r="R70" i="88"/>
  <c r="R58" i="88"/>
  <c r="R64" i="88"/>
  <c r="R56" i="88"/>
  <c r="R29" i="88"/>
  <c r="P20" i="88"/>
  <c r="R20" i="88" s="1"/>
  <c r="R52" i="88"/>
  <c r="R50" i="88"/>
  <c r="R40" i="88"/>
  <c r="R34" i="88"/>
  <c r="R17" i="88"/>
  <c r="R71" i="88"/>
  <c r="R57" i="88"/>
  <c r="R25" i="88"/>
  <c r="R38" i="88"/>
  <c r="T85" i="72"/>
  <c r="X27" i="72"/>
  <c r="Z27" i="72" s="1"/>
  <c r="P85" i="72"/>
  <c r="T74" i="69"/>
  <c r="H73" i="58"/>
  <c r="N16" i="58"/>
  <c r="L16" i="58"/>
  <c r="T58" i="68"/>
  <c r="Z16" i="68"/>
  <c r="X16" i="68"/>
  <c r="D74" i="69"/>
  <c r="L20" i="69"/>
  <c r="D57" i="61"/>
  <c r="L53" i="61"/>
  <c r="T112" i="51"/>
  <c r="V84" i="45"/>
  <c r="V80" i="45"/>
  <c r="V76" i="45"/>
  <c r="V60" i="45"/>
  <c r="V97" i="45"/>
  <c r="V87" i="45"/>
  <c r="V71" i="45"/>
  <c r="V63" i="45"/>
  <c r="V51" i="45"/>
  <c r="V86" i="45"/>
  <c r="V70" i="45"/>
  <c r="V62" i="45"/>
  <c r="V50" i="45"/>
  <c r="V42" i="45"/>
  <c r="V89" i="45"/>
  <c r="V81" i="45"/>
  <c r="V77" i="45"/>
  <c r="V65" i="45"/>
  <c r="V53" i="45"/>
  <c r="V73" i="45"/>
  <c r="V57" i="45"/>
  <c r="V45" i="45"/>
  <c r="V68" i="45"/>
  <c r="V56" i="45"/>
  <c r="V74" i="45"/>
  <c r="V58" i="45"/>
  <c r="V78" i="45"/>
  <c r="V72" i="45"/>
  <c r="V41" i="45"/>
  <c r="V91" i="45"/>
  <c r="V44" i="45"/>
  <c r="V38" i="45"/>
  <c r="V82" i="45"/>
  <c r="V32" i="45"/>
  <c r="V20" i="45"/>
  <c r="V54" i="45"/>
  <c r="V48" i="45"/>
  <c r="V35" i="45"/>
  <c r="V29" i="45"/>
  <c r="V75" i="45"/>
  <c r="V55" i="45"/>
  <c r="V93" i="45"/>
  <c r="V49" i="45"/>
  <c r="V39" i="45"/>
  <c r="V21" i="45"/>
  <c r="V85" i="45"/>
  <c r="V79" i="45"/>
  <c r="V52" i="45"/>
  <c r="V33" i="45"/>
  <c r="Z12" i="45"/>
  <c r="V90" i="45"/>
  <c r="V46" i="45"/>
  <c r="V30" i="45"/>
  <c r="V27" i="45"/>
  <c r="V88" i="45"/>
  <c r="V83" i="45"/>
  <c r="V36" i="45"/>
  <c r="V26" i="45"/>
  <c r="V24" i="45"/>
  <c r="V22" i="45"/>
  <c r="V67" i="45"/>
  <c r="V64" i="45"/>
  <c r="V31" i="45"/>
  <c r="V61" i="45"/>
  <c r="V59" i="45"/>
  <c r="V69" i="45"/>
  <c r="V34" i="45"/>
  <c r="V28" i="45"/>
  <c r="T24" i="45"/>
  <c r="V43" i="45"/>
  <c r="V47" i="45"/>
  <c r="V40" i="45"/>
  <c r="V37" i="45"/>
  <c r="V66" i="45"/>
  <c r="R92" i="33"/>
  <c r="D129" i="36"/>
  <c r="Z119" i="27"/>
  <c r="T151" i="30"/>
  <c r="J136" i="24"/>
  <c r="J128" i="24"/>
  <c r="J120" i="24"/>
  <c r="J137" i="24"/>
  <c r="J129" i="24"/>
  <c r="J138" i="24"/>
  <c r="J130" i="24"/>
  <c r="J141" i="24"/>
  <c r="J125" i="24"/>
  <c r="J115" i="24"/>
  <c r="J132" i="24"/>
  <c r="J135" i="24"/>
  <c r="J110" i="24"/>
  <c r="J96" i="24"/>
  <c r="H83" i="24"/>
  <c r="J78" i="24"/>
  <c r="J74" i="24"/>
  <c r="J70" i="24"/>
  <c r="J66" i="24"/>
  <c r="J62" i="24"/>
  <c r="J58" i="24"/>
  <c r="J126" i="24"/>
  <c r="J118" i="24"/>
  <c r="J111" i="24"/>
  <c r="J101" i="24"/>
  <c r="J97" i="24"/>
  <c r="J102" i="24"/>
  <c r="J92" i="24"/>
  <c r="J88" i="24"/>
  <c r="J133" i="24"/>
  <c r="J123" i="24"/>
  <c r="J119" i="24"/>
  <c r="J112" i="24"/>
  <c r="J103" i="24"/>
  <c r="J79" i="24"/>
  <c r="J75" i="24"/>
  <c r="J71" i="24"/>
  <c r="J67" i="24"/>
  <c r="J63" i="24"/>
  <c r="J59" i="24"/>
  <c r="J127" i="24"/>
  <c r="J104" i="24"/>
  <c r="J98" i="24"/>
  <c r="J124" i="24"/>
  <c r="J113" i="24"/>
  <c r="J105" i="24"/>
  <c r="J93" i="24"/>
  <c r="J89" i="24"/>
  <c r="J140" i="24"/>
  <c r="J106" i="24"/>
  <c r="J80" i="24"/>
  <c r="J76" i="24"/>
  <c r="J72" i="24"/>
  <c r="J68" i="24"/>
  <c r="J64" i="24"/>
  <c r="J60" i="24"/>
  <c r="J131" i="24"/>
  <c r="J114" i="24"/>
  <c r="J107" i="24"/>
  <c r="J99" i="24"/>
  <c r="J134" i="24"/>
  <c r="J121" i="24"/>
  <c r="J94" i="24"/>
  <c r="J90" i="24"/>
  <c r="J145" i="24"/>
  <c r="J116" i="24"/>
  <c r="J108" i="24"/>
  <c r="J100" i="24"/>
  <c r="J86" i="24"/>
  <c r="N12" i="24"/>
  <c r="J87" i="24"/>
  <c r="J117" i="24"/>
  <c r="J109" i="24"/>
  <c r="J77" i="24"/>
  <c r="J57" i="24"/>
  <c r="J91" i="24"/>
  <c r="J69" i="24"/>
  <c r="J61" i="24"/>
  <c r="J81" i="24"/>
  <c r="J95" i="24"/>
  <c r="J73" i="24"/>
  <c r="L12" i="24"/>
  <c r="J85" i="24"/>
  <c r="J65" i="24"/>
  <c r="J122" i="24"/>
  <c r="Z261" i="15"/>
  <c r="J262" i="15"/>
  <c r="J252" i="15"/>
  <c r="J246" i="15"/>
  <c r="J242" i="15"/>
  <c r="J230" i="15"/>
  <c r="J214" i="15"/>
  <c r="J204" i="15"/>
  <c r="J196" i="15"/>
  <c r="J166" i="15"/>
  <c r="J162" i="15"/>
  <c r="J158" i="15"/>
  <c r="J154" i="15"/>
  <c r="J150" i="15"/>
  <c r="J146" i="15"/>
  <c r="J142" i="15"/>
  <c r="J138" i="15"/>
  <c r="J134" i="15"/>
  <c r="J130" i="15"/>
  <c r="J126" i="15"/>
  <c r="J122" i="15"/>
  <c r="J118" i="15"/>
  <c r="J261" i="15"/>
  <c r="J253" i="15"/>
  <c r="J225" i="15"/>
  <c r="J215" i="15"/>
  <c r="J205" i="15"/>
  <c r="J197" i="15"/>
  <c r="J189" i="15"/>
  <c r="J185" i="15"/>
  <c r="J254" i="15"/>
  <c r="J236" i="15"/>
  <c r="J216" i="15"/>
  <c r="J206" i="15"/>
  <c r="J198" i="15"/>
  <c r="J180" i="15"/>
  <c r="J176" i="15"/>
  <c r="J255" i="15"/>
  <c r="J247" i="15"/>
  <c r="J243" i="15"/>
  <c r="J237" i="15"/>
  <c r="J231" i="15"/>
  <c r="J217" i="15"/>
  <c r="J207" i="15"/>
  <c r="J199" i="15"/>
  <c r="J167" i="15"/>
  <c r="J163" i="15"/>
  <c r="J159" i="15"/>
  <c r="J155" i="15"/>
  <c r="J151" i="15"/>
  <c r="J147" i="15"/>
  <c r="J143" i="15"/>
  <c r="J139" i="15"/>
  <c r="J135" i="15"/>
  <c r="J131" i="15"/>
  <c r="J127" i="15"/>
  <c r="J123" i="15"/>
  <c r="J119" i="15"/>
  <c r="J270" i="15"/>
  <c r="J238" i="15"/>
  <c r="J232" i="15"/>
  <c r="J226" i="15"/>
  <c r="J218" i="15"/>
  <c r="J208" i="15"/>
  <c r="J190" i="15"/>
  <c r="J186" i="15"/>
  <c r="J269" i="15"/>
  <c r="J233" i="15"/>
  <c r="J219" i="15"/>
  <c r="J209" i="15"/>
  <c r="J191" i="15"/>
  <c r="J181" i="15"/>
  <c r="J177" i="15"/>
  <c r="J274" i="15"/>
  <c r="J268" i="15"/>
  <c r="J256" i="15"/>
  <c r="J248" i="15"/>
  <c r="J244" i="15"/>
  <c r="J267" i="15"/>
  <c r="J249" i="15"/>
  <c r="J239" i="15"/>
  <c r="J227" i="15"/>
  <c r="J221" i="15"/>
  <c r="J211" i="15"/>
  <c r="J201" i="15"/>
  <c r="J193" i="15"/>
  <c r="J187" i="15"/>
  <c r="J173" i="15"/>
  <c r="J266" i="15"/>
  <c r="J250" i="15"/>
  <c r="J240" i="15"/>
  <c r="J234" i="15"/>
  <c r="J228" i="15"/>
  <c r="J222" i="15"/>
  <c r="J202" i="15"/>
  <c r="J194" i="15"/>
  <c r="J182" i="15"/>
  <c r="J178" i="15"/>
  <c r="J174" i="15"/>
  <c r="J172" i="15"/>
  <c r="J265" i="15"/>
  <c r="J257" i="15"/>
  <c r="J245" i="15"/>
  <c r="J241" i="15"/>
  <c r="J229" i="15"/>
  <c r="J223" i="15"/>
  <c r="J183" i="15"/>
  <c r="H170" i="15"/>
  <c r="J170" i="15" s="1"/>
  <c r="J165" i="15"/>
  <c r="J161" i="15"/>
  <c r="J157" i="15"/>
  <c r="J153" i="15"/>
  <c r="J149" i="15"/>
  <c r="J145" i="15"/>
  <c r="J141" i="15"/>
  <c r="J137" i="15"/>
  <c r="J133" i="15"/>
  <c r="J129" i="15"/>
  <c r="J125" i="15"/>
  <c r="J121" i="15"/>
  <c r="J220" i="15"/>
  <c r="J188" i="15"/>
  <c r="J179" i="15"/>
  <c r="J156" i="15"/>
  <c r="J264" i="15"/>
  <c r="J259" i="15"/>
  <c r="J210" i="15"/>
  <c r="J192" i="15"/>
  <c r="J160" i="15"/>
  <c r="J132" i="15"/>
  <c r="J212" i="15"/>
  <c r="J200" i="15"/>
  <c r="J117" i="15"/>
  <c r="J144" i="15"/>
  <c r="J124" i="15"/>
  <c r="J258" i="15"/>
  <c r="J164" i="15"/>
  <c r="J213" i="15"/>
  <c r="J148" i="15"/>
  <c r="J136" i="15"/>
  <c r="N12" i="15"/>
  <c r="J251" i="15"/>
  <c r="J175" i="15"/>
  <c r="J152" i="15"/>
  <c r="J128" i="15"/>
  <c r="J263" i="15"/>
  <c r="J224" i="15"/>
  <c r="J140" i="15"/>
  <c r="J203" i="15"/>
  <c r="J168" i="15"/>
  <c r="J120" i="15"/>
  <c r="J195" i="15"/>
  <c r="J235" i="15"/>
  <c r="J184" i="15"/>
  <c r="Z270" i="12"/>
  <c r="H326" i="3"/>
  <c r="P326" i="3"/>
  <c r="X211" i="3"/>
  <c r="D326" i="3"/>
  <c r="L211" i="3"/>
  <c r="N211" i="3" s="1"/>
  <c r="T27" i="112"/>
  <c r="Z18" i="112"/>
  <c r="X18" i="111"/>
  <c r="P27" i="111"/>
  <c r="H27" i="111"/>
  <c r="N18" i="111"/>
  <c r="P27" i="53"/>
  <c r="X18" i="53"/>
  <c r="X18" i="43"/>
  <c r="P27" i="43"/>
  <c r="L18" i="38"/>
  <c r="D27" i="38"/>
  <c r="X18" i="35"/>
  <c r="P27" i="35"/>
  <c r="X18" i="29"/>
  <c r="P27" i="29"/>
  <c r="D27" i="34"/>
  <c r="L18" i="34"/>
  <c r="L18" i="26"/>
  <c r="D27" i="26"/>
  <c r="X18" i="20"/>
  <c r="P27" i="20"/>
  <c r="X18" i="16"/>
  <c r="P27" i="16"/>
  <c r="T27" i="22"/>
  <c r="Z18" i="22"/>
  <c r="P27" i="23"/>
  <c r="X18" i="23"/>
  <c r="H27" i="5"/>
  <c r="N18" i="5"/>
  <c r="H27" i="7"/>
  <c r="N18" i="7"/>
  <c r="H27" i="10"/>
  <c r="N18" i="10"/>
  <c r="R84" i="87"/>
  <c r="R73" i="87"/>
  <c r="R69" i="87"/>
  <c r="R88" i="87"/>
  <c r="R75" i="87"/>
  <c r="R74" i="87"/>
  <c r="R70" i="87"/>
  <c r="R47" i="87"/>
  <c r="R46" i="87"/>
  <c r="R71" i="87"/>
  <c r="R79" i="87"/>
  <c r="R66" i="87"/>
  <c r="R42" i="87"/>
  <c r="R41" i="87"/>
  <c r="R29" i="87"/>
  <c r="R25" i="87"/>
  <c r="R82" i="87"/>
  <c r="R67" i="87"/>
  <c r="R62" i="87"/>
  <c r="R72" i="87"/>
  <c r="R59" i="87"/>
  <c r="R49" i="87"/>
  <c r="R48" i="87"/>
  <c r="R44" i="87"/>
  <c r="R43" i="87"/>
  <c r="R35" i="87"/>
  <c r="R16" i="87"/>
  <c r="R54" i="87"/>
  <c r="R30" i="87"/>
  <c r="R26" i="87"/>
  <c r="R60" i="87"/>
  <c r="R55" i="87"/>
  <c r="R17" i="87"/>
  <c r="R80" i="87"/>
  <c r="R68" i="87"/>
  <c r="R64" i="87"/>
  <c r="R63" i="87"/>
  <c r="R51" i="87"/>
  <c r="R50" i="87"/>
  <c r="R45" i="87"/>
  <c r="R36" i="87"/>
  <c r="X12" i="87"/>
  <c r="R56" i="87"/>
  <c r="R32" i="87"/>
  <c r="R31" i="87"/>
  <c r="R27" i="87"/>
  <c r="R23" i="87"/>
  <c r="R18" i="87"/>
  <c r="R81" i="87"/>
  <c r="R77" i="87"/>
  <c r="R76" i="87"/>
  <c r="R65" i="87"/>
  <c r="R61" i="87"/>
  <c r="R38" i="87"/>
  <c r="R37" i="87"/>
  <c r="R33" i="87"/>
  <c r="R22" i="87"/>
  <c r="R78" i="87"/>
  <c r="R39" i="87"/>
  <c r="R53" i="87"/>
  <c r="R28" i="87"/>
  <c r="R57" i="87"/>
  <c r="R34" i="87"/>
  <c r="R40" i="87"/>
  <c r="P20" i="87"/>
  <c r="R20" i="87" s="1"/>
  <c r="R52" i="87"/>
  <c r="R24" i="87"/>
  <c r="R58" i="87"/>
  <c r="L17" i="99"/>
  <c r="D46" i="99"/>
  <c r="T122" i="70"/>
  <c r="N16" i="61"/>
  <c r="H53" i="61"/>
  <c r="V106" i="76"/>
  <c r="R140" i="24"/>
  <c r="R145" i="24"/>
  <c r="R131" i="24"/>
  <c r="R124" i="24"/>
  <c r="R135" i="24"/>
  <c r="R134" i="24"/>
  <c r="R127" i="24"/>
  <c r="R126" i="24"/>
  <c r="R119" i="24"/>
  <c r="R118" i="24"/>
  <c r="R130" i="24"/>
  <c r="R123" i="24"/>
  <c r="R112" i="24"/>
  <c r="R104" i="24"/>
  <c r="R103" i="24"/>
  <c r="R79" i="24"/>
  <c r="R75" i="24"/>
  <c r="R71" i="24"/>
  <c r="R67" i="24"/>
  <c r="R63" i="24"/>
  <c r="R59" i="24"/>
  <c r="R133" i="24"/>
  <c r="R113" i="24"/>
  <c r="R98" i="24"/>
  <c r="R136" i="24"/>
  <c r="R106" i="24"/>
  <c r="R105" i="24"/>
  <c r="R93" i="24"/>
  <c r="R89" i="24"/>
  <c r="R120" i="24"/>
  <c r="R80" i="24"/>
  <c r="R76" i="24"/>
  <c r="R72" i="24"/>
  <c r="R68" i="24"/>
  <c r="R64" i="24"/>
  <c r="R60" i="24"/>
  <c r="R114" i="24"/>
  <c r="R107" i="24"/>
  <c r="R99" i="24"/>
  <c r="R128" i="24"/>
  <c r="R121" i="24"/>
  <c r="R115" i="24"/>
  <c r="R94" i="24"/>
  <c r="R90" i="24"/>
  <c r="R137" i="24"/>
  <c r="R86" i="24"/>
  <c r="R81" i="24"/>
  <c r="R77" i="24"/>
  <c r="R73" i="24"/>
  <c r="R69" i="24"/>
  <c r="R65" i="24"/>
  <c r="R61" i="24"/>
  <c r="R125" i="24"/>
  <c r="R116" i="24"/>
  <c r="R109" i="24"/>
  <c r="R108" i="24"/>
  <c r="R100" i="24"/>
  <c r="R85" i="24"/>
  <c r="R83" i="24"/>
  <c r="R57" i="24"/>
  <c r="X12" i="24"/>
  <c r="R141" i="24"/>
  <c r="R129" i="24"/>
  <c r="R122" i="24"/>
  <c r="R117" i="24"/>
  <c r="R96" i="24"/>
  <c r="R95" i="24"/>
  <c r="R91" i="24"/>
  <c r="R87" i="24"/>
  <c r="P83" i="24"/>
  <c r="R132" i="24"/>
  <c r="R102" i="24"/>
  <c r="R101" i="24"/>
  <c r="R97" i="24"/>
  <c r="R138" i="24"/>
  <c r="R62" i="24"/>
  <c r="R74" i="24"/>
  <c r="R88" i="24"/>
  <c r="R66" i="24"/>
  <c r="R110" i="24"/>
  <c r="R78" i="24"/>
  <c r="R58" i="24"/>
  <c r="R111" i="24"/>
  <c r="R92" i="24"/>
  <c r="R70" i="24"/>
  <c r="X18" i="112"/>
  <c r="P27" i="112"/>
  <c r="L18" i="22"/>
  <c r="D27" i="22"/>
  <c r="P27" i="31"/>
  <c r="X18" i="31"/>
  <c r="L18" i="29"/>
  <c r="D27" i="29"/>
  <c r="X18" i="17"/>
  <c r="P27" i="17"/>
  <c r="T27" i="10"/>
  <c r="Z18" i="10"/>
  <c r="L18" i="5"/>
  <c r="D27" i="5"/>
  <c r="P73" i="109"/>
  <c r="X17" i="109"/>
  <c r="R17" i="109"/>
  <c r="H89" i="103"/>
  <c r="Z22" i="103"/>
  <c r="T85" i="103"/>
  <c r="D70" i="100"/>
  <c r="T89" i="101"/>
  <c r="D93" i="95"/>
  <c r="L20" i="95"/>
  <c r="J42" i="93"/>
  <c r="J30" i="93"/>
  <c r="J26" i="93"/>
  <c r="J53" i="93"/>
  <c r="J64" i="93"/>
  <c r="J60" i="93"/>
  <c r="J44" i="93"/>
  <c r="J65" i="93"/>
  <c r="J45" i="93"/>
  <c r="J66" i="93"/>
  <c r="J68" i="93"/>
  <c r="J56" i="93"/>
  <c r="J70" i="93"/>
  <c r="J62" i="93"/>
  <c r="J50" i="93"/>
  <c r="J72" i="93"/>
  <c r="J73" i="93"/>
  <c r="J55" i="93"/>
  <c r="J33" i="93"/>
  <c r="J16" i="93"/>
  <c r="J67" i="93"/>
  <c r="J52" i="93"/>
  <c r="J29" i="93"/>
  <c r="J17" i="93"/>
  <c r="J58" i="93"/>
  <c r="J49" i="93"/>
  <c r="N12" i="93"/>
  <c r="J77" i="93"/>
  <c r="J37" i="93"/>
  <c r="J34" i="93"/>
  <c r="J46" i="93"/>
  <c r="J18" i="93"/>
  <c r="J43" i="93"/>
  <c r="J27" i="93"/>
  <c r="J23" i="93"/>
  <c r="J24" i="93"/>
  <c r="J22" i="93"/>
  <c r="J20" i="93"/>
  <c r="J63" i="93"/>
  <c r="J47" i="93"/>
  <c r="J38" i="93"/>
  <c r="J35" i="93"/>
  <c r="H20" i="93"/>
  <c r="J69" i="93"/>
  <c r="J61" i="93"/>
  <c r="J59" i="93"/>
  <c r="J51" i="93"/>
  <c r="J39" i="93"/>
  <c r="J31" i="93"/>
  <c r="J54" i="93"/>
  <c r="J28" i="93"/>
  <c r="J25" i="93"/>
  <c r="J41" i="93"/>
  <c r="J32" i="93"/>
  <c r="J36" i="93"/>
  <c r="J57" i="93"/>
  <c r="J48" i="93"/>
  <c r="J40" i="93"/>
  <c r="X93" i="91"/>
  <c r="D30" i="85"/>
  <c r="L18" i="85"/>
  <c r="D86" i="87"/>
  <c r="L20" i="87"/>
  <c r="L22" i="82"/>
  <c r="D30" i="82"/>
  <c r="F61" i="80"/>
  <c r="F53" i="80"/>
  <c r="F52" i="80"/>
  <c r="F72" i="80"/>
  <c r="F68" i="80"/>
  <c r="F89" i="80"/>
  <c r="F86" i="80"/>
  <c r="F55" i="80"/>
  <c r="F54" i="80"/>
  <c r="F43" i="80"/>
  <c r="F42" i="80"/>
  <c r="F74" i="80"/>
  <c r="F73" i="80"/>
  <c r="F62" i="80"/>
  <c r="F76" i="80"/>
  <c r="F75" i="80"/>
  <c r="F64" i="80"/>
  <c r="F63" i="80"/>
  <c r="F78" i="80"/>
  <c r="F77" i="80"/>
  <c r="F70" i="80"/>
  <c r="F66" i="80"/>
  <c r="F65" i="80"/>
  <c r="F58" i="80"/>
  <c r="F18" i="80"/>
  <c r="F80" i="80"/>
  <c r="F49" i="80"/>
  <c r="F28" i="80"/>
  <c r="F84" i="80"/>
  <c r="F71" i="80"/>
  <c r="F33" i="80"/>
  <c r="F32" i="80"/>
  <c r="F25" i="80"/>
  <c r="F56" i="80"/>
  <c r="F46" i="80"/>
  <c r="F39" i="80"/>
  <c r="F36" i="80"/>
  <c r="F29" i="80"/>
  <c r="F82" i="80"/>
  <c r="F59" i="80"/>
  <c r="F50" i="80"/>
  <c r="F47" i="80"/>
  <c r="F44" i="80"/>
  <c r="F26" i="80"/>
  <c r="F20" i="80"/>
  <c r="L12" i="80"/>
  <c r="N12" i="80" s="1"/>
  <c r="F57" i="80"/>
  <c r="F40" i="80"/>
  <c r="F34" i="80"/>
  <c r="D20" i="80"/>
  <c r="F37" i="80"/>
  <c r="F30" i="80"/>
  <c r="F22" i="80"/>
  <c r="F16" i="80"/>
  <c r="F41" i="80"/>
  <c r="F27" i="80"/>
  <c r="F23" i="80"/>
  <c r="F67" i="80"/>
  <c r="F60" i="80"/>
  <c r="F51" i="80"/>
  <c r="F45" i="80"/>
  <c r="F17" i="80"/>
  <c r="F48" i="80"/>
  <c r="F35" i="80"/>
  <c r="F31" i="80"/>
  <c r="F24" i="80"/>
  <c r="F69" i="80"/>
  <c r="F38" i="80"/>
  <c r="F78" i="75"/>
  <c r="F68" i="75"/>
  <c r="F75" i="75"/>
  <c r="F53" i="75"/>
  <c r="F52" i="75"/>
  <c r="F45" i="75"/>
  <c r="D31" i="75"/>
  <c r="F66" i="75"/>
  <c r="F62" i="75"/>
  <c r="F40" i="75"/>
  <c r="F36" i="75"/>
  <c r="F70" i="75"/>
  <c r="F67" i="75"/>
  <c r="F55" i="75"/>
  <c r="F54" i="75"/>
  <c r="F46" i="75"/>
  <c r="F82" i="75"/>
  <c r="F57" i="75"/>
  <c r="F56" i="75"/>
  <c r="F41" i="75"/>
  <c r="F37" i="75"/>
  <c r="F77" i="75"/>
  <c r="F71" i="75"/>
  <c r="F63" i="75"/>
  <c r="F47" i="75"/>
  <c r="F73" i="75"/>
  <c r="F72" i="75"/>
  <c r="F58" i="75"/>
  <c r="F42" i="75"/>
  <c r="F38" i="75"/>
  <c r="F49" i="75"/>
  <c r="F48" i="75"/>
  <c r="F69" i="75"/>
  <c r="F64" i="75"/>
  <c r="F60" i="75"/>
  <c r="F59" i="75"/>
  <c r="F44" i="75"/>
  <c r="F43" i="75"/>
  <c r="L12" i="75"/>
  <c r="N12" i="75" s="1"/>
  <c r="F51" i="75"/>
  <c r="F34" i="75"/>
  <c r="F39" i="75"/>
  <c r="F29" i="75"/>
  <c r="F61" i="75"/>
  <c r="F50" i="75"/>
  <c r="F33" i="75"/>
  <c r="F35" i="75"/>
  <c r="F65" i="75"/>
  <c r="F74" i="75"/>
  <c r="F31" i="75"/>
  <c r="X117" i="70"/>
  <c r="N16" i="68"/>
  <c r="H58" i="68"/>
  <c r="X17" i="63"/>
  <c r="Z17" i="63" s="1"/>
  <c r="P104" i="63"/>
  <c r="L16" i="59"/>
  <c r="D65" i="59"/>
  <c r="H54" i="60"/>
  <c r="H72" i="57"/>
  <c r="N16" i="57"/>
  <c r="P77" i="58"/>
  <c r="X73" i="58"/>
  <c r="D72" i="57"/>
  <c r="L16" i="57"/>
  <c r="Z121" i="42"/>
  <c r="F24" i="45"/>
  <c r="L124" i="36"/>
  <c r="N124" i="36" s="1"/>
  <c r="F124" i="36"/>
  <c r="N287" i="18"/>
  <c r="P100" i="33"/>
  <c r="D109" i="21"/>
  <c r="J270" i="12"/>
  <c r="T27" i="52"/>
  <c r="Z18" i="52"/>
  <c r="H27" i="43"/>
  <c r="N18" i="43"/>
  <c r="D27" i="40"/>
  <c r="L18" i="40"/>
  <c r="T27" i="37"/>
  <c r="Z18" i="37"/>
  <c r="X18" i="37"/>
  <c r="P27" i="37"/>
  <c r="L18" i="25"/>
  <c r="D27" i="25"/>
  <c r="X18" i="22"/>
  <c r="P27" i="22"/>
  <c r="D27" i="16"/>
  <c r="L18" i="16"/>
  <c r="X18" i="10"/>
  <c r="P27" i="10"/>
  <c r="D77" i="109"/>
  <c r="V84" i="95"/>
  <c r="V56" i="95"/>
  <c r="V86" i="95"/>
  <c r="V78" i="95"/>
  <c r="V74" i="95"/>
  <c r="V91" i="95"/>
  <c r="V69" i="95"/>
  <c r="V57" i="95"/>
  <c r="V95" i="95"/>
  <c r="V81" i="95"/>
  <c r="V65" i="95"/>
  <c r="V80" i="95"/>
  <c r="V76" i="95"/>
  <c r="V72" i="95"/>
  <c r="V50" i="95"/>
  <c r="V38" i="95"/>
  <c r="V34" i="95"/>
  <c r="V71" i="95"/>
  <c r="V49" i="95"/>
  <c r="V41" i="95"/>
  <c r="V29" i="95"/>
  <c r="V25" i="95"/>
  <c r="V68" i="95"/>
  <c r="V58" i="95"/>
  <c r="V52" i="95"/>
  <c r="V40" i="95"/>
  <c r="V16" i="95"/>
  <c r="V85" i="95"/>
  <c r="V51" i="95"/>
  <c r="V43" i="95"/>
  <c r="V35" i="95"/>
  <c r="V88" i="95"/>
  <c r="V79" i="95"/>
  <c r="V66" i="95"/>
  <c r="V64" i="95"/>
  <c r="V61" i="95"/>
  <c r="V42" i="95"/>
  <c r="V30" i="95"/>
  <c r="V26" i="95"/>
  <c r="V54" i="95"/>
  <c r="V53" i="95"/>
  <c r="V45" i="95"/>
  <c r="V17" i="95"/>
  <c r="V82" i="95"/>
  <c r="V59" i="95"/>
  <c r="V44" i="95"/>
  <c r="V36" i="95"/>
  <c r="V32" i="95"/>
  <c r="V90" i="95"/>
  <c r="V77" i="95"/>
  <c r="V31" i="95"/>
  <c r="V27" i="95"/>
  <c r="V23" i="95"/>
  <c r="V83" i="95"/>
  <c r="V75" i="95"/>
  <c r="V46" i="95"/>
  <c r="V22" i="95"/>
  <c r="V20" i="95"/>
  <c r="V18" i="95"/>
  <c r="V73" i="95"/>
  <c r="V67" i="95"/>
  <c r="V48" i="95"/>
  <c r="V28" i="95"/>
  <c r="V24" i="95"/>
  <c r="V63" i="95"/>
  <c r="V47" i="95"/>
  <c r="V87" i="95"/>
  <c r="V33" i="95"/>
  <c r="V70" i="95"/>
  <c r="V60" i="95"/>
  <c r="T20" i="95"/>
  <c r="V62" i="95"/>
  <c r="V55" i="95"/>
  <c r="V39" i="95"/>
  <c r="V37" i="95"/>
  <c r="F48" i="104"/>
  <c r="F23" i="104"/>
  <c r="F21" i="104"/>
  <c r="F43" i="104"/>
  <c r="F42" i="104"/>
  <c r="F31" i="104"/>
  <c r="F50" i="104"/>
  <c r="F49" i="104"/>
  <c r="F26" i="104"/>
  <c r="F54" i="104"/>
  <c r="F52" i="104"/>
  <c r="F35" i="104"/>
  <c r="F34" i="104"/>
  <c r="F27" i="104"/>
  <c r="F56" i="104"/>
  <c r="F46" i="104"/>
  <c r="F37" i="104"/>
  <c r="F36" i="104"/>
  <c r="F29" i="104"/>
  <c r="F28" i="104"/>
  <c r="F32" i="104"/>
  <c r="F38" i="104"/>
  <c r="F61" i="104"/>
  <c r="F44" i="104"/>
  <c r="F41" i="104"/>
  <c r="F25" i="104"/>
  <c r="F30" i="104"/>
  <c r="F19" i="104"/>
  <c r="L12" i="104"/>
  <c r="N12" i="104" s="1"/>
  <c r="F33" i="104"/>
  <c r="F58" i="104"/>
  <c r="F39" i="104"/>
  <c r="F47" i="104"/>
  <c r="F45" i="104"/>
  <c r="D21" i="104"/>
  <c r="F40" i="104"/>
  <c r="F17" i="104"/>
  <c r="F18" i="104"/>
  <c r="F24" i="104"/>
  <c r="T104" i="63"/>
  <c r="P57" i="60"/>
  <c r="F149" i="30"/>
  <c r="F120" i="30"/>
  <c r="F112" i="30"/>
  <c r="F111" i="30"/>
  <c r="F92" i="30"/>
  <c r="F91" i="30"/>
  <c r="F68" i="30"/>
  <c r="F64" i="30"/>
  <c r="F60" i="30"/>
  <c r="F56" i="30"/>
  <c r="F52" i="30"/>
  <c r="F48" i="30"/>
  <c r="F153" i="30"/>
  <c r="F148" i="30"/>
  <c r="F139" i="30"/>
  <c r="F138" i="30"/>
  <c r="F127" i="30"/>
  <c r="F103" i="30"/>
  <c r="F102" i="30"/>
  <c r="F87" i="30"/>
  <c r="F134" i="30"/>
  <c r="F122" i="30"/>
  <c r="F121" i="30"/>
  <c r="F114" i="30"/>
  <c r="F113" i="30"/>
  <c r="F94" i="30"/>
  <c r="F93" i="30"/>
  <c r="F82" i="30"/>
  <c r="F78" i="30"/>
  <c r="F141" i="30"/>
  <c r="F140" i="30"/>
  <c r="F129" i="30"/>
  <c r="F128" i="30"/>
  <c r="F105" i="30"/>
  <c r="F104" i="30"/>
  <c r="F69" i="30"/>
  <c r="F65" i="30"/>
  <c r="F61" i="30"/>
  <c r="F57" i="30"/>
  <c r="F53" i="30"/>
  <c r="F49" i="30"/>
  <c r="F116" i="30"/>
  <c r="F115" i="30"/>
  <c r="F96" i="30"/>
  <c r="F95" i="30"/>
  <c r="F88" i="30"/>
  <c r="L12" i="30"/>
  <c r="F143" i="30"/>
  <c r="F142" i="30"/>
  <c r="F135" i="30"/>
  <c r="F123" i="30"/>
  <c r="F83" i="30"/>
  <c r="F79" i="30"/>
  <c r="F130" i="30"/>
  <c r="F118" i="30"/>
  <c r="F117" i="30"/>
  <c r="F106" i="30"/>
  <c r="F125" i="30"/>
  <c r="F124" i="30"/>
  <c r="F89" i="30"/>
  <c r="F85" i="30"/>
  <c r="F84" i="30"/>
  <c r="F144" i="30"/>
  <c r="F136" i="30"/>
  <c r="F132" i="30"/>
  <c r="F131" i="30"/>
  <c r="F108" i="30"/>
  <c r="F107" i="30"/>
  <c r="F80" i="30"/>
  <c r="F76" i="30"/>
  <c r="F75" i="30"/>
  <c r="F146" i="30"/>
  <c r="F145" i="30"/>
  <c r="F126" i="30"/>
  <c r="F110" i="30"/>
  <c r="F109" i="30"/>
  <c r="F90" i="30"/>
  <c r="F86" i="30"/>
  <c r="D72" i="30"/>
  <c r="F72" i="30" s="1"/>
  <c r="F137" i="30"/>
  <c r="F67" i="30"/>
  <c r="F62" i="30"/>
  <c r="F100" i="30"/>
  <c r="F98" i="30"/>
  <c r="F47" i="30"/>
  <c r="F74" i="30"/>
  <c r="F59" i="30"/>
  <c r="F54" i="30"/>
  <c r="F81" i="30"/>
  <c r="F51" i="30"/>
  <c r="F66" i="30"/>
  <c r="F133" i="30"/>
  <c r="F101" i="30"/>
  <c r="F99" i="30"/>
  <c r="F97" i="30"/>
  <c r="F63" i="30"/>
  <c r="F58" i="30"/>
  <c r="F77" i="30"/>
  <c r="F119" i="30"/>
  <c r="F70" i="30"/>
  <c r="F50" i="30"/>
  <c r="F55" i="30"/>
  <c r="F46" i="30"/>
  <c r="L18" i="112"/>
  <c r="D27" i="112"/>
  <c r="H27" i="52"/>
  <c r="N18" i="52"/>
  <c r="T27" i="34"/>
  <c r="Z18" i="34"/>
  <c r="T27" i="31"/>
  <c r="Z18" i="31"/>
  <c r="H27" i="19"/>
  <c r="N18" i="19"/>
  <c r="H27" i="17"/>
  <c r="N18" i="17"/>
  <c r="L16" i="108"/>
  <c r="D37" i="108"/>
  <c r="R63" i="107"/>
  <c r="R31" i="107"/>
  <c r="R27" i="107"/>
  <c r="R82" i="107"/>
  <c r="R74" i="107"/>
  <c r="R70" i="107"/>
  <c r="R55" i="107"/>
  <c r="R54" i="107"/>
  <c r="R43" i="107"/>
  <c r="R42" i="107"/>
  <c r="R18" i="107"/>
  <c r="R37" i="107"/>
  <c r="R65" i="107"/>
  <c r="R64" i="107"/>
  <c r="R57" i="107"/>
  <c r="R56" i="107"/>
  <c r="R83" i="107"/>
  <c r="R75" i="107"/>
  <c r="R71" i="107"/>
  <c r="R24" i="107"/>
  <c r="R85" i="107"/>
  <c r="R66" i="107"/>
  <c r="R59" i="107"/>
  <c r="R58" i="107"/>
  <c r="R47" i="107"/>
  <c r="R46" i="107"/>
  <c r="R38" i="107"/>
  <c r="R23" i="107"/>
  <c r="R77" i="107"/>
  <c r="R76" i="107"/>
  <c r="R72" i="107"/>
  <c r="R61" i="107"/>
  <c r="R60" i="107"/>
  <c r="R49" i="107"/>
  <c r="R48" i="107"/>
  <c r="R89" i="107"/>
  <c r="R67" i="107"/>
  <c r="R39" i="107"/>
  <c r="R35" i="107"/>
  <c r="R73" i="107"/>
  <c r="R52" i="107"/>
  <c r="R40" i="107"/>
  <c r="R68" i="107"/>
  <c r="R45" i="107"/>
  <c r="R79" i="107"/>
  <c r="R81" i="107"/>
  <c r="R50" i="107"/>
  <c r="R33" i="107"/>
  <c r="R29" i="107"/>
  <c r="R25" i="107"/>
  <c r="R17" i="107"/>
  <c r="R53" i="107"/>
  <c r="R41" i="107"/>
  <c r="R19" i="107"/>
  <c r="X12" i="107"/>
  <c r="R51" i="107"/>
  <c r="R69" i="107"/>
  <c r="R34" i="107"/>
  <c r="R80" i="107"/>
  <c r="R44" i="107"/>
  <c r="R78" i="107"/>
  <c r="R36" i="107"/>
  <c r="R62" i="107"/>
  <c r="R26" i="107"/>
  <c r="R28" i="107"/>
  <c r="R30" i="107"/>
  <c r="P21" i="107"/>
  <c r="R32" i="107"/>
  <c r="H87" i="107"/>
  <c r="D92" i="105"/>
  <c r="D85" i="103"/>
  <c r="L22" i="103"/>
  <c r="N22" i="103" s="1"/>
  <c r="N17" i="99"/>
  <c r="H46" i="99"/>
  <c r="H97" i="91"/>
  <c r="N16" i="91"/>
  <c r="T77" i="88"/>
  <c r="F22" i="82"/>
  <c r="H71" i="78"/>
  <c r="J27" i="78"/>
  <c r="H73" i="79"/>
  <c r="J107" i="74"/>
  <c r="J87" i="74"/>
  <c r="J77" i="74"/>
  <c r="J65" i="74"/>
  <c r="J51" i="74"/>
  <c r="J47" i="74"/>
  <c r="J43" i="74"/>
  <c r="J39" i="74"/>
  <c r="J108" i="74"/>
  <c r="J94" i="74"/>
  <c r="J88" i="74"/>
  <c r="J78" i="74"/>
  <c r="J70" i="74"/>
  <c r="J66" i="74"/>
  <c r="J56" i="74"/>
  <c r="J109" i="74"/>
  <c r="J101" i="74"/>
  <c r="J95" i="74"/>
  <c r="J89" i="74"/>
  <c r="J79" i="74"/>
  <c r="J61" i="74"/>
  <c r="J57" i="74"/>
  <c r="J55" i="74"/>
  <c r="J53" i="74"/>
  <c r="J35" i="74"/>
  <c r="J96" i="74"/>
  <c r="J80" i="74"/>
  <c r="H53" i="74"/>
  <c r="J48" i="74"/>
  <c r="J71" i="74"/>
  <c r="J67" i="74"/>
  <c r="J110" i="74"/>
  <c r="J102" i="74"/>
  <c r="J90" i="74"/>
  <c r="J72" i="74"/>
  <c r="J62" i="74"/>
  <c r="J58" i="74"/>
  <c r="J113" i="74"/>
  <c r="J97" i="74"/>
  <c r="J81" i="74"/>
  <c r="J73" i="74"/>
  <c r="J49" i="74"/>
  <c r="J45" i="74"/>
  <c r="J112" i="74"/>
  <c r="J98" i="74"/>
  <c r="J82" i="74"/>
  <c r="J74" i="74"/>
  <c r="J68" i="74"/>
  <c r="J117" i="74"/>
  <c r="J103" i="74"/>
  <c r="J99" i="74"/>
  <c r="J91" i="74"/>
  <c r="J83" i="74"/>
  <c r="J75" i="74"/>
  <c r="J63" i="74"/>
  <c r="J59" i="74"/>
  <c r="J104" i="74"/>
  <c r="J92" i="74"/>
  <c r="J84" i="74"/>
  <c r="J50" i="74"/>
  <c r="J46" i="74"/>
  <c r="J42" i="74"/>
  <c r="J38" i="74"/>
  <c r="J86" i="74"/>
  <c r="J60" i="74"/>
  <c r="J76" i="74"/>
  <c r="J69" i="74"/>
  <c r="J36" i="74"/>
  <c r="J40" i="74"/>
  <c r="J105" i="74"/>
  <c r="J64" i="74"/>
  <c r="J44" i="74"/>
  <c r="J100" i="74"/>
  <c r="J93" i="74"/>
  <c r="J85" i="74"/>
  <c r="J41" i="74"/>
  <c r="J106" i="74"/>
  <c r="J37" i="74"/>
  <c r="H80" i="75"/>
  <c r="P65" i="59"/>
  <c r="X16" i="59"/>
  <c r="H26" i="67"/>
  <c r="N22" i="67"/>
  <c r="R104" i="70"/>
  <c r="R103" i="70"/>
  <c r="R88" i="70"/>
  <c r="R87" i="70"/>
  <c r="R79" i="70"/>
  <c r="R64" i="70"/>
  <c r="R62" i="70"/>
  <c r="R44" i="70"/>
  <c r="R110" i="70"/>
  <c r="R98" i="70"/>
  <c r="R75" i="70"/>
  <c r="R74" i="70"/>
  <c r="R70" i="70"/>
  <c r="R66" i="70"/>
  <c r="P62" i="70"/>
  <c r="R105" i="70"/>
  <c r="R90" i="70"/>
  <c r="R89" i="70"/>
  <c r="R57" i="70"/>
  <c r="R53" i="70"/>
  <c r="R49" i="70"/>
  <c r="R45" i="70"/>
  <c r="R81" i="70"/>
  <c r="R80" i="70"/>
  <c r="R76" i="70"/>
  <c r="X12" i="70"/>
  <c r="Z12" i="70" s="1"/>
  <c r="R112" i="70"/>
  <c r="R111" i="70"/>
  <c r="R99" i="70"/>
  <c r="R91" i="70"/>
  <c r="R71" i="70"/>
  <c r="R67" i="70"/>
  <c r="R106" i="70"/>
  <c r="R119" i="70"/>
  <c r="R101" i="70"/>
  <c r="R100" i="70"/>
  <c r="R93" i="70"/>
  <c r="R92" i="70"/>
  <c r="R84" i="70"/>
  <c r="R72" i="70"/>
  <c r="R68" i="70"/>
  <c r="R118" i="70"/>
  <c r="R115" i="70"/>
  <c r="R107" i="70"/>
  <c r="R59" i="70"/>
  <c r="R55" i="70"/>
  <c r="R51" i="70"/>
  <c r="R47" i="70"/>
  <c r="R86" i="70"/>
  <c r="R85" i="70"/>
  <c r="R73" i="70"/>
  <c r="R69" i="70"/>
  <c r="R108" i="70"/>
  <c r="R94" i="70"/>
  <c r="R77" i="70"/>
  <c r="R46" i="70"/>
  <c r="R97" i="70"/>
  <c r="R65" i="70"/>
  <c r="R124" i="70"/>
  <c r="R114" i="70"/>
  <c r="R50" i="70"/>
  <c r="R48" i="70"/>
  <c r="R95" i="70"/>
  <c r="R82" i="70"/>
  <c r="R109" i="70"/>
  <c r="R54" i="70"/>
  <c r="R52" i="70"/>
  <c r="R117" i="70"/>
  <c r="R78" i="70"/>
  <c r="R58" i="70"/>
  <c r="R56" i="70"/>
  <c r="R83" i="70"/>
  <c r="R60" i="70"/>
  <c r="R113" i="70"/>
  <c r="R102" i="70"/>
  <c r="R120" i="70"/>
  <c r="R96" i="70"/>
  <c r="N16" i="59"/>
  <c r="H65" i="59"/>
  <c r="D50" i="60"/>
  <c r="L16" i="60"/>
  <c r="T73" i="48"/>
  <c r="R99" i="42"/>
  <c r="R98" i="42"/>
  <c r="R87" i="42"/>
  <c r="R86" i="42"/>
  <c r="R71" i="42"/>
  <c r="R70" i="42"/>
  <c r="R51" i="42"/>
  <c r="R50" i="42"/>
  <c r="R46" i="42"/>
  <c r="R93" i="42"/>
  <c r="R82" i="42"/>
  <c r="R81" i="42"/>
  <c r="R41" i="42"/>
  <c r="R37" i="42"/>
  <c r="R116" i="42"/>
  <c r="R108" i="42"/>
  <c r="R104" i="42"/>
  <c r="R100" i="42"/>
  <c r="R88" i="42"/>
  <c r="R72" i="42"/>
  <c r="R61" i="42"/>
  <c r="R60" i="42"/>
  <c r="R53" i="42"/>
  <c r="R52" i="42"/>
  <c r="R33" i="42"/>
  <c r="R28" i="42"/>
  <c r="R83" i="42"/>
  <c r="R47" i="42"/>
  <c r="R32" i="42"/>
  <c r="R94" i="42"/>
  <c r="R63" i="42"/>
  <c r="R62" i="42"/>
  <c r="R55" i="42"/>
  <c r="R54" i="42"/>
  <c r="R124" i="42"/>
  <c r="R118" i="42"/>
  <c r="R117" i="42"/>
  <c r="R110" i="42"/>
  <c r="R109" i="42"/>
  <c r="R105" i="42"/>
  <c r="R101" i="42"/>
  <c r="R90" i="42"/>
  <c r="R89" i="42"/>
  <c r="R122" i="42"/>
  <c r="R119" i="42"/>
  <c r="R112" i="42"/>
  <c r="R111" i="42"/>
  <c r="R96" i="42"/>
  <c r="R95" i="42"/>
  <c r="R91" i="42"/>
  <c r="R76" i="42"/>
  <c r="R75" i="42"/>
  <c r="R39" i="42"/>
  <c r="R35" i="42"/>
  <c r="R128" i="42"/>
  <c r="R121" i="42"/>
  <c r="R106" i="42"/>
  <c r="R102" i="42"/>
  <c r="R67" i="42"/>
  <c r="R66" i="42"/>
  <c r="R58" i="42"/>
  <c r="R92" i="42"/>
  <c r="R69" i="42"/>
  <c r="R68" i="42"/>
  <c r="R40" i="42"/>
  <c r="R36" i="42"/>
  <c r="R103" i="42"/>
  <c r="R78" i="42"/>
  <c r="R56" i="42"/>
  <c r="P30" i="42"/>
  <c r="R27" i="42"/>
  <c r="R115" i="42"/>
  <c r="R74" i="42"/>
  <c r="R65" i="42"/>
  <c r="R48" i="42"/>
  <c r="R44" i="42"/>
  <c r="R34" i="42"/>
  <c r="R113" i="42"/>
  <c r="R107" i="42"/>
  <c r="R38" i="42"/>
  <c r="R85" i="42"/>
  <c r="R57" i="42"/>
  <c r="R42" i="42"/>
  <c r="R79" i="42"/>
  <c r="R59" i="42"/>
  <c r="X12" i="42"/>
  <c r="R114" i="42"/>
  <c r="R26" i="42"/>
  <c r="R123" i="42"/>
  <c r="R97" i="42"/>
  <c r="R84" i="42"/>
  <c r="R80" i="42"/>
  <c r="R49" i="42"/>
  <c r="R45" i="42"/>
  <c r="R64" i="42"/>
  <c r="R73" i="42"/>
  <c r="R43" i="42"/>
  <c r="R77" i="42"/>
  <c r="D143" i="24"/>
  <c r="V104" i="21"/>
  <c r="V84" i="21"/>
  <c r="V68" i="21"/>
  <c r="V60" i="21"/>
  <c r="V48" i="21"/>
  <c r="V44" i="21"/>
  <c r="Z12" i="21"/>
  <c r="V103" i="21"/>
  <c r="V95" i="21"/>
  <c r="V91" i="21"/>
  <c r="V79" i="21"/>
  <c r="V71" i="21"/>
  <c r="V59" i="21"/>
  <c r="V51" i="21"/>
  <c r="V39" i="21"/>
  <c r="V35" i="21"/>
  <c r="V86" i="21"/>
  <c r="V78" i="21"/>
  <c r="V70" i="21"/>
  <c r="V62" i="21"/>
  <c r="V50" i="21"/>
  <c r="V26" i="21"/>
  <c r="V107" i="21"/>
  <c r="V105" i="21"/>
  <c r="V85" i="21"/>
  <c r="V81" i="21"/>
  <c r="V73" i="21"/>
  <c r="V61" i="21"/>
  <c r="V53" i="21"/>
  <c r="V45" i="21"/>
  <c r="V96" i="21"/>
  <c r="V92" i="21"/>
  <c r="V80" i="21"/>
  <c r="V72" i="21"/>
  <c r="V64" i="21"/>
  <c r="V52" i="21"/>
  <c r="V40" i="21"/>
  <c r="V36" i="21"/>
  <c r="V111" i="21"/>
  <c r="V97" i="21"/>
  <c r="V93" i="21"/>
  <c r="V89" i="21"/>
  <c r="V65" i="21"/>
  <c r="V41" i="21"/>
  <c r="V37" i="21"/>
  <c r="V33" i="21"/>
  <c r="V100" i="21"/>
  <c r="V88" i="21"/>
  <c r="V76" i="21"/>
  <c r="V56" i="21"/>
  <c r="V32" i="21"/>
  <c r="V30" i="21"/>
  <c r="V28" i="21"/>
  <c r="V102" i="21"/>
  <c r="V94" i="21"/>
  <c r="V90" i="21"/>
  <c r="V66" i="21"/>
  <c r="V58" i="21"/>
  <c r="V38" i="21"/>
  <c r="V34" i="21"/>
  <c r="V49" i="21"/>
  <c r="T30" i="21"/>
  <c r="V98" i="21"/>
  <c r="V54" i="21"/>
  <c r="V47" i="21"/>
  <c r="V69" i="21"/>
  <c r="V42" i="21"/>
  <c r="V83" i="21"/>
  <c r="V74" i="21"/>
  <c r="V67" i="21"/>
  <c r="V55" i="21"/>
  <c r="V87" i="21"/>
  <c r="V75" i="21"/>
  <c r="V63" i="21"/>
  <c r="V46" i="21"/>
  <c r="V82" i="21"/>
  <c r="V77" i="21"/>
  <c r="V57" i="21"/>
  <c r="V101" i="21"/>
  <c r="V99" i="21"/>
  <c r="V43" i="21"/>
  <c r="V27" i="21"/>
  <c r="R270" i="12"/>
  <c r="V270" i="12"/>
  <c r="V268" i="12"/>
  <c r="V260" i="12"/>
  <c r="V244" i="12"/>
  <c r="V240" i="12"/>
  <c r="V279" i="12"/>
  <c r="V283" i="12"/>
  <c r="V275" i="12"/>
  <c r="V265" i="12"/>
  <c r="V257" i="12"/>
  <c r="V253" i="12"/>
  <c r="V249" i="12"/>
  <c r="V237" i="12"/>
  <c r="V273" i="12"/>
  <c r="V267" i="12"/>
  <c r="V274" i="12"/>
  <c r="V258" i="12"/>
  <c r="V243" i="12"/>
  <c r="V236" i="12"/>
  <c r="V232" i="12"/>
  <c r="V224" i="12"/>
  <c r="V212" i="12"/>
  <c r="V204" i="12"/>
  <c r="V19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254" i="12"/>
  <c r="V251" i="12"/>
  <c r="V223" i="12"/>
  <c r="V215" i="12"/>
  <c r="V195" i="12"/>
  <c r="V191" i="12"/>
  <c r="V262" i="12"/>
  <c r="V248" i="12"/>
  <c r="V247" i="12"/>
  <c r="V226" i="12"/>
  <c r="V214" i="12"/>
  <c r="V206" i="12"/>
  <c r="V198" i="12"/>
  <c r="V186" i="12"/>
  <c r="V182" i="12"/>
  <c r="V178" i="12"/>
  <c r="V259" i="12"/>
  <c r="V233" i="12"/>
  <c r="V225" i="12"/>
  <c r="V205" i="12"/>
  <c r="V197" i="12"/>
  <c r="V177" i="12"/>
  <c r="V175" i="12"/>
  <c r="V173" i="12"/>
  <c r="V169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277" i="12"/>
  <c r="V276" i="12"/>
  <c r="V255" i="12"/>
  <c r="V252" i="12"/>
  <c r="V228" i="12"/>
  <c r="V216" i="12"/>
  <c r="V192" i="12"/>
  <c r="V188" i="12"/>
  <c r="T175" i="12"/>
  <c r="Z12" i="12"/>
  <c r="V263" i="12"/>
  <c r="V245" i="12"/>
  <c r="V241" i="12"/>
  <c r="V227" i="12"/>
  <c r="V207" i="12"/>
  <c r="V199" i="12"/>
  <c r="V187" i="12"/>
  <c r="V183" i="12"/>
  <c r="V179" i="12"/>
  <c r="V278" i="12"/>
  <c r="V230" i="12"/>
  <c r="V218" i="12"/>
  <c r="V271" i="12"/>
  <c r="V256" i="12"/>
  <c r="V234" i="12"/>
  <c r="V229" i="12"/>
  <c r="V217" i="12"/>
  <c r="V209" i="12"/>
  <c r="V201" i="12"/>
  <c r="V193" i="12"/>
  <c r="V189" i="12"/>
  <c r="V266" i="12"/>
  <c r="V239" i="12"/>
  <c r="V235" i="12"/>
  <c r="V220" i="12"/>
  <c r="V208" i="12"/>
  <c r="V200" i="12"/>
  <c r="V184" i="12"/>
  <c r="V180" i="12"/>
  <c r="V264" i="12"/>
  <c r="V250" i="12"/>
  <c r="V222" i="12"/>
  <c r="V210" i="12"/>
  <c r="V202" i="12"/>
  <c r="V194" i="12"/>
  <c r="V190" i="12"/>
  <c r="V272" i="12"/>
  <c r="V242" i="12"/>
  <c r="V159" i="12"/>
  <c r="V154" i="12"/>
  <c r="V130" i="12"/>
  <c r="V122" i="12"/>
  <c r="V246" i="12"/>
  <c r="V231" i="12"/>
  <c r="V211" i="12"/>
  <c r="V127" i="12"/>
  <c r="V171" i="12"/>
  <c r="V166" i="12"/>
  <c r="V151" i="12"/>
  <c r="V146" i="12"/>
  <c r="V138" i="12"/>
  <c r="V135" i="12"/>
  <c r="V213" i="12"/>
  <c r="V181" i="12"/>
  <c r="V163" i="12"/>
  <c r="V143" i="12"/>
  <c r="V219" i="12"/>
  <c r="V238" i="12"/>
  <c r="V158" i="12"/>
  <c r="V261" i="12"/>
  <c r="V221" i="12"/>
  <c r="V155" i="12"/>
  <c r="V126" i="12"/>
  <c r="V142" i="12"/>
  <c r="V170" i="12"/>
  <c r="V150" i="12"/>
  <c r="V134" i="12"/>
  <c r="V131" i="12"/>
  <c r="V123" i="12"/>
  <c r="V203" i="12"/>
  <c r="V185" i="12"/>
  <c r="V167" i="12"/>
  <c r="V162" i="12"/>
  <c r="V147" i="12"/>
  <c r="V139" i="12"/>
  <c r="H27" i="53"/>
  <c r="N18" i="53"/>
  <c r="N18" i="50"/>
  <c r="H27" i="50"/>
  <c r="X18" i="38"/>
  <c r="P27" i="38"/>
  <c r="H27" i="38"/>
  <c r="N18" i="38"/>
  <c r="X18" i="32"/>
  <c r="P27" i="32"/>
  <c r="L18" i="23"/>
  <c r="D27" i="23"/>
  <c r="D27" i="20"/>
  <c r="L18" i="20"/>
  <c r="T27" i="23"/>
  <c r="Z18" i="23"/>
  <c r="L18" i="19"/>
  <c r="D27" i="19"/>
  <c r="T27" i="17"/>
  <c r="Z18" i="17"/>
  <c r="X18" i="7"/>
  <c r="P27" i="7"/>
  <c r="T27" i="8"/>
  <c r="Z18" i="8"/>
  <c r="L18" i="10"/>
  <c r="D27" i="10"/>
  <c r="F104" i="84"/>
  <c r="F56" i="84"/>
  <c r="F52" i="84"/>
  <c r="F48" i="84"/>
  <c r="F44" i="84"/>
  <c r="F40" i="84"/>
  <c r="F119" i="84"/>
  <c r="F118" i="84"/>
  <c r="F111" i="84"/>
  <c r="F99" i="84"/>
  <c r="F98" i="84"/>
  <c r="F87" i="84"/>
  <c r="F86" i="84"/>
  <c r="F75" i="84"/>
  <c r="F71" i="84"/>
  <c r="F70" i="84"/>
  <c r="F106" i="84"/>
  <c r="F105" i="84"/>
  <c r="F66" i="84"/>
  <c r="F62" i="84"/>
  <c r="F61" i="84"/>
  <c r="F121" i="84"/>
  <c r="F120" i="84"/>
  <c r="F89" i="84"/>
  <c r="F88" i="84"/>
  <c r="F77" i="84"/>
  <c r="F76" i="84"/>
  <c r="F60" i="84"/>
  <c r="F58" i="84"/>
  <c r="F53" i="84"/>
  <c r="F49" i="84"/>
  <c r="F45" i="84"/>
  <c r="F41" i="84"/>
  <c r="F112" i="84"/>
  <c r="F100" i="84"/>
  <c r="F72" i="84"/>
  <c r="F107" i="84"/>
  <c r="F91" i="84"/>
  <c r="F90" i="84"/>
  <c r="F79" i="84"/>
  <c r="F78" i="84"/>
  <c r="F67" i="84"/>
  <c r="F63" i="84"/>
  <c r="F125" i="84"/>
  <c r="F123" i="84"/>
  <c r="F102" i="84"/>
  <c r="F101" i="84"/>
  <c r="F127" i="84"/>
  <c r="F113" i="84"/>
  <c r="F109" i="84"/>
  <c r="F108" i="84"/>
  <c r="F93" i="84"/>
  <c r="F92" i="84"/>
  <c r="F81" i="84"/>
  <c r="F80" i="84"/>
  <c r="F73" i="84"/>
  <c r="F68" i="84"/>
  <c r="F64" i="84"/>
  <c r="F110" i="84"/>
  <c r="F42" i="84"/>
  <c r="F116" i="84"/>
  <c r="F114" i="84"/>
  <c r="F96" i="84"/>
  <c r="F94" i="84"/>
  <c r="F85" i="84"/>
  <c r="F83" i="84"/>
  <c r="F65" i="84"/>
  <c r="F51" i="84"/>
  <c r="F55" i="84"/>
  <c r="F69" i="84"/>
  <c r="D58" i="84"/>
  <c r="F47" i="84"/>
  <c r="F38" i="84"/>
  <c r="F103" i="84"/>
  <c r="F43" i="84"/>
  <c r="F132" i="84"/>
  <c r="F117" i="84"/>
  <c r="F115" i="84"/>
  <c r="F97" i="84"/>
  <c r="F95" i="84"/>
  <c r="L12" i="84"/>
  <c r="N12" i="84" s="1"/>
  <c r="F129" i="84"/>
  <c r="F50" i="84"/>
  <c r="F82" i="84"/>
  <c r="F54" i="84"/>
  <c r="F39" i="84"/>
  <c r="F84" i="84"/>
  <c r="F74" i="84"/>
  <c r="F46" i="84"/>
  <c r="F100" i="74"/>
  <c r="F76" i="74"/>
  <c r="F64" i="74"/>
  <c r="F60" i="74"/>
  <c r="F107" i="74"/>
  <c r="F106" i="74"/>
  <c r="F87" i="74"/>
  <c r="F86" i="74"/>
  <c r="F51" i="74"/>
  <c r="F47" i="74"/>
  <c r="F43" i="74"/>
  <c r="F39" i="74"/>
  <c r="F94" i="74"/>
  <c r="F78" i="74"/>
  <c r="F77" i="74"/>
  <c r="F70" i="74"/>
  <c r="F66" i="74"/>
  <c r="F65" i="74"/>
  <c r="F109" i="74"/>
  <c r="F108" i="74"/>
  <c r="F101" i="74"/>
  <c r="F89" i="74"/>
  <c r="F88" i="74"/>
  <c r="F61" i="74"/>
  <c r="F57" i="74"/>
  <c r="F56" i="74"/>
  <c r="F96" i="74"/>
  <c r="F95" i="74"/>
  <c r="F80" i="74"/>
  <c r="F79" i="74"/>
  <c r="F55" i="74"/>
  <c r="F53" i="74"/>
  <c r="F48" i="74"/>
  <c r="F44" i="74"/>
  <c r="F40" i="74"/>
  <c r="F36" i="74"/>
  <c r="F35" i="74"/>
  <c r="F71" i="74"/>
  <c r="F67" i="74"/>
  <c r="D53" i="74"/>
  <c r="F110" i="74"/>
  <c r="F102" i="74"/>
  <c r="F90" i="74"/>
  <c r="F62" i="74"/>
  <c r="F58" i="74"/>
  <c r="F97" i="74"/>
  <c r="F81" i="74"/>
  <c r="F73" i="74"/>
  <c r="F72" i="74"/>
  <c r="F49" i="74"/>
  <c r="F45" i="74"/>
  <c r="F41" i="74"/>
  <c r="F37" i="74"/>
  <c r="F113" i="74"/>
  <c r="F68" i="74"/>
  <c r="L12" i="74"/>
  <c r="N12" i="74" s="1"/>
  <c r="F117" i="74"/>
  <c r="F112" i="74"/>
  <c r="F103" i="74"/>
  <c r="F99" i="74"/>
  <c r="F98" i="74"/>
  <c r="F91" i="74"/>
  <c r="F83" i="74"/>
  <c r="F82" i="74"/>
  <c r="F75" i="74"/>
  <c r="F74" i="74"/>
  <c r="F63" i="74"/>
  <c r="F59" i="74"/>
  <c r="F104" i="74"/>
  <c r="F50" i="74"/>
  <c r="F92" i="74"/>
  <c r="F84" i="74"/>
  <c r="F69" i="74"/>
  <c r="F38" i="74"/>
  <c r="F42" i="74"/>
  <c r="F105" i="74"/>
  <c r="F46" i="74"/>
  <c r="F85" i="74"/>
  <c r="F93" i="74"/>
  <c r="J124" i="70"/>
  <c r="J118" i="70"/>
  <c r="J102" i="70"/>
  <c r="J94" i="70"/>
  <c r="J78" i="70"/>
  <c r="J117" i="70"/>
  <c r="J95" i="70"/>
  <c r="J85" i="70"/>
  <c r="J73" i="70"/>
  <c r="J69" i="70"/>
  <c r="J108" i="70"/>
  <c r="J96" i="70"/>
  <c r="J86" i="70"/>
  <c r="J60" i="70"/>
  <c r="J56" i="70"/>
  <c r="J52" i="70"/>
  <c r="J48" i="70"/>
  <c r="J109" i="70"/>
  <c r="J103" i="70"/>
  <c r="J97" i="70"/>
  <c r="J87" i="70"/>
  <c r="J79" i="70"/>
  <c r="J65" i="70"/>
  <c r="J110" i="70"/>
  <c r="J104" i="70"/>
  <c r="J98" i="70"/>
  <c r="J88" i="70"/>
  <c r="J74" i="70"/>
  <c r="J70" i="70"/>
  <c r="J66" i="70"/>
  <c r="J64" i="70"/>
  <c r="J44" i="70"/>
  <c r="J105" i="70"/>
  <c r="J111" i="70"/>
  <c r="J99" i="70"/>
  <c r="J91" i="70"/>
  <c r="J81" i="70"/>
  <c r="J71" i="70"/>
  <c r="J67" i="70"/>
  <c r="J112" i="70"/>
  <c r="J106" i="70"/>
  <c r="J82" i="70"/>
  <c r="J58" i="70"/>
  <c r="J54" i="70"/>
  <c r="J50" i="70"/>
  <c r="J46" i="70"/>
  <c r="J120" i="70"/>
  <c r="J114" i="70"/>
  <c r="J100" i="70"/>
  <c r="J92" i="70"/>
  <c r="J84" i="70"/>
  <c r="J72" i="70"/>
  <c r="J68" i="70"/>
  <c r="J49" i="70"/>
  <c r="J115" i="70"/>
  <c r="J113" i="70"/>
  <c r="J51" i="70"/>
  <c r="J75" i="70"/>
  <c r="J53" i="70"/>
  <c r="J77" i="70"/>
  <c r="J55" i="70"/>
  <c r="J90" i="70"/>
  <c r="J57" i="70"/>
  <c r="J101" i="70"/>
  <c r="H62" i="70"/>
  <c r="J59" i="70"/>
  <c r="J119" i="70"/>
  <c r="J107" i="70"/>
  <c r="J76" i="70"/>
  <c r="J93" i="70"/>
  <c r="J45" i="70"/>
  <c r="J89" i="70"/>
  <c r="J47" i="70"/>
  <c r="J80" i="70"/>
  <c r="J83" i="70"/>
  <c r="T72" i="57"/>
  <c r="Z16" i="57"/>
  <c r="P73" i="48"/>
  <c r="X17" i="48"/>
  <c r="Z17" i="48" s="1"/>
  <c r="J107" i="51"/>
  <c r="J75" i="51"/>
  <c r="J51" i="51"/>
  <c r="J47" i="51"/>
  <c r="J43" i="51"/>
  <c r="J39" i="51"/>
  <c r="J106" i="51"/>
  <c r="J86" i="51"/>
  <c r="J76" i="51"/>
  <c r="J70" i="51"/>
  <c r="J97" i="51"/>
  <c r="J87" i="51"/>
  <c r="J77" i="51"/>
  <c r="J65" i="51"/>
  <c r="J61" i="51"/>
  <c r="J98" i="51"/>
  <c r="J88" i="51"/>
  <c r="J78" i="51"/>
  <c r="J99" i="51"/>
  <c r="J89" i="51"/>
  <c r="J79" i="51"/>
  <c r="J71" i="51"/>
  <c r="J102" i="51"/>
  <c r="J92" i="51"/>
  <c r="J82" i="51"/>
  <c r="J72" i="51"/>
  <c r="J58" i="51"/>
  <c r="N12" i="51"/>
  <c r="J103" i="51"/>
  <c r="J93" i="51"/>
  <c r="J83" i="51"/>
  <c r="J67" i="51"/>
  <c r="J63" i="51"/>
  <c r="J59" i="51"/>
  <c r="J57" i="51"/>
  <c r="J55" i="51"/>
  <c r="J108" i="51"/>
  <c r="J90" i="51"/>
  <c r="J64" i="51"/>
  <c r="J62" i="51"/>
  <c r="J41" i="51"/>
  <c r="J100" i="51"/>
  <c r="J80" i="51"/>
  <c r="J60" i="51"/>
  <c r="J69" i="51"/>
  <c r="J46" i="51"/>
  <c r="J109" i="51"/>
  <c r="J73" i="51"/>
  <c r="J44" i="51"/>
  <c r="J96" i="51"/>
  <c r="J91" i="51"/>
  <c r="J49" i="51"/>
  <c r="J84" i="51"/>
  <c r="H55" i="51"/>
  <c r="J110" i="51"/>
  <c r="J101" i="51"/>
  <c r="J81" i="51"/>
  <c r="J52" i="51"/>
  <c r="J42" i="51"/>
  <c r="J40" i="51"/>
  <c r="J94" i="51"/>
  <c r="J74" i="51"/>
  <c r="J68" i="51"/>
  <c r="J50" i="51"/>
  <c r="J45" i="51"/>
  <c r="J104" i="51"/>
  <c r="J95" i="51"/>
  <c r="J38" i="51"/>
  <c r="J53" i="51"/>
  <c r="J85" i="51"/>
  <c r="J48" i="51"/>
  <c r="J66" i="51"/>
  <c r="J114" i="51"/>
  <c r="V126" i="27"/>
  <c r="V104" i="27"/>
  <c r="V96" i="27"/>
  <c r="V88" i="27"/>
  <c r="V80" i="27"/>
  <c r="V111" i="27"/>
  <c r="V99" i="27"/>
  <c r="V87" i="27"/>
  <c r="V75" i="27"/>
  <c r="V71" i="27"/>
  <c r="V67" i="27"/>
  <c r="V110" i="27"/>
  <c r="V106" i="27"/>
  <c r="V98" i="27"/>
  <c r="V90" i="27"/>
  <c r="V66" i="27"/>
  <c r="V64" i="27"/>
  <c r="V62" i="27"/>
  <c r="V58" i="27"/>
  <c r="V54" i="27"/>
  <c r="V50" i="27"/>
  <c r="V46" i="27"/>
  <c r="V105" i="27"/>
  <c r="V89" i="27"/>
  <c r="V81" i="27"/>
  <c r="V77" i="27"/>
  <c r="T64" i="27"/>
  <c r="V112" i="27"/>
  <c r="V100" i="27"/>
  <c r="V92" i="27"/>
  <c r="V76" i="27"/>
  <c r="V72" i="27"/>
  <c r="V68" i="27"/>
  <c r="V113" i="27"/>
  <c r="V101" i="27"/>
  <c r="V93" i="27"/>
  <c r="V85" i="27"/>
  <c r="V73" i="27"/>
  <c r="V69" i="27"/>
  <c r="V122" i="27"/>
  <c r="V116" i="27"/>
  <c r="V108" i="27"/>
  <c r="V84" i="27"/>
  <c r="V60" i="27"/>
  <c r="V56" i="27"/>
  <c r="V52" i="27"/>
  <c r="V48" i="27"/>
  <c r="V120" i="27"/>
  <c r="V102" i="27"/>
  <c r="V94" i="27"/>
  <c r="V86" i="27"/>
  <c r="V74" i="27"/>
  <c r="V70" i="27"/>
  <c r="V97" i="27"/>
  <c r="V95" i="27"/>
  <c r="V59" i="27"/>
  <c r="V121" i="27"/>
  <c r="V109" i="27"/>
  <c r="V61" i="27"/>
  <c r="V82" i="27"/>
  <c r="V114" i="27"/>
  <c r="V91" i="27"/>
  <c r="V83" i="27"/>
  <c r="V79" i="27"/>
  <c r="V119" i="27"/>
  <c r="V47" i="27"/>
  <c r="V103" i="27"/>
  <c r="V51" i="27"/>
  <c r="V49" i="27"/>
  <c r="V117" i="27"/>
  <c r="V115" i="27"/>
  <c r="V57" i="27"/>
  <c r="V78" i="27"/>
  <c r="V53" i="27"/>
  <c r="V107" i="27"/>
  <c r="V55" i="27"/>
  <c r="J98" i="21"/>
  <c r="J88" i="21"/>
  <c r="J76" i="21"/>
  <c r="J56" i="21"/>
  <c r="J42" i="21"/>
  <c r="J28" i="21"/>
  <c r="J99" i="21"/>
  <c r="J89" i="21"/>
  <c r="J83" i="21"/>
  <c r="J47" i="21"/>
  <c r="J43" i="21"/>
  <c r="J33" i="21"/>
  <c r="J100" i="21"/>
  <c r="J94" i="21"/>
  <c r="J90" i="21"/>
  <c r="J66" i="21"/>
  <c r="J38" i="21"/>
  <c r="J34" i="21"/>
  <c r="J32" i="21"/>
  <c r="J101" i="21"/>
  <c r="J77" i="21"/>
  <c r="J67" i="21"/>
  <c r="J57" i="21"/>
  <c r="H30" i="21"/>
  <c r="J102" i="21"/>
  <c r="J84" i="21"/>
  <c r="J68" i="21"/>
  <c r="J58" i="21"/>
  <c r="J48" i="21"/>
  <c r="J44" i="21"/>
  <c r="N12" i="21"/>
  <c r="J103" i="21"/>
  <c r="J95" i="21"/>
  <c r="J91" i="21"/>
  <c r="J105" i="21"/>
  <c r="J85" i="21"/>
  <c r="J79" i="21"/>
  <c r="J71" i="21"/>
  <c r="J61" i="21"/>
  <c r="J51" i="21"/>
  <c r="J45" i="21"/>
  <c r="J96" i="21"/>
  <c r="J92" i="21"/>
  <c r="J86" i="21"/>
  <c r="J80" i="21"/>
  <c r="J72" i="21"/>
  <c r="J62" i="21"/>
  <c r="J52" i="21"/>
  <c r="J40" i="21"/>
  <c r="J36" i="21"/>
  <c r="J26" i="21"/>
  <c r="J82" i="21"/>
  <c r="J74" i="21"/>
  <c r="J64" i="21"/>
  <c r="J54" i="21"/>
  <c r="J46" i="21"/>
  <c r="J97" i="21"/>
  <c r="J73" i="21"/>
  <c r="J70" i="21"/>
  <c r="J27" i="21"/>
  <c r="J60" i="21"/>
  <c r="J41" i="21"/>
  <c r="J39" i="21"/>
  <c r="J37" i="21"/>
  <c r="J35" i="21"/>
  <c r="J104" i="21"/>
  <c r="J49" i="21"/>
  <c r="J107" i="21"/>
  <c r="J81" i="21"/>
  <c r="J78" i="21"/>
  <c r="J69" i="21"/>
  <c r="J111" i="21"/>
  <c r="J65" i="21"/>
  <c r="J59" i="21"/>
  <c r="J55" i="21"/>
  <c r="J50" i="21"/>
  <c r="J75" i="21"/>
  <c r="J87" i="21"/>
  <c r="J53" i="21"/>
  <c r="J63" i="21"/>
  <c r="J93" i="21"/>
  <c r="F96" i="33"/>
  <c r="F83" i="33"/>
  <c r="F75" i="33"/>
  <c r="F74" i="33"/>
  <c r="F85" i="33"/>
  <c r="F84" i="33"/>
  <c r="F60" i="33"/>
  <c r="F56" i="33"/>
  <c r="D42" i="33"/>
  <c r="L12" i="33"/>
  <c r="N12" i="33" s="1"/>
  <c r="F95" i="33"/>
  <c r="F51" i="33"/>
  <c r="F47" i="33"/>
  <c r="F98" i="33"/>
  <c r="F97" i="33"/>
  <c r="F62" i="33"/>
  <c r="F61" i="33"/>
  <c r="F38" i="33"/>
  <c r="F90" i="33"/>
  <c r="F89" i="33"/>
  <c r="F81" i="33"/>
  <c r="F76" i="33"/>
  <c r="F71" i="33"/>
  <c r="F57" i="33"/>
  <c r="F64" i="33"/>
  <c r="F63" i="33"/>
  <c r="F52" i="33"/>
  <c r="F48" i="33"/>
  <c r="F82" i="33"/>
  <c r="F77" i="33"/>
  <c r="F72" i="33"/>
  <c r="F39" i="33"/>
  <c r="F66" i="33"/>
  <c r="F65" i="33"/>
  <c r="F58" i="33"/>
  <c r="F73" i="33"/>
  <c r="F53" i="33"/>
  <c r="F49" i="33"/>
  <c r="F92" i="33"/>
  <c r="F86" i="33"/>
  <c r="F78" i="33"/>
  <c r="F68" i="33"/>
  <c r="F67" i="33"/>
  <c r="F40" i="33"/>
  <c r="F36" i="33"/>
  <c r="F35" i="33"/>
  <c r="F93" i="33"/>
  <c r="F50" i="33"/>
  <c r="F46" i="33"/>
  <c r="F45" i="33"/>
  <c r="F42" i="33"/>
  <c r="F79" i="33"/>
  <c r="F59" i="33"/>
  <c r="F54" i="33"/>
  <c r="F37" i="33"/>
  <c r="F87" i="33"/>
  <c r="F69" i="33"/>
  <c r="F80" i="33"/>
  <c r="F44" i="33"/>
  <c r="F102" i="33"/>
  <c r="F94" i="33"/>
  <c r="F88" i="33"/>
  <c r="F55" i="33"/>
  <c r="F70" i="33"/>
  <c r="T100" i="33"/>
  <c r="R298" i="18"/>
  <c r="R280" i="18"/>
  <c r="R279" i="18"/>
  <c r="R251" i="18"/>
  <c r="R232" i="18"/>
  <c r="R231" i="18"/>
  <c r="R224" i="18"/>
  <c r="R223" i="18"/>
  <c r="R215" i="18"/>
  <c r="R211" i="18"/>
  <c r="R297" i="18"/>
  <c r="R263" i="18"/>
  <c r="R262" i="18"/>
  <c r="R243" i="18"/>
  <c r="R242" i="18"/>
  <c r="R206" i="18"/>
  <c r="R202" i="18"/>
  <c r="R303" i="18"/>
  <c r="R296" i="18"/>
  <c r="R281" i="18"/>
  <c r="R273" i="18"/>
  <c r="R269" i="18"/>
  <c r="R258" i="18"/>
  <c r="R257" i="18"/>
  <c r="R234" i="18"/>
  <c r="R233" i="18"/>
  <c r="R225" i="18"/>
  <c r="R193" i="18"/>
  <c r="R189" i="18"/>
  <c r="R185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295" i="18"/>
  <c r="R264" i="18"/>
  <c r="R252" i="18"/>
  <c r="R245" i="18"/>
  <c r="R244" i="18"/>
  <c r="R217" i="18"/>
  <c r="R216" i="18"/>
  <c r="R212" i="18"/>
  <c r="R294" i="18"/>
  <c r="R259" i="18"/>
  <c r="R236" i="18"/>
  <c r="R235" i="18"/>
  <c r="R207" i="18"/>
  <c r="R203" i="18"/>
  <c r="R291" i="18"/>
  <c r="R276" i="18"/>
  <c r="R260" i="18"/>
  <c r="R249" i="18"/>
  <c r="R248" i="18"/>
  <c r="R228" i="18"/>
  <c r="R220" i="18"/>
  <c r="R209" i="18"/>
  <c r="R208" i="18"/>
  <c r="R204" i="18"/>
  <c r="R200" i="18"/>
  <c r="R290" i="18"/>
  <c r="R284" i="18"/>
  <c r="R283" i="18"/>
  <c r="R271" i="18"/>
  <c r="R267" i="18"/>
  <c r="R255" i="18"/>
  <c r="R288" i="18"/>
  <c r="R285" i="18"/>
  <c r="R278" i="18"/>
  <c r="R277" i="18"/>
  <c r="R261" i="18"/>
  <c r="R230" i="18"/>
  <c r="R229" i="18"/>
  <c r="R222" i="18"/>
  <c r="R221" i="18"/>
  <c r="R205" i="18"/>
  <c r="R201" i="18"/>
  <c r="R253" i="18"/>
  <c r="R198" i="18"/>
  <c r="R158" i="18"/>
  <c r="R151" i="18"/>
  <c r="R194" i="18"/>
  <c r="R184" i="18"/>
  <c r="R172" i="18"/>
  <c r="R292" i="18"/>
  <c r="R265" i="18"/>
  <c r="R170" i="18"/>
  <c r="R163" i="18"/>
  <c r="R156" i="18"/>
  <c r="X12" i="18"/>
  <c r="Z12" i="18" s="1"/>
  <c r="R289" i="18"/>
  <c r="R240" i="18"/>
  <c r="R199" i="18"/>
  <c r="R182" i="18"/>
  <c r="R154" i="18"/>
  <c r="R144" i="18"/>
  <c r="R138" i="18"/>
  <c r="R135" i="18"/>
  <c r="R287" i="18"/>
  <c r="R282" i="18"/>
  <c r="R254" i="18"/>
  <c r="R213" i="18"/>
  <c r="R192" i="18"/>
  <c r="R187" i="18"/>
  <c r="R175" i="18"/>
  <c r="R168" i="18"/>
  <c r="R147" i="18"/>
  <c r="R293" i="18"/>
  <c r="R256" i="18"/>
  <c r="R180" i="18"/>
  <c r="R166" i="18"/>
  <c r="R159" i="18"/>
  <c r="R274" i="18"/>
  <c r="R272" i="18"/>
  <c r="R270" i="18"/>
  <c r="R266" i="18"/>
  <c r="R250" i="18"/>
  <c r="R238" i="18"/>
  <c r="R226" i="18"/>
  <c r="R190" i="18"/>
  <c r="R178" i="18"/>
  <c r="R152" i="18"/>
  <c r="R139" i="18"/>
  <c r="R268" i="18"/>
  <c r="P196" i="18"/>
  <c r="R171" i="18"/>
  <c r="R150" i="18"/>
  <c r="R142" i="18"/>
  <c r="R136" i="18"/>
  <c r="R299" i="18"/>
  <c r="R275" i="18"/>
  <c r="R241" i="18"/>
  <c r="R227" i="18"/>
  <c r="R210" i="18"/>
  <c r="R183" i="18"/>
  <c r="R164" i="18"/>
  <c r="R155" i="18"/>
  <c r="R246" i="18"/>
  <c r="R218" i="18"/>
  <c r="R188" i="18"/>
  <c r="R176" i="18"/>
  <c r="R162" i="18"/>
  <c r="R174" i="18"/>
  <c r="R237" i="18"/>
  <c r="R219" i="18"/>
  <c r="R191" i="18"/>
  <c r="R140" i="18"/>
  <c r="R239" i="18"/>
  <c r="R186" i="18"/>
  <c r="R160" i="18"/>
  <c r="R247" i="18"/>
  <c r="R214" i="18"/>
  <c r="R167" i="18"/>
  <c r="R146" i="18"/>
  <c r="R179" i="18"/>
  <c r="R148" i="18"/>
  <c r="R143" i="18"/>
  <c r="N16" i="9"/>
  <c r="H93" i="9"/>
  <c r="X175" i="12"/>
  <c r="P281" i="12"/>
  <c r="D93" i="9"/>
  <c r="L16" i="9"/>
  <c r="V268" i="15"/>
  <c r="V238" i="15"/>
  <c r="V226" i="15"/>
  <c r="V218" i="15"/>
  <c r="V210" i="15"/>
  <c r="V190" i="15"/>
  <c r="V186" i="15"/>
  <c r="V267" i="15"/>
  <c r="V249" i="15"/>
  <c r="V233" i="15"/>
  <c r="V221" i="15"/>
  <c r="V209" i="15"/>
  <c r="V201" i="15"/>
  <c r="V193" i="15"/>
  <c r="V181" i="15"/>
  <c r="V177" i="15"/>
  <c r="V173" i="15"/>
  <c r="V274" i="15"/>
  <c r="V266" i="15"/>
  <c r="V256" i="15"/>
  <c r="V248" i="15"/>
  <c r="V244" i="15"/>
  <c r="V240" i="15"/>
  <c r="V228" i="15"/>
  <c r="V220" i="15"/>
  <c r="V200" i="15"/>
  <c r="V192" i="15"/>
  <c r="V172" i="15"/>
  <c r="V168" i="15"/>
  <c r="V164" i="15"/>
  <c r="V160" i="15"/>
  <c r="V156" i="15"/>
  <c r="V152" i="15"/>
  <c r="V148" i="15"/>
  <c r="V144" i="15"/>
  <c r="V140" i="15"/>
  <c r="V136" i="15"/>
  <c r="V132" i="15"/>
  <c r="V128" i="15"/>
  <c r="V124" i="15"/>
  <c r="V120" i="15"/>
  <c r="V265" i="15"/>
  <c r="V239" i="15"/>
  <c r="V227" i="15"/>
  <c r="V223" i="15"/>
  <c r="V211" i="15"/>
  <c r="V187" i="15"/>
  <c r="V183" i="15"/>
  <c r="T170" i="15"/>
  <c r="V170" i="15" s="1"/>
  <c r="V264" i="15"/>
  <c r="V258" i="15"/>
  <c r="V250" i="15"/>
  <c r="V234" i="15"/>
  <c r="V222" i="15"/>
  <c r="V202" i="15"/>
  <c r="V194" i="15"/>
  <c r="V182" i="15"/>
  <c r="V178" i="15"/>
  <c r="V174" i="15"/>
  <c r="V263" i="15"/>
  <c r="V257" i="15"/>
  <c r="V245" i="15"/>
  <c r="V241" i="15"/>
  <c r="V229" i="15"/>
  <c r="V213" i="15"/>
  <c r="V165" i="15"/>
  <c r="V262" i="15"/>
  <c r="V252" i="15"/>
  <c r="V261" i="15"/>
  <c r="V259" i="15"/>
  <c r="V251" i="15"/>
  <c r="V235" i="15"/>
  <c r="V215" i="15"/>
  <c r="V203" i="15"/>
  <c r="V195" i="15"/>
  <c r="V179" i="15"/>
  <c r="V175" i="15"/>
  <c r="V254" i="15"/>
  <c r="V246" i="15"/>
  <c r="V242" i="15"/>
  <c r="V230" i="15"/>
  <c r="V214" i="15"/>
  <c r="V206" i="15"/>
  <c r="V198" i="15"/>
  <c r="V166" i="15"/>
  <c r="V162" i="15"/>
  <c r="V158" i="15"/>
  <c r="V154" i="15"/>
  <c r="V150" i="15"/>
  <c r="V146" i="15"/>
  <c r="V142" i="15"/>
  <c r="V138" i="15"/>
  <c r="V134" i="15"/>
  <c r="V130" i="15"/>
  <c r="V126" i="15"/>
  <c r="V122" i="15"/>
  <c r="V118" i="15"/>
  <c r="V253" i="15"/>
  <c r="V237" i="15"/>
  <c r="V225" i="15"/>
  <c r="V217" i="15"/>
  <c r="V205" i="15"/>
  <c r="V197" i="15"/>
  <c r="V189" i="15"/>
  <c r="V185" i="15"/>
  <c r="V247" i="15"/>
  <c r="V232" i="15"/>
  <c r="V167" i="15"/>
  <c r="V153" i="15"/>
  <c r="V129" i="15"/>
  <c r="V269" i="15"/>
  <c r="V176" i="15"/>
  <c r="V139" i="15"/>
  <c r="V119" i="15"/>
  <c r="V219" i="15"/>
  <c r="V157" i="15"/>
  <c r="V155" i="15"/>
  <c r="V121" i="15"/>
  <c r="V191" i="15"/>
  <c r="V159" i="15"/>
  <c r="V141" i="15"/>
  <c r="V131" i="15"/>
  <c r="V243" i="15"/>
  <c r="V236" i="15"/>
  <c r="V199" i="15"/>
  <c r="V184" i="15"/>
  <c r="V180" i="15"/>
  <c r="V161" i="15"/>
  <c r="V143" i="15"/>
  <c r="V133" i="15"/>
  <c r="V123" i="15"/>
  <c r="V270" i="15"/>
  <c r="V255" i="15"/>
  <c r="V207" i="15"/>
  <c r="V145" i="15"/>
  <c r="V231" i="15"/>
  <c r="V224" i="15"/>
  <c r="V163" i="15"/>
  <c r="V125" i="15"/>
  <c r="V216" i="15"/>
  <c r="V149" i="15"/>
  <c r="V117" i="15"/>
  <c r="V208" i="15"/>
  <c r="V137" i="15"/>
  <c r="V147" i="15"/>
  <c r="V127" i="15"/>
  <c r="V188" i="15"/>
  <c r="V151" i="15"/>
  <c r="V212" i="15"/>
  <c r="V204" i="15"/>
  <c r="V135" i="15"/>
  <c r="V196" i="15"/>
  <c r="X18" i="47"/>
  <c r="P27" i="47"/>
  <c r="H27" i="8"/>
  <c r="N18" i="8"/>
  <c r="X18" i="8"/>
  <c r="P27" i="8"/>
  <c r="D24" i="106"/>
  <c r="L16" i="106"/>
  <c r="P30" i="82"/>
  <c r="X22" i="82"/>
  <c r="X20" i="80"/>
  <c r="Z20" i="80" s="1"/>
  <c r="P82" i="80"/>
  <c r="V20" i="79"/>
  <c r="J87" i="73"/>
  <c r="J79" i="73"/>
  <c r="J69" i="73"/>
  <c r="J55" i="73"/>
  <c r="J88" i="73"/>
  <c r="J80" i="73"/>
  <c r="J89" i="73"/>
  <c r="J81" i="73"/>
  <c r="J71" i="73"/>
  <c r="J65" i="73"/>
  <c r="J73" i="73"/>
  <c r="J92" i="73"/>
  <c r="J96" i="73"/>
  <c r="J74" i="73"/>
  <c r="J62" i="73"/>
  <c r="J58" i="73"/>
  <c r="J75" i="73"/>
  <c r="J49" i="73"/>
  <c r="J45" i="73"/>
  <c r="J41" i="73"/>
  <c r="J37" i="73"/>
  <c r="J84" i="73"/>
  <c r="J76" i="73"/>
  <c r="J68" i="73"/>
  <c r="J77" i="73"/>
  <c r="J64" i="73"/>
  <c r="J57" i="73"/>
  <c r="J54" i="73"/>
  <c r="J36" i="73"/>
  <c r="J86" i="73"/>
  <c r="J70" i="73"/>
  <c r="J67" i="73"/>
  <c r="J44" i="73"/>
  <c r="J82" i="73"/>
  <c r="J47" i="73"/>
  <c r="J39" i="73"/>
  <c r="J60" i="73"/>
  <c r="J50" i="73"/>
  <c r="J42" i="73"/>
  <c r="J78" i="73"/>
  <c r="J63" i="73"/>
  <c r="J85" i="73"/>
  <c r="J66" i="73"/>
  <c r="J56" i="73"/>
  <c r="J48" i="73"/>
  <c r="J40" i="73"/>
  <c r="J90" i="73"/>
  <c r="J83" i="73"/>
  <c r="J72" i="73"/>
  <c r="J61" i="73"/>
  <c r="H52" i="73"/>
  <c r="J52" i="73" s="1"/>
  <c r="J38" i="73"/>
  <c r="J46" i="73"/>
  <c r="J43" i="73"/>
  <c r="J35" i="73"/>
  <c r="J59" i="73"/>
  <c r="D104" i="63"/>
  <c r="L17" i="63"/>
  <c r="P74" i="69"/>
  <c r="X20" i="69"/>
  <c r="Z20" i="69" s="1"/>
  <c r="T33" i="55"/>
  <c r="Z16" i="55"/>
  <c r="T22" i="54"/>
  <c r="Z16" i="54"/>
  <c r="X16" i="54"/>
  <c r="L69" i="48"/>
  <c r="H73" i="48"/>
  <c r="N17" i="48"/>
  <c r="F140" i="24"/>
  <c r="L18" i="110"/>
  <c r="D27" i="110"/>
  <c r="H27" i="112"/>
  <c r="N18" i="112"/>
  <c r="H27" i="49"/>
  <c r="N18" i="49"/>
  <c r="T27" i="47"/>
  <c r="Z18" i="47"/>
  <c r="N18" i="35"/>
  <c r="H27" i="35"/>
  <c r="T27" i="38"/>
  <c r="Z18" i="38"/>
  <c r="H27" i="32"/>
  <c r="N18" i="32"/>
  <c r="L18" i="31"/>
  <c r="D27" i="31"/>
  <c r="X18" i="26"/>
  <c r="P27" i="26"/>
  <c r="T27" i="19"/>
  <c r="Z18" i="19"/>
  <c r="X18" i="13"/>
  <c r="P27" i="13"/>
  <c r="D86" i="83"/>
  <c r="D73" i="48"/>
  <c r="L17" i="48"/>
  <c r="P46" i="99"/>
  <c r="X17" i="99"/>
  <c r="V107" i="84"/>
  <c r="V91" i="84"/>
  <c r="V79" i="84"/>
  <c r="V67" i="84"/>
  <c r="V63" i="84"/>
  <c r="V114" i="84"/>
  <c r="V102" i="84"/>
  <c r="V94" i="84"/>
  <c r="V82" i="84"/>
  <c r="V54" i="84"/>
  <c r="V50" i="84"/>
  <c r="V46" i="84"/>
  <c r="V42" i="84"/>
  <c r="V38" i="84"/>
  <c r="V127" i="84"/>
  <c r="V113" i="84"/>
  <c r="V109" i="84"/>
  <c r="V93" i="84"/>
  <c r="V81" i="84"/>
  <c r="V73" i="84"/>
  <c r="V116" i="84"/>
  <c r="V96" i="84"/>
  <c r="V84" i="84"/>
  <c r="V68" i="84"/>
  <c r="V64" i="84"/>
  <c r="V115" i="84"/>
  <c r="V103" i="84"/>
  <c r="V95" i="84"/>
  <c r="V83" i="84"/>
  <c r="V118" i="84"/>
  <c r="V110" i="84"/>
  <c r="V98" i="84"/>
  <c r="V86" i="84"/>
  <c r="V74" i="84"/>
  <c r="V70" i="84"/>
  <c r="V117" i="84"/>
  <c r="V105" i="84"/>
  <c r="V97" i="84"/>
  <c r="V85" i="84"/>
  <c r="V69" i="84"/>
  <c r="V65" i="84"/>
  <c r="V120" i="84"/>
  <c r="V104" i="84"/>
  <c r="V88" i="84"/>
  <c r="V76" i="84"/>
  <c r="V60" i="84"/>
  <c r="V56" i="84"/>
  <c r="V52" i="84"/>
  <c r="V48" i="84"/>
  <c r="V44" i="84"/>
  <c r="V40" i="84"/>
  <c r="V119" i="84"/>
  <c r="V111" i="84"/>
  <c r="V99" i="84"/>
  <c r="V87" i="84"/>
  <c r="V75" i="84"/>
  <c r="V71" i="84"/>
  <c r="T58" i="84"/>
  <c r="V121" i="84"/>
  <c r="V101" i="84"/>
  <c r="V77" i="84"/>
  <c r="V55" i="84"/>
  <c r="V49" i="84"/>
  <c r="V47" i="84"/>
  <c r="V45" i="84"/>
  <c r="V43" i="84"/>
  <c r="V62" i="84"/>
  <c r="V41" i="84"/>
  <c r="V78" i="84"/>
  <c r="V72" i="84"/>
  <c r="V39" i="84"/>
  <c r="V80" i="84"/>
  <c r="V66" i="84"/>
  <c r="V123" i="84"/>
  <c r="V89" i="84"/>
  <c r="V106" i="84"/>
  <c r="V61" i="84"/>
  <c r="V108" i="84"/>
  <c r="V90" i="84"/>
  <c r="V92" i="84"/>
  <c r="V51" i="84"/>
  <c r="V112" i="84"/>
  <c r="V53" i="84"/>
  <c r="V100" i="84"/>
  <c r="D71" i="78"/>
  <c r="L27" i="78"/>
  <c r="N27" i="78" s="1"/>
  <c r="R90" i="73"/>
  <c r="R82" i="73"/>
  <c r="R66" i="73"/>
  <c r="R35" i="73"/>
  <c r="R92" i="73"/>
  <c r="R73" i="73"/>
  <c r="R96" i="73"/>
  <c r="R75" i="73"/>
  <c r="R74" i="73"/>
  <c r="R63" i="73"/>
  <c r="R59" i="73"/>
  <c r="R87" i="73"/>
  <c r="R86" i="73"/>
  <c r="R79" i="73"/>
  <c r="R78" i="73"/>
  <c r="R55" i="73"/>
  <c r="R50" i="73"/>
  <c r="R46" i="73"/>
  <c r="R42" i="73"/>
  <c r="R38" i="73"/>
  <c r="R70" i="73"/>
  <c r="R69" i="73"/>
  <c r="R54" i="73"/>
  <c r="R65" i="73"/>
  <c r="R62" i="73"/>
  <c r="R89" i="73"/>
  <c r="R84" i="73"/>
  <c r="R80" i="73"/>
  <c r="R60" i="73"/>
  <c r="R47" i="73"/>
  <c r="R39" i="73"/>
  <c r="R37" i="73"/>
  <c r="R68" i="73"/>
  <c r="R45" i="73"/>
  <c r="R71" i="73"/>
  <c r="R58" i="73"/>
  <c r="R56" i="73"/>
  <c r="R48" i="73"/>
  <c r="R40" i="73"/>
  <c r="R85" i="73"/>
  <c r="R83" i="73"/>
  <c r="R61" i="73"/>
  <c r="P52" i="73"/>
  <c r="R81" i="73"/>
  <c r="R76" i="73"/>
  <c r="R72" i="73"/>
  <c r="R43" i="73"/>
  <c r="R64" i="73"/>
  <c r="R49" i="73"/>
  <c r="R41" i="73"/>
  <c r="R36" i="73"/>
  <c r="R44" i="73"/>
  <c r="R77" i="73"/>
  <c r="R88" i="73"/>
  <c r="R67" i="73"/>
  <c r="X12" i="73"/>
  <c r="Z12" i="73" s="1"/>
  <c r="R57" i="73"/>
  <c r="V55" i="76"/>
  <c r="Z73" i="58"/>
  <c r="T77" i="58"/>
  <c r="H33" i="55"/>
  <c r="N16" i="55"/>
  <c r="N69" i="48"/>
  <c r="T54" i="104"/>
  <c r="D51" i="102"/>
  <c r="L16" i="102"/>
  <c r="F59" i="92"/>
  <c r="F58" i="92"/>
  <c r="F51" i="92"/>
  <c r="F50" i="92"/>
  <c r="F39" i="92"/>
  <c r="F35" i="92"/>
  <c r="D21" i="92"/>
  <c r="F70" i="92"/>
  <c r="F66" i="92"/>
  <c r="F30" i="92"/>
  <c r="F26" i="92"/>
  <c r="F80" i="92"/>
  <c r="F78" i="92"/>
  <c r="F61" i="92"/>
  <c r="F60" i="92"/>
  <c r="F53" i="92"/>
  <c r="F52" i="92"/>
  <c r="F41" i="92"/>
  <c r="F40" i="92"/>
  <c r="F82" i="92"/>
  <c r="F36" i="92"/>
  <c r="L12" i="92"/>
  <c r="F71" i="92"/>
  <c r="F67" i="92"/>
  <c r="F55" i="92"/>
  <c r="F54" i="92"/>
  <c r="F43" i="92"/>
  <c r="F42" i="92"/>
  <c r="F31" i="92"/>
  <c r="F27" i="92"/>
  <c r="F62" i="92"/>
  <c r="F87" i="92"/>
  <c r="F84" i="92"/>
  <c r="F45" i="92"/>
  <c r="F44" i="92"/>
  <c r="F37" i="92"/>
  <c r="F72" i="92"/>
  <c r="F68" i="92"/>
  <c r="F56" i="92"/>
  <c r="F32" i="92"/>
  <c r="F28" i="92"/>
  <c r="F63" i="92"/>
  <c r="F47" i="92"/>
  <c r="F46" i="92"/>
  <c r="F19" i="92"/>
  <c r="F74" i="92"/>
  <c r="F73" i="92"/>
  <c r="F38" i="92"/>
  <c r="F34" i="92"/>
  <c r="F33" i="92"/>
  <c r="F49" i="92"/>
  <c r="F18" i="92"/>
  <c r="F69" i="92"/>
  <c r="F21" i="92"/>
  <c r="F76" i="92"/>
  <c r="F57" i="92"/>
  <c r="F24" i="92"/>
  <c r="F48" i="92"/>
  <c r="F65" i="92"/>
  <c r="F29" i="92"/>
  <c r="F17" i="92"/>
  <c r="F64" i="92"/>
  <c r="F75" i="92"/>
  <c r="F23" i="92"/>
  <c r="F25" i="92"/>
  <c r="H73" i="109"/>
  <c r="J17" i="109"/>
  <c r="V55" i="100"/>
  <c r="V47" i="100"/>
  <c r="V61" i="100"/>
  <c r="V72" i="100"/>
  <c r="V65" i="100"/>
  <c r="V46" i="100"/>
  <c r="V38" i="100"/>
  <c r="V26" i="100"/>
  <c r="V62" i="100"/>
  <c r="V57" i="100"/>
  <c r="V51" i="100"/>
  <c r="V41" i="100"/>
  <c r="V52" i="100"/>
  <c r="V40" i="100"/>
  <c r="V32" i="100"/>
  <c r="Z12" i="100"/>
  <c r="V68" i="100"/>
  <c r="V67" i="100"/>
  <c r="V60" i="100"/>
  <c r="V43" i="100"/>
  <c r="V27" i="100"/>
  <c r="V49" i="100"/>
  <c r="V48" i="100"/>
  <c r="V42" i="100"/>
  <c r="V18" i="100"/>
  <c r="V63" i="100"/>
  <c r="V33" i="100"/>
  <c r="V29" i="100"/>
  <c r="V64" i="100"/>
  <c r="V58" i="100"/>
  <c r="V54" i="100"/>
  <c r="V28" i="100"/>
  <c r="V53" i="100"/>
  <c r="V44" i="100"/>
  <c r="V35" i="100"/>
  <c r="V19" i="100"/>
  <c r="V45" i="100"/>
  <c r="V34" i="100"/>
  <c r="V30" i="100"/>
  <c r="V56" i="100"/>
  <c r="V50" i="100"/>
  <c r="V37" i="100"/>
  <c r="V25" i="100"/>
  <c r="V36" i="100"/>
  <c r="V31" i="100"/>
  <c r="V22" i="100"/>
  <c r="T22" i="100"/>
  <c r="V20" i="100"/>
  <c r="V59" i="100"/>
  <c r="V39" i="100"/>
  <c r="V24" i="100"/>
  <c r="R90" i="95"/>
  <c r="Z16" i="108"/>
  <c r="T37" i="108"/>
  <c r="N43" i="99"/>
  <c r="L43" i="99"/>
  <c r="P70" i="100"/>
  <c r="X22" i="100"/>
  <c r="N90" i="95"/>
  <c r="L90" i="95"/>
  <c r="J90" i="95"/>
  <c r="Z43" i="99"/>
  <c r="X43" i="99"/>
  <c r="Z93" i="91"/>
  <c r="T34" i="85"/>
  <c r="N18" i="85"/>
  <c r="H30" i="85"/>
  <c r="J64" i="78"/>
  <c r="Z12" i="82"/>
  <c r="V32" i="82"/>
  <c r="V18" i="82"/>
  <c r="V19" i="82"/>
  <c r="V25" i="82"/>
  <c r="T22" i="82"/>
  <c r="V26" i="82"/>
  <c r="V28" i="82"/>
  <c r="V22" i="82"/>
  <c r="V20" i="82"/>
  <c r="V24" i="82"/>
  <c r="V73" i="73"/>
  <c r="V61" i="73"/>
  <c r="V57" i="73"/>
  <c r="V83" i="73"/>
  <c r="V75" i="73"/>
  <c r="V67" i="73"/>
  <c r="V85" i="73"/>
  <c r="V77" i="73"/>
  <c r="V84" i="73"/>
  <c r="V86" i="73"/>
  <c r="V78" i="73"/>
  <c r="V70" i="73"/>
  <c r="V54" i="73"/>
  <c r="V50" i="73"/>
  <c r="V46" i="73"/>
  <c r="V42" i="73"/>
  <c r="V38" i="73"/>
  <c r="V89" i="73"/>
  <c r="V81" i="73"/>
  <c r="V69" i="73"/>
  <c r="V65" i="73"/>
  <c r="T52" i="73"/>
  <c r="V88" i="73"/>
  <c r="V80" i="73"/>
  <c r="V72" i="73"/>
  <c r="V64" i="73"/>
  <c r="V60" i="73"/>
  <c r="V56" i="73"/>
  <c r="V62" i="73"/>
  <c r="V55" i="73"/>
  <c r="V82" i="73"/>
  <c r="V47" i="73"/>
  <c r="V39" i="73"/>
  <c r="V37" i="73"/>
  <c r="V96" i="73"/>
  <c r="V87" i="73"/>
  <c r="V68" i="73"/>
  <c r="V45" i="73"/>
  <c r="V71" i="73"/>
  <c r="V58" i="73"/>
  <c r="V48" i="73"/>
  <c r="V40" i="73"/>
  <c r="V35" i="73"/>
  <c r="V66" i="73"/>
  <c r="V63" i="73"/>
  <c r="V90" i="73"/>
  <c r="V79" i="73"/>
  <c r="V76" i="73"/>
  <c r="V43" i="73"/>
  <c r="V74" i="73"/>
  <c r="V44" i="73"/>
  <c r="V36" i="73"/>
  <c r="V41" i="73"/>
  <c r="V59" i="73"/>
  <c r="V92" i="73"/>
  <c r="V49" i="73"/>
  <c r="F86" i="73"/>
  <c r="F85" i="73"/>
  <c r="F78" i="73"/>
  <c r="F77" i="73"/>
  <c r="F50" i="73"/>
  <c r="F46" i="73"/>
  <c r="F42" i="73"/>
  <c r="F38" i="73"/>
  <c r="F88" i="73"/>
  <c r="F87" i="73"/>
  <c r="F80" i="73"/>
  <c r="F79" i="73"/>
  <c r="F64" i="73"/>
  <c r="F60" i="73"/>
  <c r="F56" i="73"/>
  <c r="F55" i="73"/>
  <c r="F90" i="73"/>
  <c r="F89" i="73"/>
  <c r="F82" i="73"/>
  <c r="F81" i="73"/>
  <c r="F92" i="73"/>
  <c r="F83" i="73"/>
  <c r="F67" i="73"/>
  <c r="F96" i="73"/>
  <c r="F74" i="73"/>
  <c r="F62" i="73"/>
  <c r="F58" i="73"/>
  <c r="F49" i="73"/>
  <c r="F45" i="73"/>
  <c r="F41" i="73"/>
  <c r="F37" i="73"/>
  <c r="F72" i="73"/>
  <c r="F59" i="73"/>
  <c r="D52" i="73"/>
  <c r="F43" i="73"/>
  <c r="F57" i="73"/>
  <c r="F36" i="73"/>
  <c r="L12" i="73"/>
  <c r="N12" i="73" s="1"/>
  <c r="F54" i="73"/>
  <c r="F44" i="73"/>
  <c r="F84" i="73"/>
  <c r="F70" i="73"/>
  <c r="F75" i="73"/>
  <c r="F73" i="73"/>
  <c r="F65" i="73"/>
  <c r="F47" i="73"/>
  <c r="F39" i="73"/>
  <c r="F71" i="73"/>
  <c r="F68" i="73"/>
  <c r="F63" i="73"/>
  <c r="F66" i="73"/>
  <c r="F61" i="73"/>
  <c r="F48" i="73"/>
  <c r="F69" i="73"/>
  <c r="F40" i="73"/>
  <c r="F35" i="73"/>
  <c r="F76" i="73"/>
  <c r="F120" i="70"/>
  <c r="F115" i="70"/>
  <c r="F114" i="70"/>
  <c r="F107" i="70"/>
  <c r="F59" i="70"/>
  <c r="F55" i="70"/>
  <c r="F51" i="70"/>
  <c r="F47" i="70"/>
  <c r="F124" i="70"/>
  <c r="F119" i="70"/>
  <c r="F102" i="70"/>
  <c r="F101" i="70"/>
  <c r="F94" i="70"/>
  <c r="F93" i="70"/>
  <c r="F78" i="70"/>
  <c r="F118" i="70"/>
  <c r="F85" i="70"/>
  <c r="F73" i="70"/>
  <c r="F69" i="70"/>
  <c r="F117" i="70"/>
  <c r="F108" i="70"/>
  <c r="F96" i="70"/>
  <c r="F95" i="70"/>
  <c r="F60" i="70"/>
  <c r="F56" i="70"/>
  <c r="F52" i="70"/>
  <c r="F48" i="70"/>
  <c r="F103" i="70"/>
  <c r="F87" i="70"/>
  <c r="F86" i="70"/>
  <c r="F79" i="70"/>
  <c r="F110" i="70"/>
  <c r="F109" i="70"/>
  <c r="F80" i="70"/>
  <c r="F76" i="70"/>
  <c r="F75" i="70"/>
  <c r="D62" i="70"/>
  <c r="L12" i="70"/>
  <c r="N12" i="70" s="1"/>
  <c r="F111" i="70"/>
  <c r="F99" i="70"/>
  <c r="F91" i="70"/>
  <c r="F90" i="70"/>
  <c r="F71" i="70"/>
  <c r="F67" i="70"/>
  <c r="F113" i="70"/>
  <c r="F112" i="70"/>
  <c r="F77" i="70"/>
  <c r="F106" i="70"/>
  <c r="F104" i="70"/>
  <c r="F89" i="70"/>
  <c r="F100" i="70"/>
  <c r="F83" i="70"/>
  <c r="F64" i="70"/>
  <c r="F49" i="70"/>
  <c r="F68" i="70"/>
  <c r="F53" i="70"/>
  <c r="F81" i="70"/>
  <c r="F70" i="70"/>
  <c r="F92" i="70"/>
  <c r="F57" i="70"/>
  <c r="F46" i="70"/>
  <c r="F44" i="70"/>
  <c r="F105" i="70"/>
  <c r="F97" i="70"/>
  <c r="F88" i="70"/>
  <c r="F84" i="70"/>
  <c r="F65" i="70"/>
  <c r="F62" i="70"/>
  <c r="F72" i="70"/>
  <c r="F50" i="70"/>
  <c r="F82" i="70"/>
  <c r="F74" i="70"/>
  <c r="F54" i="70"/>
  <c r="F98" i="70"/>
  <c r="F45" i="70"/>
  <c r="F66" i="70"/>
  <c r="F58" i="70"/>
  <c r="N20" i="69"/>
  <c r="H74" i="69"/>
  <c r="P65" i="68"/>
  <c r="P76" i="57"/>
  <c r="X72" i="57"/>
  <c r="Z106" i="51"/>
  <c r="J17" i="48"/>
  <c r="D33" i="55"/>
  <c r="L16" i="55"/>
  <c r="J68" i="45"/>
  <c r="J56" i="45"/>
  <c r="J91" i="45"/>
  <c r="J83" i="45"/>
  <c r="J79" i="45"/>
  <c r="J57" i="45"/>
  <c r="J45" i="45"/>
  <c r="J35" i="45"/>
  <c r="J74" i="45"/>
  <c r="J58" i="45"/>
  <c r="J46" i="45"/>
  <c r="J93" i="45"/>
  <c r="J75" i="45"/>
  <c r="J69" i="45"/>
  <c r="J59" i="45"/>
  <c r="J47" i="45"/>
  <c r="J87" i="45"/>
  <c r="J81" i="45"/>
  <c r="J77" i="45"/>
  <c r="J71" i="45"/>
  <c r="J63" i="45"/>
  <c r="J51" i="45"/>
  <c r="J33" i="45"/>
  <c r="J29" i="45"/>
  <c r="J88" i="45"/>
  <c r="J72" i="45"/>
  <c r="J64" i="45"/>
  <c r="J52" i="45"/>
  <c r="J90" i="45"/>
  <c r="J82" i="45"/>
  <c r="J78" i="45"/>
  <c r="J66" i="45"/>
  <c r="J43" i="45"/>
  <c r="J22" i="45"/>
  <c r="J76" i="45"/>
  <c r="J61" i="45"/>
  <c r="J50" i="45"/>
  <c r="J40" i="45"/>
  <c r="J27" i="45"/>
  <c r="J89" i="45"/>
  <c r="J86" i="45"/>
  <c r="J80" i="45"/>
  <c r="J37" i="45"/>
  <c r="J34" i="45"/>
  <c r="J31" i="45"/>
  <c r="J26" i="45"/>
  <c r="J24" i="45"/>
  <c r="J67" i="45"/>
  <c r="J28" i="45"/>
  <c r="H24" i="45"/>
  <c r="J84" i="45"/>
  <c r="J65" i="45"/>
  <c r="J41" i="45"/>
  <c r="J62" i="45"/>
  <c r="J54" i="45"/>
  <c r="J48" i="45"/>
  <c r="J44" i="45"/>
  <c r="J38" i="45"/>
  <c r="J32" i="45"/>
  <c r="J70" i="45"/>
  <c r="J60" i="45"/>
  <c r="J42" i="45"/>
  <c r="J39" i="45"/>
  <c r="J20" i="45"/>
  <c r="J97" i="45"/>
  <c r="J85" i="45"/>
  <c r="J30" i="45"/>
  <c r="N12" i="45"/>
  <c r="J53" i="45"/>
  <c r="J55" i="45"/>
  <c r="J49" i="45"/>
  <c r="J21" i="45"/>
  <c r="J73" i="45"/>
  <c r="J36" i="45"/>
  <c r="L12" i="45"/>
  <c r="F113" i="27"/>
  <c r="F101" i="27"/>
  <c r="F93" i="27"/>
  <c r="F92" i="27"/>
  <c r="F73" i="27"/>
  <c r="F69" i="27"/>
  <c r="F108" i="27"/>
  <c r="F84" i="27"/>
  <c r="F83" i="27"/>
  <c r="F60" i="27"/>
  <c r="F56" i="27"/>
  <c r="F52" i="27"/>
  <c r="F48" i="27"/>
  <c r="F115" i="27"/>
  <c r="F114" i="27"/>
  <c r="F79" i="27"/>
  <c r="F102" i="27"/>
  <c r="F94" i="27"/>
  <c r="F86" i="27"/>
  <c r="F85" i="27"/>
  <c r="F74" i="27"/>
  <c r="F70" i="27"/>
  <c r="F122" i="27"/>
  <c r="F117" i="27"/>
  <c r="F116" i="27"/>
  <c r="F109" i="27"/>
  <c r="F61" i="27"/>
  <c r="F57" i="27"/>
  <c r="F119" i="27"/>
  <c r="F110" i="27"/>
  <c r="F98" i="27"/>
  <c r="F97" i="27"/>
  <c r="F62" i="27"/>
  <c r="F58" i="27"/>
  <c r="F54" i="27"/>
  <c r="F50" i="27"/>
  <c r="F105" i="27"/>
  <c r="F89" i="27"/>
  <c r="F88" i="27"/>
  <c r="F81" i="27"/>
  <c r="F107" i="27"/>
  <c r="F106" i="27"/>
  <c r="F91" i="27"/>
  <c r="F90" i="27"/>
  <c r="F66" i="27"/>
  <c r="F59" i="27"/>
  <c r="F55" i="27"/>
  <c r="F51" i="27"/>
  <c r="F47" i="27"/>
  <c r="F46" i="27"/>
  <c r="F53" i="27"/>
  <c r="F120" i="27"/>
  <c r="F103" i="27"/>
  <c r="F80" i="27"/>
  <c r="F76" i="27"/>
  <c r="F126" i="27"/>
  <c r="L12" i="27"/>
  <c r="N12" i="27" s="1"/>
  <c r="F99" i="27"/>
  <c r="F111" i="27"/>
  <c r="F82" i="27"/>
  <c r="D64" i="27"/>
  <c r="F95" i="27"/>
  <c r="F71" i="27"/>
  <c r="F67" i="27"/>
  <c r="F121" i="27"/>
  <c r="F104" i="27"/>
  <c r="F77" i="27"/>
  <c r="F100" i="27"/>
  <c r="F75" i="27"/>
  <c r="F112" i="27"/>
  <c r="F87" i="27"/>
  <c r="F96" i="27"/>
  <c r="F49" i="27"/>
  <c r="F78" i="27"/>
  <c r="F72" i="27"/>
  <c r="F68" i="27"/>
  <c r="J290" i="18"/>
  <c r="J284" i="18"/>
  <c r="J250" i="18"/>
  <c r="J238" i="18"/>
  <c r="J214" i="18"/>
  <c r="J210" i="18"/>
  <c r="J289" i="18"/>
  <c r="J285" i="18"/>
  <c r="J277" i="18"/>
  <c r="J261" i="18"/>
  <c r="J239" i="18"/>
  <c r="J229" i="18"/>
  <c r="J221" i="18"/>
  <c r="J205" i="18"/>
  <c r="J201" i="18"/>
  <c r="J288" i="18"/>
  <c r="J278" i="18"/>
  <c r="J272" i="18"/>
  <c r="J268" i="18"/>
  <c r="J256" i="18"/>
  <c r="J240" i="18"/>
  <c r="J230" i="18"/>
  <c r="J222" i="18"/>
  <c r="J192" i="18"/>
  <c r="J188" i="18"/>
  <c r="J184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299" i="18"/>
  <c r="J287" i="18"/>
  <c r="J279" i="18"/>
  <c r="J251" i="18"/>
  <c r="J241" i="18"/>
  <c r="J231" i="18"/>
  <c r="J223" i="18"/>
  <c r="J215" i="18"/>
  <c r="J211" i="18"/>
  <c r="J298" i="18"/>
  <c r="J280" i="18"/>
  <c r="J262" i="18"/>
  <c r="J242" i="18"/>
  <c r="J232" i="18"/>
  <c r="J224" i="18"/>
  <c r="J206" i="18"/>
  <c r="J202" i="18"/>
  <c r="J295" i="18"/>
  <c r="J259" i="18"/>
  <c r="J245" i="18"/>
  <c r="J235" i="18"/>
  <c r="J217" i="18"/>
  <c r="J207" i="18"/>
  <c r="J203" i="18"/>
  <c r="J294" i="18"/>
  <c r="J282" i="18"/>
  <c r="J274" i="18"/>
  <c r="J270" i="18"/>
  <c r="J246" i="18"/>
  <c r="J236" i="18"/>
  <c r="J226" i="18"/>
  <c r="J218" i="18"/>
  <c r="J292" i="18"/>
  <c r="J276" i="18"/>
  <c r="J266" i="18"/>
  <c r="J260" i="18"/>
  <c r="J254" i="18"/>
  <c r="J248" i="18"/>
  <c r="J228" i="18"/>
  <c r="J220" i="18"/>
  <c r="J208" i="18"/>
  <c r="J204" i="18"/>
  <c r="J200" i="18"/>
  <c r="J198" i="18"/>
  <c r="J196" i="18"/>
  <c r="J291" i="18"/>
  <c r="J283" i="18"/>
  <c r="J281" i="18"/>
  <c r="J233" i="18"/>
  <c r="J181" i="18"/>
  <c r="J162" i="18"/>
  <c r="J297" i="18"/>
  <c r="J257" i="18"/>
  <c r="J255" i="18"/>
  <c r="J249" i="18"/>
  <c r="J237" i="18"/>
  <c r="J167" i="18"/>
  <c r="J153" i="18"/>
  <c r="J143" i="18"/>
  <c r="J137" i="18"/>
  <c r="J273" i="18"/>
  <c r="J271" i="18"/>
  <c r="J269" i="18"/>
  <c r="J247" i="18"/>
  <c r="J244" i="18"/>
  <c r="J225" i="18"/>
  <c r="J219" i="18"/>
  <c r="J216" i="18"/>
  <c r="J191" i="18"/>
  <c r="J186" i="18"/>
  <c r="J179" i="18"/>
  <c r="J174" i="18"/>
  <c r="J146" i="18"/>
  <c r="J267" i="18"/>
  <c r="J263" i="18"/>
  <c r="J253" i="18"/>
  <c r="J209" i="18"/>
  <c r="J165" i="18"/>
  <c r="J158" i="18"/>
  <c r="J151" i="18"/>
  <c r="J265" i="18"/>
  <c r="J194" i="18"/>
  <c r="J189" i="18"/>
  <c r="J177" i="18"/>
  <c r="J234" i="18"/>
  <c r="J170" i="18"/>
  <c r="J163" i="18"/>
  <c r="J149" i="18"/>
  <c r="J141" i="18"/>
  <c r="N12" i="18"/>
  <c r="J258" i="18"/>
  <c r="J213" i="18"/>
  <c r="J199" i="18"/>
  <c r="J182" i="18"/>
  <c r="J161" i="18"/>
  <c r="J154" i="18"/>
  <c r="J138" i="18"/>
  <c r="J187" i="18"/>
  <c r="J175" i="18"/>
  <c r="J147" i="18"/>
  <c r="J135" i="18"/>
  <c r="J293" i="18"/>
  <c r="J252" i="18"/>
  <c r="J243" i="18"/>
  <c r="J185" i="18"/>
  <c r="J173" i="18"/>
  <c r="J166" i="18"/>
  <c r="J159" i="18"/>
  <c r="J296" i="18"/>
  <c r="J264" i="18"/>
  <c r="J190" i="18"/>
  <c r="J178" i="18"/>
  <c r="J157" i="18"/>
  <c r="J145" i="18"/>
  <c r="J139" i="18"/>
  <c r="J169" i="18"/>
  <c r="J227" i="18"/>
  <c r="J171" i="18"/>
  <c r="J150" i="18"/>
  <c r="J212" i="18"/>
  <c r="J155" i="18"/>
  <c r="J193" i="18"/>
  <c r="J142" i="18"/>
  <c r="J303" i="18"/>
  <c r="H196" i="18"/>
  <c r="J183" i="18"/>
  <c r="J275" i="18"/>
  <c r="V296" i="18"/>
  <c r="V262" i="18"/>
  <c r="V258" i="18"/>
  <c r="V242" i="18"/>
  <c r="V234" i="18"/>
  <c r="V206" i="18"/>
  <c r="V202" i="18"/>
  <c r="V303" i="18"/>
  <c r="V295" i="18"/>
  <c r="V281" i="18"/>
  <c r="V273" i="18"/>
  <c r="V269" i="18"/>
  <c r="V257" i="18"/>
  <c r="V245" i="18"/>
  <c r="V233" i="18"/>
  <c r="V225" i="18"/>
  <c r="V217" i="18"/>
  <c r="V193" i="18"/>
  <c r="V189" i="18"/>
  <c r="V185" i="18"/>
  <c r="V181" i="18"/>
  <c r="V177" i="18"/>
  <c r="V173" i="18"/>
  <c r="V169" i="18"/>
  <c r="V165" i="18"/>
  <c r="V161" i="18"/>
  <c r="V157" i="18"/>
  <c r="V294" i="18"/>
  <c r="V264" i="18"/>
  <c r="V252" i="18"/>
  <c r="V244" i="18"/>
  <c r="V236" i="18"/>
  <c r="V216" i="18"/>
  <c r="V212" i="18"/>
  <c r="V293" i="18"/>
  <c r="V275" i="18"/>
  <c r="V259" i="18"/>
  <c r="V247" i="18"/>
  <c r="V235" i="18"/>
  <c r="V227" i="18"/>
  <c r="V219" i="18"/>
  <c r="V207" i="18"/>
  <c r="V203" i="18"/>
  <c r="V199" i="18"/>
  <c r="V292" i="18"/>
  <c r="V282" i="18"/>
  <c r="V274" i="18"/>
  <c r="V270" i="18"/>
  <c r="V266" i="18"/>
  <c r="V254" i="18"/>
  <c r="V246" i="18"/>
  <c r="V226" i="18"/>
  <c r="V218" i="18"/>
  <c r="V198" i="18"/>
  <c r="V196" i="18"/>
  <c r="V194" i="18"/>
  <c r="V190" i="18"/>
  <c r="V186" i="18"/>
  <c r="V182" i="18"/>
  <c r="V178" i="18"/>
  <c r="V174" i="18"/>
  <c r="V170" i="18"/>
  <c r="V166" i="18"/>
  <c r="V162" i="18"/>
  <c r="V158" i="18"/>
  <c r="V154" i="18"/>
  <c r="V150" i="18"/>
  <c r="V146" i="18"/>
  <c r="V289" i="18"/>
  <c r="V283" i="18"/>
  <c r="V271" i="18"/>
  <c r="V267" i="18"/>
  <c r="V255" i="18"/>
  <c r="V239" i="18"/>
  <c r="V288" i="18"/>
  <c r="V278" i="18"/>
  <c r="V250" i="18"/>
  <c r="V238" i="18"/>
  <c r="V230" i="18"/>
  <c r="V222" i="18"/>
  <c r="V214" i="18"/>
  <c r="V210" i="18"/>
  <c r="V298" i="18"/>
  <c r="V280" i="18"/>
  <c r="V272" i="18"/>
  <c r="V268" i="18"/>
  <c r="V256" i="18"/>
  <c r="V240" i="18"/>
  <c r="V232" i="18"/>
  <c r="V224" i="18"/>
  <c r="V192" i="18"/>
  <c r="V188" i="18"/>
  <c r="V184" i="18"/>
  <c r="V180" i="18"/>
  <c r="V176" i="18"/>
  <c r="V172" i="18"/>
  <c r="V168" i="18"/>
  <c r="V164" i="18"/>
  <c r="V160" i="18"/>
  <c r="V156" i="18"/>
  <c r="V152" i="18"/>
  <c r="V148" i="18"/>
  <c r="V279" i="18"/>
  <c r="V263" i="18"/>
  <c r="V251" i="18"/>
  <c r="V231" i="18"/>
  <c r="V284" i="18"/>
  <c r="V265" i="18"/>
  <c r="V261" i="18"/>
  <c r="V221" i="18"/>
  <c r="V163" i="18"/>
  <c r="V135" i="18"/>
  <c r="V223" i="18"/>
  <c r="V144" i="18"/>
  <c r="V138" i="18"/>
  <c r="V287" i="18"/>
  <c r="V276" i="18"/>
  <c r="V228" i="18"/>
  <c r="V213" i="18"/>
  <c r="V211" i="18"/>
  <c r="V204" i="18"/>
  <c r="V187" i="18"/>
  <c r="V175" i="18"/>
  <c r="V149" i="18"/>
  <c r="V147" i="18"/>
  <c r="V141" i="18"/>
  <c r="V159" i="18"/>
  <c r="V290" i="18"/>
  <c r="V243" i="18"/>
  <c r="V201" i="18"/>
  <c r="T196" i="18"/>
  <c r="V139" i="18"/>
  <c r="V299" i="18"/>
  <c r="V260" i="18"/>
  <c r="V248" i="18"/>
  <c r="V241" i="18"/>
  <c r="V220" i="18"/>
  <c r="V215" i="18"/>
  <c r="V171" i="18"/>
  <c r="V142" i="18"/>
  <c r="V136" i="18"/>
  <c r="V183" i="18"/>
  <c r="V155" i="18"/>
  <c r="V145" i="18"/>
  <c r="V291" i="18"/>
  <c r="V285" i="18"/>
  <c r="V208" i="18"/>
  <c r="V249" i="18"/>
  <c r="V167" i="18"/>
  <c r="V143" i="18"/>
  <c r="V237" i="18"/>
  <c r="V209" i="18"/>
  <c r="V191" i="18"/>
  <c r="V140" i="18"/>
  <c r="V253" i="18"/>
  <c r="V137" i="18"/>
  <c r="V229" i="18"/>
  <c r="V200" i="18"/>
  <c r="V151" i="18"/>
  <c r="V297" i="18"/>
  <c r="V205" i="18"/>
  <c r="V179" i="18"/>
  <c r="V277" i="18"/>
  <c r="V153" i="18"/>
  <c r="T93" i="9"/>
  <c r="Z16" i="9"/>
  <c r="X16" i="9"/>
  <c r="X18" i="110"/>
  <c r="P27" i="110"/>
  <c r="L18" i="43"/>
  <c r="D27" i="43"/>
  <c r="L18" i="35"/>
  <c r="D27" i="35"/>
  <c r="H27" i="34"/>
  <c r="N18" i="34"/>
  <c r="N18" i="41"/>
  <c r="H27" i="41"/>
  <c r="H27" i="31"/>
  <c r="N18" i="31"/>
  <c r="D27" i="28"/>
  <c r="L18" i="28"/>
  <c r="H27" i="23"/>
  <c r="N18" i="23"/>
  <c r="H27" i="26"/>
  <c r="N18" i="26"/>
  <c r="X18" i="19"/>
  <c r="P27" i="19"/>
  <c r="X18" i="11"/>
  <c r="P27" i="11"/>
  <c r="T27" i="5"/>
  <c r="Z18" i="5"/>
  <c r="H22" i="54"/>
  <c r="N16" i="54"/>
  <c r="H28" i="106"/>
  <c r="N24" i="106"/>
  <c r="R17" i="104"/>
  <c r="X12" i="104"/>
  <c r="Z12" i="104" s="1"/>
  <c r="R36" i="104"/>
  <c r="R35" i="104"/>
  <c r="R28" i="104"/>
  <c r="R27" i="104"/>
  <c r="R56" i="104"/>
  <c r="R46" i="104"/>
  <c r="R18" i="104"/>
  <c r="R47" i="104"/>
  <c r="R40" i="104"/>
  <c r="R39" i="104"/>
  <c r="R24" i="104"/>
  <c r="R42" i="104"/>
  <c r="R41" i="104"/>
  <c r="R25" i="104"/>
  <c r="R49" i="104"/>
  <c r="R48" i="104"/>
  <c r="R50" i="104"/>
  <c r="R30" i="104"/>
  <c r="R33" i="104"/>
  <c r="P21" i="104"/>
  <c r="R52" i="104"/>
  <c r="R45" i="104"/>
  <c r="R34" i="104"/>
  <c r="R26" i="104"/>
  <c r="R23" i="104"/>
  <c r="R37" i="104"/>
  <c r="R31" i="104"/>
  <c r="R29" i="104"/>
  <c r="R43" i="104"/>
  <c r="R32" i="104"/>
  <c r="R19" i="104"/>
  <c r="R38" i="104"/>
  <c r="R44" i="104"/>
  <c r="V21" i="104"/>
  <c r="P85" i="103"/>
  <c r="X22" i="103"/>
  <c r="H54" i="104"/>
  <c r="H85" i="101"/>
  <c r="T53" i="98"/>
  <c r="Z20" i="98"/>
  <c r="N20" i="95"/>
  <c r="H93" i="95"/>
  <c r="D77" i="88"/>
  <c r="L20" i="88"/>
  <c r="N20" i="88" s="1"/>
  <c r="P30" i="85"/>
  <c r="X18" i="85"/>
  <c r="Z18" i="85" s="1"/>
  <c r="F77" i="93"/>
  <c r="F72" i="93"/>
  <c r="F63" i="93"/>
  <c r="F59" i="93"/>
  <c r="F58" i="93"/>
  <c r="F35" i="93"/>
  <c r="F53" i="93"/>
  <c r="F82" i="93"/>
  <c r="F79" i="93"/>
  <c r="F64" i="93"/>
  <c r="F60" i="93"/>
  <c r="F44" i="93"/>
  <c r="F43" i="93"/>
  <c r="F36" i="93"/>
  <c r="F61" i="93"/>
  <c r="F32" i="93"/>
  <c r="F41" i="93"/>
  <c r="F33" i="93"/>
  <c r="F73" i="93"/>
  <c r="F70" i="93"/>
  <c r="F55" i="93"/>
  <c r="F52" i="93"/>
  <c r="F45" i="93"/>
  <c r="F42" i="93"/>
  <c r="F29" i="93"/>
  <c r="F26" i="93"/>
  <c r="F17" i="93"/>
  <c r="F16" i="93"/>
  <c r="F67" i="93"/>
  <c r="F62" i="93"/>
  <c r="L12" i="93"/>
  <c r="F56" i="93"/>
  <c r="F49" i="93"/>
  <c r="F37" i="93"/>
  <c r="F34" i="93"/>
  <c r="F68" i="93"/>
  <c r="F65" i="93"/>
  <c r="F46" i="93"/>
  <c r="F30" i="93"/>
  <c r="F18" i="93"/>
  <c r="F27" i="93"/>
  <c r="F75" i="93"/>
  <c r="F50" i="93"/>
  <c r="F24" i="93"/>
  <c r="F23" i="93"/>
  <c r="F38" i="93"/>
  <c r="F22" i="93"/>
  <c r="F20" i="93"/>
  <c r="F66" i="93"/>
  <c r="F47" i="93"/>
  <c r="F31" i="93"/>
  <c r="D20" i="93"/>
  <c r="F48" i="93"/>
  <c r="F40" i="93"/>
  <c r="F28" i="93"/>
  <c r="F54" i="93"/>
  <c r="F25" i="93"/>
  <c r="F69" i="93"/>
  <c r="F39" i="93"/>
  <c r="F51" i="93"/>
  <c r="F57" i="93"/>
  <c r="N22" i="82"/>
  <c r="H30" i="82"/>
  <c r="V82" i="80"/>
  <c r="L20" i="79"/>
  <c r="N20" i="79" s="1"/>
  <c r="D73" i="79"/>
  <c r="V58" i="78"/>
  <c r="V50" i="78"/>
  <c r="V42" i="78"/>
  <c r="V49" i="78"/>
  <c r="V37" i="78"/>
  <c r="V33" i="78"/>
  <c r="V24" i="78"/>
  <c r="V20" i="78"/>
  <c r="V69" i="78"/>
  <c r="V59" i="78"/>
  <c r="V51" i="78"/>
  <c r="V43" i="78"/>
  <c r="V39" i="78"/>
  <c r="V68" i="78"/>
  <c r="V38" i="78"/>
  <c r="V34" i="78"/>
  <c r="V30" i="78"/>
  <c r="V67" i="78"/>
  <c r="V61" i="78"/>
  <c r="V53" i="78"/>
  <c r="V29" i="78"/>
  <c r="V25" i="78"/>
  <c r="V21" i="78"/>
  <c r="V66" i="78"/>
  <c r="V60" i="78"/>
  <c r="V52" i="78"/>
  <c r="V44" i="78"/>
  <c r="V40" i="78"/>
  <c r="T27" i="78"/>
  <c r="V27" i="78" s="1"/>
  <c r="Z12" i="78"/>
  <c r="V73" i="78"/>
  <c r="V65" i="78"/>
  <c r="V55" i="78"/>
  <c r="V35" i="78"/>
  <c r="V31" i="78"/>
  <c r="V64" i="78"/>
  <c r="V62" i="78"/>
  <c r="V54" i="78"/>
  <c r="V46" i="78"/>
  <c r="V22" i="78"/>
  <c r="V57" i="78"/>
  <c r="V45" i="78"/>
  <c r="V41" i="78"/>
  <c r="V56" i="78"/>
  <c r="V48" i="78"/>
  <c r="V36" i="78"/>
  <c r="V32" i="78"/>
  <c r="V47" i="78"/>
  <c r="V23" i="78"/>
  <c r="T80" i="75"/>
  <c r="X27" i="78"/>
  <c r="P71" i="78"/>
  <c r="L64" i="78"/>
  <c r="N64" i="78" s="1"/>
  <c r="R20" i="80"/>
  <c r="R27" i="72"/>
  <c r="X16" i="67"/>
  <c r="P22" i="67"/>
  <c r="Z22" i="67"/>
  <c r="T26" i="67"/>
  <c r="X33" i="55"/>
  <c r="P37" i="55"/>
  <c r="P74" i="56"/>
  <c r="X16" i="56"/>
  <c r="N106" i="51"/>
  <c r="V17" i="48"/>
  <c r="H136" i="39"/>
  <c r="J39" i="39"/>
  <c r="Z124" i="36"/>
  <c r="R69" i="45"/>
  <c r="R85" i="45"/>
  <c r="R84" i="45"/>
  <c r="R80" i="45"/>
  <c r="R76" i="45"/>
  <c r="R61" i="45"/>
  <c r="R60" i="45"/>
  <c r="R49" i="45"/>
  <c r="R48" i="45"/>
  <c r="R37" i="45"/>
  <c r="R36" i="45"/>
  <c r="R97" i="45"/>
  <c r="R87" i="45"/>
  <c r="R86" i="45"/>
  <c r="R71" i="45"/>
  <c r="R70" i="45"/>
  <c r="R63" i="45"/>
  <c r="R62" i="45"/>
  <c r="R51" i="45"/>
  <c r="R50" i="45"/>
  <c r="R90" i="45"/>
  <c r="R82" i="45"/>
  <c r="R78" i="45"/>
  <c r="R67" i="45"/>
  <c r="R66" i="45"/>
  <c r="R55" i="45"/>
  <c r="R54" i="45"/>
  <c r="R34" i="45"/>
  <c r="R30" i="45"/>
  <c r="R73" i="45"/>
  <c r="R91" i="45"/>
  <c r="R83" i="45"/>
  <c r="R79" i="45"/>
  <c r="R89" i="45"/>
  <c r="R28" i="45"/>
  <c r="R74" i="45"/>
  <c r="R72" i="45"/>
  <c r="R59" i="45"/>
  <c r="R41" i="45"/>
  <c r="R65" i="45"/>
  <c r="R44" i="45"/>
  <c r="R38" i="45"/>
  <c r="R57" i="45"/>
  <c r="R45" i="45"/>
  <c r="R32" i="45"/>
  <c r="R35" i="45"/>
  <c r="R29" i="45"/>
  <c r="R20" i="45"/>
  <c r="R42" i="45"/>
  <c r="R77" i="45"/>
  <c r="R75" i="45"/>
  <c r="R68" i="45"/>
  <c r="R39" i="45"/>
  <c r="R21" i="45"/>
  <c r="R93" i="45"/>
  <c r="R52" i="45"/>
  <c r="R33" i="45"/>
  <c r="X12" i="45"/>
  <c r="R81" i="45"/>
  <c r="R58" i="45"/>
  <c r="R46" i="45"/>
  <c r="R43" i="45"/>
  <c r="R40" i="45"/>
  <c r="R26" i="45"/>
  <c r="R47" i="45"/>
  <c r="R31" i="45"/>
  <c r="R64" i="45"/>
  <c r="R56" i="45"/>
  <c r="P24" i="45"/>
  <c r="R88" i="45"/>
  <c r="R27" i="45"/>
  <c r="R22" i="45"/>
  <c r="R53" i="45"/>
  <c r="J153" i="30"/>
  <c r="J139" i="30"/>
  <c r="J127" i="30"/>
  <c r="J121" i="30"/>
  <c r="J113" i="30"/>
  <c r="J103" i="30"/>
  <c r="J93" i="30"/>
  <c r="J87" i="30"/>
  <c r="J140" i="30"/>
  <c r="J134" i="30"/>
  <c r="J128" i="30"/>
  <c r="J122" i="30"/>
  <c r="J114" i="30"/>
  <c r="J104" i="30"/>
  <c r="J94" i="30"/>
  <c r="J82" i="30"/>
  <c r="J78" i="30"/>
  <c r="J141" i="30"/>
  <c r="J129" i="30"/>
  <c r="J115" i="30"/>
  <c r="J105" i="30"/>
  <c r="J95" i="30"/>
  <c r="J69" i="30"/>
  <c r="J65" i="30"/>
  <c r="J61" i="30"/>
  <c r="J57" i="30"/>
  <c r="J53" i="30"/>
  <c r="J49" i="30"/>
  <c r="J142" i="30"/>
  <c r="J116" i="30"/>
  <c r="J96" i="30"/>
  <c r="J88" i="30"/>
  <c r="N12" i="30"/>
  <c r="J143" i="30"/>
  <c r="J135" i="30"/>
  <c r="J123" i="30"/>
  <c r="J117" i="30"/>
  <c r="J97" i="30"/>
  <c r="J83" i="30"/>
  <c r="J79" i="30"/>
  <c r="J130" i="30"/>
  <c r="J124" i="30"/>
  <c r="J118" i="30"/>
  <c r="J106" i="30"/>
  <c r="J98" i="30"/>
  <c r="J84" i="30"/>
  <c r="J70" i="30"/>
  <c r="J66" i="30"/>
  <c r="J62" i="30"/>
  <c r="J58" i="30"/>
  <c r="J54" i="30"/>
  <c r="J50" i="30"/>
  <c r="J131" i="30"/>
  <c r="J125" i="30"/>
  <c r="J107" i="30"/>
  <c r="J144" i="30"/>
  <c r="J136" i="30"/>
  <c r="J132" i="30"/>
  <c r="J108" i="30"/>
  <c r="J80" i="30"/>
  <c r="J76" i="30"/>
  <c r="J74" i="30"/>
  <c r="J46" i="30"/>
  <c r="J145" i="30"/>
  <c r="J119" i="30"/>
  <c r="J109" i="30"/>
  <c r="J99" i="30"/>
  <c r="H72" i="30"/>
  <c r="J67" i="30"/>
  <c r="J63" i="30"/>
  <c r="J59" i="30"/>
  <c r="J55" i="30"/>
  <c r="J51" i="30"/>
  <c r="J47" i="30"/>
  <c r="J149" i="30"/>
  <c r="J137" i="30"/>
  <c r="J133" i="30"/>
  <c r="J111" i="30"/>
  <c r="J101" i="30"/>
  <c r="J91" i="30"/>
  <c r="J81" i="30"/>
  <c r="J77" i="30"/>
  <c r="J112" i="30"/>
  <c r="J110" i="30"/>
  <c r="J148" i="30"/>
  <c r="J92" i="30"/>
  <c r="J86" i="30"/>
  <c r="J64" i="30"/>
  <c r="J90" i="30"/>
  <c r="J56" i="30"/>
  <c r="J138" i="30"/>
  <c r="J120" i="30"/>
  <c r="J75" i="30"/>
  <c r="J85" i="30"/>
  <c r="J146" i="30"/>
  <c r="J68" i="30"/>
  <c r="J48" i="30"/>
  <c r="J89" i="30"/>
  <c r="J126" i="30"/>
  <c r="J102" i="30"/>
  <c r="J52" i="30"/>
  <c r="J60" i="30"/>
  <c r="J100" i="30"/>
  <c r="R120" i="27"/>
  <c r="R117" i="27"/>
  <c r="R109" i="27"/>
  <c r="R61" i="27"/>
  <c r="R57" i="27"/>
  <c r="R53" i="27"/>
  <c r="R49" i="27"/>
  <c r="R126" i="27"/>
  <c r="R119" i="27"/>
  <c r="R104" i="27"/>
  <c r="R97" i="27"/>
  <c r="R96" i="27"/>
  <c r="R80" i="27"/>
  <c r="X12" i="27"/>
  <c r="Z12" i="27" s="1"/>
  <c r="R88" i="27"/>
  <c r="R87" i="27"/>
  <c r="R75" i="27"/>
  <c r="R71" i="27"/>
  <c r="R111" i="27"/>
  <c r="R110" i="27"/>
  <c r="R99" i="27"/>
  <c r="R98" i="27"/>
  <c r="R67" i="27"/>
  <c r="R62" i="27"/>
  <c r="R58" i="27"/>
  <c r="R54" i="27"/>
  <c r="R50" i="27"/>
  <c r="R106" i="27"/>
  <c r="R105" i="27"/>
  <c r="R90" i="27"/>
  <c r="R89" i="27"/>
  <c r="R81" i="27"/>
  <c r="R66" i="27"/>
  <c r="R64" i="27"/>
  <c r="R83" i="27"/>
  <c r="R82" i="27"/>
  <c r="R78" i="27"/>
  <c r="R114" i="27"/>
  <c r="R113" i="27"/>
  <c r="R101" i="27"/>
  <c r="R93" i="27"/>
  <c r="R73" i="27"/>
  <c r="R69" i="27"/>
  <c r="R122" i="27"/>
  <c r="R116" i="27"/>
  <c r="R115" i="27"/>
  <c r="R79" i="27"/>
  <c r="R107" i="27"/>
  <c r="R84" i="27"/>
  <c r="P64" i="27"/>
  <c r="R59" i="27"/>
  <c r="R46" i="27"/>
  <c r="R95" i="27"/>
  <c r="R77" i="27"/>
  <c r="R121" i="27"/>
  <c r="R48" i="27"/>
  <c r="R100" i="27"/>
  <c r="R91" i="27"/>
  <c r="R52" i="27"/>
  <c r="R112" i="27"/>
  <c r="R102" i="27"/>
  <c r="R85" i="27"/>
  <c r="R56" i="27"/>
  <c r="R68" i="27"/>
  <c r="R108" i="27"/>
  <c r="R60" i="27"/>
  <c r="R92" i="27"/>
  <c r="R72" i="27"/>
  <c r="R70" i="27"/>
  <c r="R47" i="27"/>
  <c r="R103" i="27"/>
  <c r="R76" i="27"/>
  <c r="R74" i="27"/>
  <c r="R55" i="27"/>
  <c r="R86" i="27"/>
  <c r="R51" i="27"/>
  <c r="R94" i="27"/>
  <c r="L261" i="15"/>
  <c r="R270" i="15"/>
  <c r="R255" i="15"/>
  <c r="R247" i="15"/>
  <c r="R243" i="15"/>
  <c r="R232" i="15"/>
  <c r="R231" i="15"/>
  <c r="R208" i="15"/>
  <c r="R207" i="15"/>
  <c r="R199" i="15"/>
  <c r="R167" i="15"/>
  <c r="R163" i="15"/>
  <c r="R159" i="15"/>
  <c r="R155" i="15"/>
  <c r="R151" i="15"/>
  <c r="R147" i="15"/>
  <c r="R143" i="15"/>
  <c r="R139" i="15"/>
  <c r="R135" i="15"/>
  <c r="R131" i="15"/>
  <c r="R127" i="15"/>
  <c r="R123" i="15"/>
  <c r="R119" i="15"/>
  <c r="R269" i="15"/>
  <c r="R238" i="15"/>
  <c r="R226" i="15"/>
  <c r="R219" i="15"/>
  <c r="R218" i="15"/>
  <c r="R191" i="15"/>
  <c r="R190" i="15"/>
  <c r="R186" i="15"/>
  <c r="R268" i="15"/>
  <c r="R233" i="15"/>
  <c r="R210" i="15"/>
  <c r="R209" i="15"/>
  <c r="R181" i="15"/>
  <c r="R177" i="15"/>
  <c r="R274" i="15"/>
  <c r="R267" i="15"/>
  <c r="R256" i="15"/>
  <c r="R249" i="15"/>
  <c r="R248" i="15"/>
  <c r="R244" i="15"/>
  <c r="R221" i="15"/>
  <c r="R220" i="15"/>
  <c r="R201" i="15"/>
  <c r="R200" i="15"/>
  <c r="R193" i="15"/>
  <c r="R192" i="15"/>
  <c r="R173" i="15"/>
  <c r="R168" i="15"/>
  <c r="R164" i="15"/>
  <c r="R160" i="15"/>
  <c r="R156" i="15"/>
  <c r="R152" i="15"/>
  <c r="R148" i="15"/>
  <c r="R144" i="15"/>
  <c r="R140" i="15"/>
  <c r="R136" i="15"/>
  <c r="R132" i="15"/>
  <c r="R128" i="15"/>
  <c r="R124" i="15"/>
  <c r="R120" i="15"/>
  <c r="R266" i="15"/>
  <c r="R240" i="15"/>
  <c r="R239" i="15"/>
  <c r="R228" i="15"/>
  <c r="R227" i="15"/>
  <c r="R211" i="15"/>
  <c r="R187" i="15"/>
  <c r="R172" i="15"/>
  <c r="R265" i="15"/>
  <c r="R250" i="15"/>
  <c r="R234" i="15"/>
  <c r="R223" i="15"/>
  <c r="R222" i="15"/>
  <c r="R202" i="15"/>
  <c r="R194" i="15"/>
  <c r="R183" i="15"/>
  <c r="R182" i="15"/>
  <c r="R178" i="15"/>
  <c r="R174" i="15"/>
  <c r="P170" i="15"/>
  <c r="R264" i="15"/>
  <c r="R258" i="15"/>
  <c r="R257" i="15"/>
  <c r="R245" i="15"/>
  <c r="R241" i="15"/>
  <c r="R263" i="15"/>
  <c r="R224" i="15"/>
  <c r="R213" i="15"/>
  <c r="R212" i="15"/>
  <c r="R188" i="15"/>
  <c r="R184" i="15"/>
  <c r="R117" i="15"/>
  <c r="X12" i="15"/>
  <c r="Z12" i="15" s="1"/>
  <c r="R262" i="15"/>
  <c r="R259" i="15"/>
  <c r="R252" i="15"/>
  <c r="R251" i="15"/>
  <c r="R235" i="15"/>
  <c r="R204" i="15"/>
  <c r="R203" i="15"/>
  <c r="R196" i="15"/>
  <c r="R195" i="15"/>
  <c r="R179" i="15"/>
  <c r="R175" i="15"/>
  <c r="R261" i="15"/>
  <c r="R246" i="15"/>
  <c r="R242" i="15"/>
  <c r="R230" i="15"/>
  <c r="R215" i="15"/>
  <c r="R214" i="15"/>
  <c r="R166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206" i="15"/>
  <c r="R137" i="15"/>
  <c r="R185" i="15"/>
  <c r="R153" i="15"/>
  <c r="R129" i="15"/>
  <c r="R225" i="15"/>
  <c r="R217" i="15"/>
  <c r="R176" i="15"/>
  <c r="R197" i="15"/>
  <c r="R189" i="15"/>
  <c r="R157" i="15"/>
  <c r="R121" i="15"/>
  <c r="R253" i="15"/>
  <c r="R141" i="15"/>
  <c r="R236" i="15"/>
  <c r="R229" i="15"/>
  <c r="R205" i="15"/>
  <c r="R180" i="15"/>
  <c r="R161" i="15"/>
  <c r="R133" i="15"/>
  <c r="R145" i="15"/>
  <c r="R237" i="15"/>
  <c r="R198" i="15"/>
  <c r="R165" i="15"/>
  <c r="R149" i="15"/>
  <c r="R216" i="15"/>
  <c r="R254" i="15"/>
  <c r="R125" i="15"/>
  <c r="H27" i="110"/>
  <c r="N18" i="110"/>
  <c r="L18" i="53"/>
  <c r="D27" i="53"/>
  <c r="L18" i="49"/>
  <c r="D27" i="49"/>
  <c r="T27" i="46"/>
  <c r="Z18" i="46"/>
  <c r="L18" i="46"/>
  <c r="D27" i="46"/>
  <c r="X18" i="49"/>
  <c r="P27" i="49"/>
  <c r="L18" i="44"/>
  <c r="D27" i="44"/>
  <c r="Z18" i="49"/>
  <c r="T27" i="49"/>
  <c r="T27" i="41"/>
  <c r="Z18" i="41"/>
  <c r="X18" i="40"/>
  <c r="P27" i="40"/>
  <c r="P27" i="50"/>
  <c r="X18" i="50"/>
  <c r="T27" i="40"/>
  <c r="Z18" i="40"/>
  <c r="T27" i="29"/>
  <c r="Z18" i="29"/>
  <c r="T27" i="35"/>
  <c r="Z18" i="35"/>
  <c r="H27" i="22"/>
  <c r="N18" i="22"/>
  <c r="H27" i="28"/>
  <c r="N18" i="28"/>
  <c r="H27" i="16"/>
  <c r="N18" i="16"/>
  <c r="X21" i="92"/>
  <c r="Z21" i="92" s="1"/>
  <c r="P80" i="92"/>
  <c r="J69" i="83"/>
  <c r="J57" i="83"/>
  <c r="J37" i="83"/>
  <c r="J33" i="83"/>
  <c r="J23" i="83"/>
  <c r="J84" i="83"/>
  <c r="J70" i="83"/>
  <c r="J64" i="83"/>
  <c r="J58" i="83"/>
  <c r="J75" i="83"/>
  <c r="J71" i="83"/>
  <c r="J88" i="83"/>
  <c r="J48" i="83"/>
  <c r="J78" i="83"/>
  <c r="J66" i="83"/>
  <c r="J52" i="83"/>
  <c r="J42" i="83"/>
  <c r="J30" i="83"/>
  <c r="J26" i="83"/>
  <c r="J16" i="83"/>
  <c r="J79" i="83"/>
  <c r="J73" i="83"/>
  <c r="J67" i="83"/>
  <c r="J50" i="83"/>
  <c r="J77" i="83"/>
  <c r="J61" i="83"/>
  <c r="J43" i="83"/>
  <c r="J62" i="83"/>
  <c r="J31" i="83"/>
  <c r="J28" i="83"/>
  <c r="J25" i="83"/>
  <c r="J18" i="83"/>
  <c r="J80" i="83"/>
  <c r="J65" i="83"/>
  <c r="J55" i="83"/>
  <c r="J51" i="83"/>
  <c r="J38" i="83"/>
  <c r="J35" i="83"/>
  <c r="J68" i="83"/>
  <c r="J47" i="83"/>
  <c r="J44" i="83"/>
  <c r="J32" i="83"/>
  <c r="J39" i="83"/>
  <c r="J81" i="83"/>
  <c r="J63" i="83"/>
  <c r="J59" i="83"/>
  <c r="J56" i="83"/>
  <c r="J29" i="83"/>
  <c r="H20" i="83"/>
  <c r="J40" i="83"/>
  <c r="J36" i="83"/>
  <c r="J22" i="83"/>
  <c r="J76" i="83"/>
  <c r="J74" i="83"/>
  <c r="J60" i="83"/>
  <c r="J49" i="83"/>
  <c r="J46" i="83"/>
  <c r="J24" i="83"/>
  <c r="J41" i="83"/>
  <c r="J17" i="83"/>
  <c r="J45" i="83"/>
  <c r="J53" i="83"/>
  <c r="J34" i="83"/>
  <c r="J82" i="83"/>
  <c r="J27" i="83"/>
  <c r="J72" i="83"/>
  <c r="J54" i="83"/>
  <c r="L12" i="83"/>
  <c r="N12" i="83" s="1"/>
  <c r="Z106" i="76"/>
  <c r="V113" i="74"/>
  <c r="V71" i="74"/>
  <c r="V67" i="74"/>
  <c r="V112" i="74"/>
  <c r="V110" i="74"/>
  <c r="V102" i="74"/>
  <c r="V98" i="74"/>
  <c r="V90" i="74"/>
  <c r="V82" i="74"/>
  <c r="V74" i="74"/>
  <c r="V62" i="74"/>
  <c r="V58" i="74"/>
  <c r="V97" i="74"/>
  <c r="V81" i="74"/>
  <c r="V73" i="74"/>
  <c r="V49" i="74"/>
  <c r="V45" i="74"/>
  <c r="V41" i="74"/>
  <c r="V37" i="74"/>
  <c r="V104" i="74"/>
  <c r="V92" i="74"/>
  <c r="V84" i="74"/>
  <c r="V68" i="74"/>
  <c r="V117" i="74"/>
  <c r="V103" i="74"/>
  <c r="V99" i="74"/>
  <c r="V91" i="74"/>
  <c r="V83" i="74"/>
  <c r="V75" i="74"/>
  <c r="V63" i="74"/>
  <c r="V59" i="74"/>
  <c r="V106" i="74"/>
  <c r="V86" i="74"/>
  <c r="V50" i="74"/>
  <c r="V46" i="74"/>
  <c r="V42" i="74"/>
  <c r="V38" i="74"/>
  <c r="V105" i="74"/>
  <c r="V93" i="74"/>
  <c r="V85" i="74"/>
  <c r="V77" i="74"/>
  <c r="V69" i="74"/>
  <c r="V65" i="74"/>
  <c r="V108" i="74"/>
  <c r="V100" i="74"/>
  <c r="V88" i="74"/>
  <c r="V76" i="74"/>
  <c r="V64" i="74"/>
  <c r="V60" i="74"/>
  <c r="V56" i="74"/>
  <c r="V107" i="74"/>
  <c r="V95" i="74"/>
  <c r="V87" i="74"/>
  <c r="V79" i="74"/>
  <c r="V55" i="74"/>
  <c r="V51" i="74"/>
  <c r="V47" i="74"/>
  <c r="V43" i="74"/>
  <c r="V39" i="74"/>
  <c r="V35" i="74"/>
  <c r="V94" i="74"/>
  <c r="V78" i="74"/>
  <c r="V70" i="74"/>
  <c r="V66" i="74"/>
  <c r="T53" i="74"/>
  <c r="V53" i="74" s="1"/>
  <c r="V57" i="74"/>
  <c r="V36" i="74"/>
  <c r="Z12" i="74"/>
  <c r="V101" i="74"/>
  <c r="V96" i="74"/>
  <c r="V40" i="74"/>
  <c r="V109" i="74"/>
  <c r="V44" i="74"/>
  <c r="V89" i="74"/>
  <c r="V72" i="74"/>
  <c r="V61" i="74"/>
  <c r="V48" i="74"/>
  <c r="V80" i="74"/>
  <c r="N16" i="108"/>
  <c r="H37" i="108"/>
  <c r="F89" i="107"/>
  <c r="F67" i="107"/>
  <c r="F39" i="107"/>
  <c r="F35" i="107"/>
  <c r="F34" i="107"/>
  <c r="D21" i="107"/>
  <c r="F78" i="107"/>
  <c r="F77" i="107"/>
  <c r="F62" i="107"/>
  <c r="F61" i="107"/>
  <c r="F50" i="107"/>
  <c r="F49" i="107"/>
  <c r="F30" i="107"/>
  <c r="F26" i="107"/>
  <c r="F73" i="107"/>
  <c r="F94" i="107"/>
  <c r="F91" i="107"/>
  <c r="F80" i="107"/>
  <c r="F79" i="107"/>
  <c r="F68" i="107"/>
  <c r="F63" i="107"/>
  <c r="F31" i="107"/>
  <c r="F27" i="107"/>
  <c r="F82" i="107"/>
  <c r="F81" i="107"/>
  <c r="F74" i="107"/>
  <c r="F70" i="107"/>
  <c r="F69" i="107"/>
  <c r="F54" i="107"/>
  <c r="F53" i="107"/>
  <c r="F42" i="107"/>
  <c r="F41" i="107"/>
  <c r="F18" i="107"/>
  <c r="F17" i="107"/>
  <c r="F64" i="107"/>
  <c r="F56" i="107"/>
  <c r="F55" i="107"/>
  <c r="F44" i="107"/>
  <c r="F43" i="107"/>
  <c r="F32" i="107"/>
  <c r="F28" i="107"/>
  <c r="F83" i="107"/>
  <c r="F75" i="107"/>
  <c r="F71" i="107"/>
  <c r="F19" i="107"/>
  <c r="F33" i="107"/>
  <c r="F29" i="107"/>
  <c r="F25" i="107"/>
  <c r="F24" i="107"/>
  <c r="F38" i="107"/>
  <c r="F66" i="107"/>
  <c r="F60" i="107"/>
  <c r="F58" i="107"/>
  <c r="F76" i="107"/>
  <c r="F40" i="107"/>
  <c r="F21" i="107"/>
  <c r="F85" i="107"/>
  <c r="F52" i="107"/>
  <c r="F47" i="107"/>
  <c r="F45" i="107"/>
  <c r="F37" i="107"/>
  <c r="F59" i="107"/>
  <c r="F23" i="107"/>
  <c r="L12" i="107"/>
  <c r="N12" i="107" s="1"/>
  <c r="F72" i="107"/>
  <c r="F65" i="107"/>
  <c r="F57" i="107"/>
  <c r="F87" i="107"/>
  <c r="F46" i="107"/>
  <c r="F51" i="107"/>
  <c r="F36" i="107"/>
  <c r="F48" i="107"/>
  <c r="T55" i="102"/>
  <c r="R96" i="74"/>
  <c r="R80" i="74"/>
  <c r="R48" i="74"/>
  <c r="R44" i="74"/>
  <c r="R40" i="74"/>
  <c r="R36" i="74"/>
  <c r="R72" i="74"/>
  <c r="R71" i="74"/>
  <c r="R67" i="74"/>
  <c r="R113" i="74"/>
  <c r="R110" i="74"/>
  <c r="R102" i="74"/>
  <c r="R90" i="74"/>
  <c r="R62" i="74"/>
  <c r="R58" i="74"/>
  <c r="R112" i="74"/>
  <c r="R98" i="74"/>
  <c r="R97" i="74"/>
  <c r="R82" i="74"/>
  <c r="R81" i="74"/>
  <c r="R74" i="74"/>
  <c r="R73" i="74"/>
  <c r="R49" i="74"/>
  <c r="R45" i="74"/>
  <c r="R68" i="74"/>
  <c r="X12" i="74"/>
  <c r="R117" i="74"/>
  <c r="R104" i="74"/>
  <c r="R103" i="74"/>
  <c r="R99" i="74"/>
  <c r="R92" i="74"/>
  <c r="R91" i="74"/>
  <c r="R84" i="74"/>
  <c r="R83" i="74"/>
  <c r="R75" i="74"/>
  <c r="R63" i="74"/>
  <c r="R59" i="74"/>
  <c r="R50" i="74"/>
  <c r="R46" i="74"/>
  <c r="R42" i="74"/>
  <c r="R106" i="74"/>
  <c r="R105" i="74"/>
  <c r="R93" i="74"/>
  <c r="R86" i="74"/>
  <c r="R85" i="74"/>
  <c r="R69" i="74"/>
  <c r="R100" i="74"/>
  <c r="R77" i="74"/>
  <c r="R76" i="74"/>
  <c r="R65" i="74"/>
  <c r="R64" i="74"/>
  <c r="R60" i="74"/>
  <c r="R108" i="74"/>
  <c r="R107" i="74"/>
  <c r="R88" i="74"/>
  <c r="R87" i="74"/>
  <c r="R56" i="74"/>
  <c r="R51" i="74"/>
  <c r="R47" i="74"/>
  <c r="R43" i="74"/>
  <c r="R39" i="74"/>
  <c r="R94" i="74"/>
  <c r="R57" i="74"/>
  <c r="R38" i="74"/>
  <c r="R101" i="74"/>
  <c r="R79" i="74"/>
  <c r="R66" i="74"/>
  <c r="R109" i="74"/>
  <c r="P53" i="74"/>
  <c r="R53" i="74" s="1"/>
  <c r="R89" i="74"/>
  <c r="R95" i="74"/>
  <c r="R70" i="74"/>
  <c r="R37" i="74"/>
  <c r="R61" i="74"/>
  <c r="R41" i="74"/>
  <c r="R35" i="74"/>
  <c r="R55" i="74"/>
  <c r="R78" i="74"/>
  <c r="N33" i="108"/>
  <c r="H85" i="105"/>
  <c r="N21" i="105"/>
  <c r="Z21" i="105"/>
  <c r="T85" i="105"/>
  <c r="X21" i="105"/>
  <c r="P85" i="105"/>
  <c r="J85" i="103"/>
  <c r="V68" i="97"/>
  <c r="V56" i="97"/>
  <c r="V79" i="97"/>
  <c r="V78" i="97"/>
  <c r="V74" i="97"/>
  <c r="V70" i="97"/>
  <c r="V62" i="97"/>
  <c r="V85" i="97"/>
  <c r="V75" i="97"/>
  <c r="V71" i="97"/>
  <c r="V59" i="97"/>
  <c r="V84" i="97"/>
  <c r="V82" i="97"/>
  <c r="V58" i="97"/>
  <c r="V50" i="97"/>
  <c r="V65" i="97"/>
  <c r="V49" i="97"/>
  <c r="V45" i="97"/>
  <c r="V17" i="97"/>
  <c r="V76" i="97"/>
  <c r="V69" i="97"/>
  <c r="V61" i="97"/>
  <c r="V44" i="97"/>
  <c r="V36" i="97"/>
  <c r="V32" i="97"/>
  <c r="Z12" i="97"/>
  <c r="V89" i="97"/>
  <c r="V66" i="97"/>
  <c r="V52" i="97"/>
  <c r="V51" i="97"/>
  <c r="V31" i="97"/>
  <c r="V27" i="97"/>
  <c r="V23" i="97"/>
  <c r="V72" i="97"/>
  <c r="V67" i="97"/>
  <c r="V64" i="97"/>
  <c r="V22" i="97"/>
  <c r="V20" i="97"/>
  <c r="V18" i="97"/>
  <c r="V55" i="97"/>
  <c r="V46" i="97"/>
  <c r="V37" i="97"/>
  <c r="V33" i="97"/>
  <c r="T20" i="97"/>
  <c r="V77" i="97"/>
  <c r="V28" i="97"/>
  <c r="V24" i="97"/>
  <c r="V39" i="97"/>
  <c r="V73" i="97"/>
  <c r="V48" i="97"/>
  <c r="V38" i="97"/>
  <c r="V34" i="97"/>
  <c r="V80" i="97"/>
  <c r="V53" i="97"/>
  <c r="V47" i="97"/>
  <c r="V41" i="97"/>
  <c r="V29" i="97"/>
  <c r="V25" i="97"/>
  <c r="V60" i="97"/>
  <c r="V81" i="97"/>
  <c r="V63" i="97"/>
  <c r="V54" i="97"/>
  <c r="V43" i="97"/>
  <c r="V35" i="97"/>
  <c r="V40" i="97"/>
  <c r="V42" i="97"/>
  <c r="V26" i="97"/>
  <c r="V57" i="97"/>
  <c r="V16" i="97"/>
  <c r="V30" i="97"/>
  <c r="H87" i="97"/>
  <c r="J20" i="97"/>
  <c r="Z16" i="91"/>
  <c r="T97" i="91"/>
  <c r="J18" i="85"/>
  <c r="H81" i="88"/>
  <c r="H82" i="80"/>
  <c r="X20" i="83"/>
  <c r="Z20" i="83" s="1"/>
  <c r="P86" i="83"/>
  <c r="R108" i="76"/>
  <c r="R85" i="76"/>
  <c r="R74" i="76"/>
  <c r="R73" i="76"/>
  <c r="R69" i="76"/>
  <c r="R38" i="76"/>
  <c r="R114" i="76"/>
  <c r="R107" i="76"/>
  <c r="R104" i="76"/>
  <c r="R96" i="76"/>
  <c r="R64" i="76"/>
  <c r="R60" i="76"/>
  <c r="R106" i="76"/>
  <c r="R76" i="76"/>
  <c r="R75" i="76"/>
  <c r="R51" i="76"/>
  <c r="R47" i="76"/>
  <c r="R43" i="76"/>
  <c r="R39" i="76"/>
  <c r="R87" i="76"/>
  <c r="R86" i="76"/>
  <c r="R70" i="76"/>
  <c r="R98" i="76"/>
  <c r="R97" i="76"/>
  <c r="R78" i="76"/>
  <c r="R77" i="76"/>
  <c r="R65" i="76"/>
  <c r="R61" i="76"/>
  <c r="R100" i="76"/>
  <c r="R99" i="76"/>
  <c r="R80" i="76"/>
  <c r="R79" i="76"/>
  <c r="R71" i="76"/>
  <c r="R91" i="76"/>
  <c r="R90" i="76"/>
  <c r="R66" i="76"/>
  <c r="R62" i="76"/>
  <c r="R102" i="76"/>
  <c r="R101" i="76"/>
  <c r="R82" i="76"/>
  <c r="R81" i="76"/>
  <c r="R58" i="76"/>
  <c r="R93" i="76"/>
  <c r="R92" i="76"/>
  <c r="R72" i="76"/>
  <c r="R57" i="76"/>
  <c r="R55" i="76"/>
  <c r="X12" i="76"/>
  <c r="Z12" i="76" s="1"/>
  <c r="R110" i="76"/>
  <c r="R103" i="76"/>
  <c r="R84" i="76"/>
  <c r="R83" i="76"/>
  <c r="R68" i="76"/>
  <c r="R67" i="76"/>
  <c r="R63" i="76"/>
  <c r="R59" i="76"/>
  <c r="P55" i="76"/>
  <c r="R94" i="76"/>
  <c r="R45" i="76"/>
  <c r="R41" i="76"/>
  <c r="R88" i="76"/>
  <c r="R53" i="76"/>
  <c r="R49" i="76"/>
  <c r="R95" i="76"/>
  <c r="R89" i="76"/>
  <c r="R44" i="76"/>
  <c r="R42" i="76"/>
  <c r="R40" i="76"/>
  <c r="R48" i="76"/>
  <c r="R50" i="76"/>
  <c r="R52" i="76"/>
  <c r="R46" i="76"/>
  <c r="R109" i="76"/>
  <c r="H125" i="84"/>
  <c r="R78" i="75"/>
  <c r="R75" i="75"/>
  <c r="R77" i="75"/>
  <c r="R62" i="75"/>
  <c r="R82" i="75"/>
  <c r="R57" i="75"/>
  <c r="R41" i="75"/>
  <c r="R37" i="75"/>
  <c r="R72" i="75"/>
  <c r="R71" i="75"/>
  <c r="R63" i="75"/>
  <c r="R68" i="75"/>
  <c r="R48" i="75"/>
  <c r="R47" i="75"/>
  <c r="R64" i="75"/>
  <c r="R59" i="75"/>
  <c r="R58" i="75"/>
  <c r="R43" i="75"/>
  <c r="R42" i="75"/>
  <c r="R38" i="75"/>
  <c r="R73" i="75"/>
  <c r="R50" i="75"/>
  <c r="R49" i="75"/>
  <c r="R34" i="75"/>
  <c r="R74" i="75"/>
  <c r="R60" i="75"/>
  <c r="R44" i="75"/>
  <c r="R33" i="75"/>
  <c r="R31" i="75"/>
  <c r="R29" i="75"/>
  <c r="X12" i="75"/>
  <c r="Z12" i="75" s="1"/>
  <c r="R69" i="75"/>
  <c r="R65" i="75"/>
  <c r="R52" i="75"/>
  <c r="R51" i="75"/>
  <c r="R39" i="75"/>
  <c r="R35" i="75"/>
  <c r="P31" i="75"/>
  <c r="R66" i="75"/>
  <c r="R61" i="75"/>
  <c r="R54" i="75"/>
  <c r="R53" i="75"/>
  <c r="R45" i="75"/>
  <c r="R40" i="75"/>
  <c r="R36" i="75"/>
  <c r="R56" i="75"/>
  <c r="R46" i="75"/>
  <c r="R70" i="75"/>
  <c r="R67" i="75"/>
  <c r="R55" i="75"/>
  <c r="P53" i="61"/>
  <c r="X16" i="61"/>
  <c r="X16" i="55"/>
  <c r="R89" i="51"/>
  <c r="R88" i="51"/>
  <c r="R52" i="51"/>
  <c r="R48" i="51"/>
  <c r="R44" i="51"/>
  <c r="R40" i="51"/>
  <c r="R100" i="51"/>
  <c r="R99" i="51"/>
  <c r="R80" i="51"/>
  <c r="R79" i="51"/>
  <c r="R71" i="51"/>
  <c r="R91" i="51"/>
  <c r="R90" i="51"/>
  <c r="R66" i="51"/>
  <c r="R62" i="51"/>
  <c r="R102" i="51"/>
  <c r="R101" i="51"/>
  <c r="R82" i="51"/>
  <c r="R81" i="51"/>
  <c r="R93" i="51"/>
  <c r="R92" i="51"/>
  <c r="R72" i="51"/>
  <c r="R57" i="51"/>
  <c r="R55" i="51"/>
  <c r="X12" i="51"/>
  <c r="Z12" i="51" s="1"/>
  <c r="R108" i="51"/>
  <c r="R85" i="51"/>
  <c r="R74" i="51"/>
  <c r="R73" i="51"/>
  <c r="R69" i="51"/>
  <c r="R38" i="51"/>
  <c r="R114" i="51"/>
  <c r="R107" i="51"/>
  <c r="R104" i="51"/>
  <c r="R96" i="51"/>
  <c r="R64" i="51"/>
  <c r="R60" i="51"/>
  <c r="R109" i="51"/>
  <c r="R98" i="51"/>
  <c r="R78" i="51"/>
  <c r="R58" i="51"/>
  <c r="R103" i="51"/>
  <c r="R49" i="51"/>
  <c r="R76" i="51"/>
  <c r="R67" i="51"/>
  <c r="R106" i="51"/>
  <c r="R86" i="51"/>
  <c r="R84" i="51"/>
  <c r="R63" i="51"/>
  <c r="P55" i="51"/>
  <c r="R47" i="51"/>
  <c r="R42" i="51"/>
  <c r="R110" i="51"/>
  <c r="R65" i="51"/>
  <c r="R59" i="51"/>
  <c r="R94" i="51"/>
  <c r="R61" i="51"/>
  <c r="R50" i="51"/>
  <c r="R68" i="51"/>
  <c r="R45" i="51"/>
  <c r="R95" i="51"/>
  <c r="R87" i="51"/>
  <c r="R70" i="51"/>
  <c r="R43" i="51"/>
  <c r="R97" i="51"/>
  <c r="R77" i="51"/>
  <c r="R51" i="51"/>
  <c r="R41" i="51"/>
  <c r="R46" i="51"/>
  <c r="R39" i="51"/>
  <c r="R75" i="51"/>
  <c r="R53" i="51"/>
  <c r="R83" i="51"/>
  <c r="T74" i="56"/>
  <c r="Z16" i="56"/>
  <c r="N121" i="42"/>
  <c r="L121" i="42"/>
  <c r="F94" i="39"/>
  <c r="F58" i="39"/>
  <c r="F54" i="39"/>
  <c r="F134" i="39"/>
  <c r="F129" i="39"/>
  <c r="F128" i="39"/>
  <c r="F121" i="39"/>
  <c r="F120" i="39"/>
  <c r="F105" i="39"/>
  <c r="F101" i="39"/>
  <c r="F100" i="39"/>
  <c r="F85" i="39"/>
  <c r="F84" i="39"/>
  <c r="F77" i="39"/>
  <c r="F76" i="39"/>
  <c r="F49" i="39"/>
  <c r="F45" i="39"/>
  <c r="F138" i="39"/>
  <c r="F133" i="39"/>
  <c r="F116" i="39"/>
  <c r="F112" i="39"/>
  <c r="F68" i="39"/>
  <c r="F36" i="39"/>
  <c r="F35" i="39"/>
  <c r="F132" i="39"/>
  <c r="F123" i="39"/>
  <c r="F122" i="39"/>
  <c r="F107" i="39"/>
  <c r="F106" i="39"/>
  <c r="F95" i="39"/>
  <c r="F87" i="39"/>
  <c r="F86" i="39"/>
  <c r="F79" i="39"/>
  <c r="F78" i="39"/>
  <c r="F59" i="39"/>
  <c r="F55" i="39"/>
  <c r="F131" i="39"/>
  <c r="F102" i="39"/>
  <c r="F50" i="39"/>
  <c r="F46" i="39"/>
  <c r="F125" i="39"/>
  <c r="F124" i="39"/>
  <c r="F117" i="39"/>
  <c r="F113" i="39"/>
  <c r="F89" i="39"/>
  <c r="F88" i="39"/>
  <c r="F69" i="39"/>
  <c r="F61" i="39"/>
  <c r="F60" i="39"/>
  <c r="F37" i="39"/>
  <c r="F108" i="39"/>
  <c r="F96" i="39"/>
  <c r="F80" i="39"/>
  <c r="F56" i="39"/>
  <c r="F103" i="39"/>
  <c r="F91" i="39"/>
  <c r="F90" i="39"/>
  <c r="F71" i="39"/>
  <c r="F70" i="39"/>
  <c r="F63" i="39"/>
  <c r="F62" i="39"/>
  <c r="F51" i="39"/>
  <c r="F47" i="39"/>
  <c r="F43" i="39"/>
  <c r="F42" i="39"/>
  <c r="F126" i="39"/>
  <c r="F118" i="39"/>
  <c r="F114" i="39"/>
  <c r="F110" i="39"/>
  <c r="F109" i="39"/>
  <c r="F98" i="39"/>
  <c r="F97" i="39"/>
  <c r="F82" i="39"/>
  <c r="F81" i="39"/>
  <c r="F41" i="39"/>
  <c r="F104" i="39"/>
  <c r="F48" i="39"/>
  <c r="F44" i="39"/>
  <c r="F119" i="39"/>
  <c r="F75" i="39"/>
  <c r="F73" i="39"/>
  <c r="F93" i="39"/>
  <c r="D39" i="39"/>
  <c r="F39" i="39" s="1"/>
  <c r="F111" i="39"/>
  <c r="F53" i="39"/>
  <c r="F83" i="39"/>
  <c r="F66" i="39"/>
  <c r="F127" i="39"/>
  <c r="F64" i="39"/>
  <c r="L12" i="39"/>
  <c r="N12" i="39" s="1"/>
  <c r="F74" i="39"/>
  <c r="F57" i="39"/>
  <c r="F115" i="39"/>
  <c r="F99" i="39"/>
  <c r="F72" i="39"/>
  <c r="F92" i="39"/>
  <c r="F67" i="39"/>
  <c r="F52" i="39"/>
  <c r="F65" i="39"/>
  <c r="P133" i="36"/>
  <c r="X129" i="36"/>
  <c r="J121" i="42"/>
  <c r="J119" i="36"/>
  <c r="J111" i="36"/>
  <c r="J107" i="36"/>
  <c r="J103" i="36"/>
  <c r="J91" i="36"/>
  <c r="J85" i="36"/>
  <c r="J63" i="36"/>
  <c r="J55" i="36"/>
  <c r="J43" i="36"/>
  <c r="J39" i="36"/>
  <c r="J35" i="36"/>
  <c r="J33" i="36"/>
  <c r="J31" i="36"/>
  <c r="J86" i="36"/>
  <c r="J74" i="36"/>
  <c r="J64" i="36"/>
  <c r="J56" i="36"/>
  <c r="J44" i="36"/>
  <c r="H31" i="36"/>
  <c r="J97" i="36"/>
  <c r="J75" i="36"/>
  <c r="J65" i="36"/>
  <c r="J57" i="36"/>
  <c r="J49" i="36"/>
  <c r="J45" i="36"/>
  <c r="J120" i="36"/>
  <c r="J112" i="36"/>
  <c r="J108" i="36"/>
  <c r="J104" i="36"/>
  <c r="J92" i="36"/>
  <c r="J76" i="36"/>
  <c r="J66" i="36"/>
  <c r="J58" i="36"/>
  <c r="J40" i="36"/>
  <c r="J36" i="36"/>
  <c r="J127" i="36"/>
  <c r="J121" i="36"/>
  <c r="J113" i="36"/>
  <c r="J93" i="36"/>
  <c r="J87" i="36"/>
  <c r="J77" i="36"/>
  <c r="J67" i="36"/>
  <c r="J59" i="36"/>
  <c r="J126" i="36"/>
  <c r="J122" i="36"/>
  <c r="J114" i="36"/>
  <c r="J98" i="36"/>
  <c r="J124" i="36"/>
  <c r="J116" i="36"/>
  <c r="J100" i="36"/>
  <c r="J88" i="36"/>
  <c r="J80" i="36"/>
  <c r="J70" i="36"/>
  <c r="J60" i="36"/>
  <c r="J28" i="36"/>
  <c r="J117" i="36"/>
  <c r="J95" i="36"/>
  <c r="J81" i="36"/>
  <c r="J71" i="36"/>
  <c r="J51" i="36"/>
  <c r="J47" i="36"/>
  <c r="J101" i="36"/>
  <c r="J89" i="36"/>
  <c r="J83" i="36"/>
  <c r="J73" i="36"/>
  <c r="J61" i="36"/>
  <c r="J53" i="36"/>
  <c r="J29" i="36"/>
  <c r="J54" i="36"/>
  <c r="J52" i="36"/>
  <c r="J110" i="36"/>
  <c r="J99" i="36"/>
  <c r="J125" i="36"/>
  <c r="J118" i="36"/>
  <c r="J46" i="36"/>
  <c r="J79" i="36"/>
  <c r="J50" i="36"/>
  <c r="J48" i="36"/>
  <c r="J34" i="36"/>
  <c r="J105" i="36"/>
  <c r="J131" i="36"/>
  <c r="J115" i="36"/>
  <c r="J94" i="36"/>
  <c r="J68" i="36"/>
  <c r="J38" i="36"/>
  <c r="J109" i="36"/>
  <c r="J96" i="36"/>
  <c r="J90" i="36"/>
  <c r="J42" i="36"/>
  <c r="J84" i="36"/>
  <c r="J102" i="36"/>
  <c r="J27" i="36"/>
  <c r="J82" i="36"/>
  <c r="J62" i="36"/>
  <c r="J37" i="36"/>
  <c r="J106" i="36"/>
  <c r="N12" i="36"/>
  <c r="J78" i="36"/>
  <c r="J69" i="36"/>
  <c r="J41" i="36"/>
  <c r="J72" i="36"/>
  <c r="L148" i="30"/>
  <c r="R102" i="21"/>
  <c r="R101" i="21"/>
  <c r="R77" i="21"/>
  <c r="R58" i="21"/>
  <c r="R57" i="21"/>
  <c r="R84" i="21"/>
  <c r="R69" i="21"/>
  <c r="R68" i="21"/>
  <c r="R49" i="21"/>
  <c r="R48" i="21"/>
  <c r="R44" i="21"/>
  <c r="X12" i="21"/>
  <c r="R104" i="21"/>
  <c r="R103" i="21"/>
  <c r="R95" i="21"/>
  <c r="R91" i="21"/>
  <c r="R60" i="21"/>
  <c r="R59" i="21"/>
  <c r="R39" i="21"/>
  <c r="R35" i="21"/>
  <c r="R79" i="21"/>
  <c r="R78" i="21"/>
  <c r="R71" i="21"/>
  <c r="R70" i="21"/>
  <c r="R51" i="21"/>
  <c r="R50" i="21"/>
  <c r="R105" i="21"/>
  <c r="R86" i="21"/>
  <c r="R85" i="21"/>
  <c r="R62" i="21"/>
  <c r="R61" i="21"/>
  <c r="R45" i="21"/>
  <c r="R26" i="21"/>
  <c r="R107" i="21"/>
  <c r="R96" i="21"/>
  <c r="R92" i="21"/>
  <c r="R82" i="21"/>
  <c r="R75" i="21"/>
  <c r="R74" i="21"/>
  <c r="R55" i="21"/>
  <c r="R54" i="21"/>
  <c r="R46" i="21"/>
  <c r="R111" i="21"/>
  <c r="R98" i="21"/>
  <c r="R97" i="21"/>
  <c r="R93" i="21"/>
  <c r="R65" i="21"/>
  <c r="R42" i="21"/>
  <c r="R41" i="21"/>
  <c r="R37" i="21"/>
  <c r="R100" i="21"/>
  <c r="R99" i="21"/>
  <c r="R83" i="21"/>
  <c r="R47" i="21"/>
  <c r="R43" i="21"/>
  <c r="R32" i="21"/>
  <c r="R90" i="21"/>
  <c r="R80" i="21"/>
  <c r="R64" i="21"/>
  <c r="R66" i="21"/>
  <c r="R33" i="21"/>
  <c r="R88" i="21"/>
  <c r="R81" i="21"/>
  <c r="R56" i="21"/>
  <c r="P30" i="21"/>
  <c r="R30" i="21" s="1"/>
  <c r="R94" i="21"/>
  <c r="R76" i="21"/>
  <c r="R52" i="21"/>
  <c r="R89" i="21"/>
  <c r="R67" i="21"/>
  <c r="R40" i="21"/>
  <c r="R38" i="21"/>
  <c r="R36" i="21"/>
  <c r="R34" i="21"/>
  <c r="R28" i="21"/>
  <c r="R87" i="21"/>
  <c r="R72" i="21"/>
  <c r="R53" i="21"/>
  <c r="R63" i="21"/>
  <c r="R73" i="21"/>
  <c r="R27" i="21"/>
  <c r="L270" i="12"/>
  <c r="N270" i="12" s="1"/>
  <c r="H22" i="6"/>
  <c r="N16" i="6"/>
  <c r="Z211" i="3"/>
  <c r="T326" i="3"/>
  <c r="L18" i="111"/>
  <c r="D27" i="111"/>
  <c r="H27" i="44"/>
  <c r="N18" i="44"/>
  <c r="X18" i="41"/>
  <c r="P27" i="41"/>
  <c r="H27" i="37"/>
  <c r="N18" i="37"/>
  <c r="T27" i="28"/>
  <c r="Z18" i="28"/>
  <c r="T27" i="26"/>
  <c r="Z18" i="26"/>
  <c r="D27" i="37"/>
  <c r="L18" i="37"/>
  <c r="H27" i="47"/>
  <c r="N18" i="47"/>
  <c r="L18" i="14"/>
  <c r="D27" i="14"/>
  <c r="T27" i="14"/>
  <c r="Z18" i="14"/>
  <c r="N18" i="11"/>
  <c r="H27" i="11"/>
  <c r="Z18" i="11"/>
  <c r="T27" i="11"/>
  <c r="P37" i="108"/>
  <c r="X16" i="108"/>
  <c r="R123" i="84"/>
  <c r="R112" i="84"/>
  <c r="R101" i="84"/>
  <c r="R100" i="84"/>
  <c r="R72" i="84"/>
  <c r="X12" i="84"/>
  <c r="Z12" i="84" s="1"/>
  <c r="R108" i="84"/>
  <c r="R107" i="84"/>
  <c r="R92" i="84"/>
  <c r="R91" i="84"/>
  <c r="R80" i="84"/>
  <c r="R79" i="84"/>
  <c r="R67" i="84"/>
  <c r="R63" i="84"/>
  <c r="R102" i="84"/>
  <c r="R54" i="84"/>
  <c r="R50" i="84"/>
  <c r="R46" i="84"/>
  <c r="R42" i="84"/>
  <c r="R127" i="84"/>
  <c r="R114" i="84"/>
  <c r="R113" i="84"/>
  <c r="R109" i="84"/>
  <c r="R94" i="84"/>
  <c r="R93" i="84"/>
  <c r="R82" i="84"/>
  <c r="R81" i="84"/>
  <c r="R73" i="84"/>
  <c r="R38" i="84"/>
  <c r="R68" i="84"/>
  <c r="R116" i="84"/>
  <c r="R115" i="84"/>
  <c r="R103" i="84"/>
  <c r="R96" i="84"/>
  <c r="R95" i="84"/>
  <c r="R84" i="84"/>
  <c r="R83" i="84"/>
  <c r="R55" i="84"/>
  <c r="R110" i="84"/>
  <c r="R74" i="84"/>
  <c r="R118" i="84"/>
  <c r="R117" i="84"/>
  <c r="R98" i="84"/>
  <c r="R97" i="84"/>
  <c r="R86" i="84"/>
  <c r="R85" i="84"/>
  <c r="R70" i="84"/>
  <c r="R69" i="84"/>
  <c r="R65" i="84"/>
  <c r="R105" i="84"/>
  <c r="R104" i="84"/>
  <c r="R61" i="84"/>
  <c r="R56" i="84"/>
  <c r="R52" i="84"/>
  <c r="R48" i="84"/>
  <c r="R44" i="84"/>
  <c r="R40" i="84"/>
  <c r="R90" i="84"/>
  <c r="R88" i="84"/>
  <c r="R53" i="84"/>
  <c r="R121" i="84"/>
  <c r="R119" i="84"/>
  <c r="R77" i="84"/>
  <c r="R75" i="84"/>
  <c r="R49" i="84"/>
  <c r="R47" i="84"/>
  <c r="R99" i="84"/>
  <c r="P58" i="84"/>
  <c r="R45" i="84"/>
  <c r="R43" i="84"/>
  <c r="R111" i="84"/>
  <c r="R62" i="84"/>
  <c r="R41" i="84"/>
  <c r="R120" i="84"/>
  <c r="R76" i="84"/>
  <c r="R39" i="84"/>
  <c r="R78" i="84"/>
  <c r="R66" i="84"/>
  <c r="R64" i="84"/>
  <c r="R89" i="84"/>
  <c r="R60" i="84"/>
  <c r="R106" i="84"/>
  <c r="R51" i="84"/>
  <c r="R71" i="84"/>
  <c r="R87" i="84"/>
  <c r="H86" i="87"/>
  <c r="N20" i="87"/>
  <c r="P73" i="79"/>
  <c r="X20" i="79"/>
  <c r="Z20" i="79" s="1"/>
  <c r="R20" i="79"/>
  <c r="Z117" i="70"/>
  <c r="L16" i="61"/>
  <c r="P53" i="98"/>
  <c r="X20" i="98"/>
  <c r="J17" i="98"/>
  <c r="J36" i="98"/>
  <c r="N12" i="98"/>
  <c r="J47" i="98"/>
  <c r="J37" i="98"/>
  <c r="J31" i="98"/>
  <c r="J27" i="98"/>
  <c r="J48" i="98"/>
  <c r="J38" i="98"/>
  <c r="J32" i="98"/>
  <c r="J18" i="98"/>
  <c r="J49" i="98"/>
  <c r="J39" i="98"/>
  <c r="J33" i="98"/>
  <c r="J40" i="98"/>
  <c r="J28" i="98"/>
  <c r="J24" i="98"/>
  <c r="J22" i="98"/>
  <c r="J20" i="98"/>
  <c r="J53" i="98"/>
  <c r="J51" i="98"/>
  <c r="J41" i="98"/>
  <c r="H20" i="98"/>
  <c r="L20" i="98" s="1"/>
  <c r="J42" i="98"/>
  <c r="J34" i="98"/>
  <c r="J55" i="98"/>
  <c r="J43" i="98"/>
  <c r="J29" i="98"/>
  <c r="J25" i="98"/>
  <c r="J44" i="98"/>
  <c r="J23" i="98"/>
  <c r="J16" i="98"/>
  <c r="J60" i="98"/>
  <c r="J45" i="98"/>
  <c r="J30" i="98"/>
  <c r="J57" i="98"/>
  <c r="J26" i="98"/>
  <c r="J46" i="98"/>
  <c r="J35" i="98"/>
  <c r="P75" i="93"/>
  <c r="X20" i="93"/>
  <c r="J78" i="92"/>
  <c r="J70" i="92"/>
  <c r="J66" i="92"/>
  <c r="J60" i="92"/>
  <c r="J52" i="92"/>
  <c r="J40" i="92"/>
  <c r="J30" i="92"/>
  <c r="J26" i="92"/>
  <c r="J61" i="92"/>
  <c r="J53" i="92"/>
  <c r="J41" i="92"/>
  <c r="J82" i="92"/>
  <c r="J54" i="92"/>
  <c r="J42" i="92"/>
  <c r="J36" i="92"/>
  <c r="N12" i="92"/>
  <c r="J71" i="92"/>
  <c r="J67" i="92"/>
  <c r="J55" i="92"/>
  <c r="J43" i="92"/>
  <c r="J31" i="92"/>
  <c r="J27" i="92"/>
  <c r="J17" i="92"/>
  <c r="J62" i="92"/>
  <c r="J44" i="92"/>
  <c r="J18" i="92"/>
  <c r="J45" i="92"/>
  <c r="J37" i="92"/>
  <c r="J72" i="92"/>
  <c r="J68" i="92"/>
  <c r="J56" i="92"/>
  <c r="J46" i="92"/>
  <c r="J32" i="92"/>
  <c r="J28" i="92"/>
  <c r="J73" i="92"/>
  <c r="J63" i="92"/>
  <c r="J47" i="92"/>
  <c r="J33" i="92"/>
  <c r="J19" i="92"/>
  <c r="J74" i="92"/>
  <c r="J64" i="92"/>
  <c r="J48" i="92"/>
  <c r="J38" i="92"/>
  <c r="J34" i="92"/>
  <c r="J24" i="92"/>
  <c r="J75" i="92"/>
  <c r="J69" i="92"/>
  <c r="J65" i="92"/>
  <c r="J57" i="92"/>
  <c r="J49" i="92"/>
  <c r="J29" i="92"/>
  <c r="J25" i="92"/>
  <c r="J23" i="92"/>
  <c r="J51" i="92"/>
  <c r="H21" i="92"/>
  <c r="J76" i="92"/>
  <c r="J35" i="92"/>
  <c r="J59" i="92"/>
  <c r="J50" i="92"/>
  <c r="J58" i="92"/>
  <c r="J39" i="92"/>
  <c r="T73" i="109"/>
  <c r="Z17" i="109"/>
  <c r="N16" i="102"/>
  <c r="H51" i="102"/>
  <c r="F92" i="101"/>
  <c r="F62" i="101"/>
  <c r="F61" i="101"/>
  <c r="F54" i="101"/>
  <c r="F53" i="101"/>
  <c r="F42" i="101"/>
  <c r="F38" i="101"/>
  <c r="F73" i="101"/>
  <c r="F69" i="101"/>
  <c r="F85" i="101"/>
  <c r="F83" i="101"/>
  <c r="F82" i="101"/>
  <c r="F64" i="101"/>
  <c r="F63" i="101"/>
  <c r="F56" i="101"/>
  <c r="F55" i="101"/>
  <c r="F44" i="101"/>
  <c r="F43" i="101"/>
  <c r="F20" i="101"/>
  <c r="F19" i="101"/>
  <c r="F74" i="101"/>
  <c r="F70" i="101"/>
  <c r="F58" i="101"/>
  <c r="F57" i="101"/>
  <c r="F87" i="101"/>
  <c r="F65" i="101"/>
  <c r="F76" i="101"/>
  <c r="F75" i="101"/>
  <c r="F48" i="101"/>
  <c r="F47" i="101"/>
  <c r="F40" i="101"/>
  <c r="L12" i="101"/>
  <c r="N12" i="101" s="1"/>
  <c r="F71" i="101"/>
  <c r="F59" i="101"/>
  <c r="F35" i="101"/>
  <c r="F31" i="101"/>
  <c r="F27" i="101"/>
  <c r="F26" i="101"/>
  <c r="F78" i="101"/>
  <c r="F77" i="101"/>
  <c r="F66" i="101"/>
  <c r="F50" i="101"/>
  <c r="F49" i="101"/>
  <c r="F25" i="101"/>
  <c r="F23" i="101"/>
  <c r="F67" i="101"/>
  <c r="F36" i="101"/>
  <c r="F46" i="101"/>
  <c r="F41" i="101"/>
  <c r="F34" i="101"/>
  <c r="F80" i="101"/>
  <c r="F39" i="101"/>
  <c r="F37" i="101"/>
  <c r="F89" i="101"/>
  <c r="F60" i="101"/>
  <c r="F52" i="101"/>
  <c r="F32" i="101"/>
  <c r="D23" i="101"/>
  <c r="F30" i="101"/>
  <c r="F68" i="101"/>
  <c r="F28" i="101"/>
  <c r="F33" i="101"/>
  <c r="F79" i="101"/>
  <c r="F45" i="101"/>
  <c r="F72" i="101"/>
  <c r="F51" i="101"/>
  <c r="F29" i="101"/>
  <c r="F21" i="101"/>
  <c r="R75" i="101"/>
  <c r="R74" i="101"/>
  <c r="R70" i="101"/>
  <c r="R58" i="101"/>
  <c r="R47" i="101"/>
  <c r="R46" i="101"/>
  <c r="R34" i="101"/>
  <c r="R30" i="101"/>
  <c r="R65" i="101"/>
  <c r="R87" i="101"/>
  <c r="R77" i="101"/>
  <c r="R76" i="101"/>
  <c r="R49" i="101"/>
  <c r="R48" i="101"/>
  <c r="R40" i="101"/>
  <c r="R25" i="101"/>
  <c r="R23" i="101"/>
  <c r="X12" i="101"/>
  <c r="Z12" i="101" s="1"/>
  <c r="R71" i="101"/>
  <c r="R59" i="101"/>
  <c r="R79" i="101"/>
  <c r="R78" i="101"/>
  <c r="R67" i="101"/>
  <c r="R66" i="101"/>
  <c r="R80" i="101"/>
  <c r="R72" i="101"/>
  <c r="R68" i="101"/>
  <c r="R61" i="101"/>
  <c r="R60" i="101"/>
  <c r="R53" i="101"/>
  <c r="R52" i="101"/>
  <c r="R32" i="101"/>
  <c r="R28" i="101"/>
  <c r="R83" i="101"/>
  <c r="R82" i="101"/>
  <c r="R63" i="101"/>
  <c r="R62" i="101"/>
  <c r="R55" i="101"/>
  <c r="R54" i="101"/>
  <c r="R43" i="101"/>
  <c r="R42" i="101"/>
  <c r="R38" i="101"/>
  <c r="R19" i="101"/>
  <c r="R73" i="101"/>
  <c r="R69" i="101"/>
  <c r="R56" i="101"/>
  <c r="R41" i="101"/>
  <c r="P23" i="101"/>
  <c r="R39" i="101"/>
  <c r="R37" i="101"/>
  <c r="R64" i="101"/>
  <c r="R44" i="101"/>
  <c r="R20" i="101"/>
  <c r="R50" i="101"/>
  <c r="R35" i="101"/>
  <c r="R57" i="101"/>
  <c r="R45" i="101"/>
  <c r="R33" i="101"/>
  <c r="R26" i="101"/>
  <c r="R31" i="101"/>
  <c r="R21" i="101"/>
  <c r="R51" i="101"/>
  <c r="R36" i="101"/>
  <c r="R29" i="101"/>
  <c r="R27" i="101"/>
  <c r="P93" i="95"/>
  <c r="T80" i="92"/>
  <c r="P97" i="91"/>
  <c r="X16" i="91"/>
  <c r="V64" i="87"/>
  <c r="V56" i="87"/>
  <c r="V77" i="87"/>
  <c r="V65" i="87"/>
  <c r="V57" i="87"/>
  <c r="V49" i="87"/>
  <c r="V78" i="87"/>
  <c r="V66" i="87"/>
  <c r="V82" i="87"/>
  <c r="V74" i="87"/>
  <c r="V62" i="87"/>
  <c r="V44" i="87"/>
  <c r="V16" i="87"/>
  <c r="V72" i="87"/>
  <c r="V59" i="87"/>
  <c r="V48" i="87"/>
  <c r="V43" i="87"/>
  <c r="V35" i="87"/>
  <c r="V75" i="87"/>
  <c r="V60" i="87"/>
  <c r="V55" i="87"/>
  <c r="V54" i="87"/>
  <c r="V30" i="87"/>
  <c r="V26" i="87"/>
  <c r="V88" i="87"/>
  <c r="V70" i="87"/>
  <c r="V51" i="87"/>
  <c r="V17" i="87"/>
  <c r="V84" i="87"/>
  <c r="V80" i="87"/>
  <c r="V68" i="87"/>
  <c r="V63" i="87"/>
  <c r="V50" i="87"/>
  <c r="V45" i="87"/>
  <c r="V36" i="87"/>
  <c r="V32" i="87"/>
  <c r="Z12" i="87"/>
  <c r="V31" i="87"/>
  <c r="V27" i="87"/>
  <c r="V23" i="87"/>
  <c r="V81" i="87"/>
  <c r="V38" i="87"/>
  <c r="V22" i="87"/>
  <c r="V18" i="87"/>
  <c r="V76" i="87"/>
  <c r="V73" i="87"/>
  <c r="V61" i="87"/>
  <c r="V37" i="87"/>
  <c r="V33" i="87"/>
  <c r="T20" i="87"/>
  <c r="V20" i="87" s="1"/>
  <c r="V71" i="87"/>
  <c r="V52" i="87"/>
  <c r="V46" i="87"/>
  <c r="V40" i="87"/>
  <c r="V28" i="87"/>
  <c r="V24" i="87"/>
  <c r="V41" i="87"/>
  <c r="V47" i="87"/>
  <c r="V79" i="87"/>
  <c r="V34" i="87"/>
  <c r="V42" i="87"/>
  <c r="V25" i="87"/>
  <c r="V58" i="87"/>
  <c r="V29" i="87"/>
  <c r="V67" i="87"/>
  <c r="V53" i="87"/>
  <c r="V39" i="87"/>
  <c r="V69" i="87"/>
  <c r="J102" i="76"/>
  <c r="J92" i="76"/>
  <c r="J82" i="76"/>
  <c r="J72" i="76"/>
  <c r="J58" i="76"/>
  <c r="J103" i="76"/>
  <c r="J93" i="76"/>
  <c r="J83" i="76"/>
  <c r="J67" i="76"/>
  <c r="J63" i="76"/>
  <c r="J59" i="76"/>
  <c r="J57" i="76"/>
  <c r="J110" i="76"/>
  <c r="J94" i="76"/>
  <c r="J84" i="76"/>
  <c r="J68" i="76"/>
  <c r="H55" i="76"/>
  <c r="J55" i="76" s="1"/>
  <c r="J50" i="76"/>
  <c r="J46" i="76"/>
  <c r="J42" i="76"/>
  <c r="J109" i="76"/>
  <c r="J95" i="76"/>
  <c r="J85" i="76"/>
  <c r="J73" i="76"/>
  <c r="J69" i="76"/>
  <c r="J114" i="76"/>
  <c r="J108" i="76"/>
  <c r="J104" i="76"/>
  <c r="J96" i="76"/>
  <c r="J74" i="76"/>
  <c r="J64" i="76"/>
  <c r="J60" i="76"/>
  <c r="J106" i="76"/>
  <c r="J86" i="76"/>
  <c r="J76" i="76"/>
  <c r="J70" i="76"/>
  <c r="J97" i="76"/>
  <c r="J87" i="76"/>
  <c r="J77" i="76"/>
  <c r="J65" i="76"/>
  <c r="J61" i="76"/>
  <c r="J98" i="76"/>
  <c r="J88" i="76"/>
  <c r="J78" i="76"/>
  <c r="J99" i="76"/>
  <c r="J89" i="76"/>
  <c r="J79" i="76"/>
  <c r="J71" i="76"/>
  <c r="J100" i="76"/>
  <c r="J90" i="76"/>
  <c r="J80" i="76"/>
  <c r="J66" i="76"/>
  <c r="J62" i="76"/>
  <c r="J44" i="76"/>
  <c r="J40" i="76"/>
  <c r="J107" i="76"/>
  <c r="J52" i="76"/>
  <c r="J48" i="76"/>
  <c r="J101" i="76"/>
  <c r="J75" i="76"/>
  <c r="J45" i="76"/>
  <c r="J43" i="76"/>
  <c r="J41" i="76"/>
  <c r="J39" i="76"/>
  <c r="J53" i="76"/>
  <c r="J51" i="76"/>
  <c r="J47" i="76"/>
  <c r="J49" i="76"/>
  <c r="J81" i="76"/>
  <c r="J91" i="76"/>
  <c r="J38" i="76"/>
  <c r="N117" i="70"/>
  <c r="J20" i="69"/>
  <c r="R20" i="69"/>
  <c r="H104" i="63"/>
  <c r="N17" i="63"/>
  <c r="N16" i="56"/>
  <c r="H74" i="56"/>
  <c r="L16" i="54"/>
  <c r="D22" i="54"/>
  <c r="X16" i="60"/>
  <c r="T65" i="59"/>
  <c r="Z16" i="59"/>
  <c r="F114" i="51"/>
  <c r="F109" i="51"/>
  <c r="F104" i="51"/>
  <c r="F96" i="51"/>
  <c r="F95" i="51"/>
  <c r="F64" i="51"/>
  <c r="F60" i="51"/>
  <c r="F108" i="51"/>
  <c r="F75" i="51"/>
  <c r="F74" i="51"/>
  <c r="F51" i="51"/>
  <c r="F107" i="51"/>
  <c r="F86" i="51"/>
  <c r="F70" i="51"/>
  <c r="F106" i="51"/>
  <c r="F97" i="51"/>
  <c r="F77" i="51"/>
  <c r="F76" i="51"/>
  <c r="F88" i="51"/>
  <c r="F87" i="51"/>
  <c r="F52" i="51"/>
  <c r="F48" i="51"/>
  <c r="F44" i="51"/>
  <c r="F40" i="51"/>
  <c r="F101" i="51"/>
  <c r="F100" i="51"/>
  <c r="F81" i="51"/>
  <c r="F80" i="51"/>
  <c r="F53" i="51"/>
  <c r="F49" i="51"/>
  <c r="F45" i="51"/>
  <c r="F41" i="51"/>
  <c r="F92" i="51"/>
  <c r="F91" i="51"/>
  <c r="F72" i="51"/>
  <c r="F85" i="51"/>
  <c r="F66" i="51"/>
  <c r="F57" i="51"/>
  <c r="F38" i="51"/>
  <c r="F102" i="51"/>
  <c r="F90" i="51"/>
  <c r="F62" i="51"/>
  <c r="F83" i="51"/>
  <c r="F71" i="51"/>
  <c r="F39" i="51"/>
  <c r="F98" i="51"/>
  <c r="F93" i="51"/>
  <c r="F78" i="51"/>
  <c r="F69" i="51"/>
  <c r="F46" i="51"/>
  <c r="F103" i="51"/>
  <c r="F73" i="51"/>
  <c r="F67" i="51"/>
  <c r="F58" i="51"/>
  <c r="F65" i="51"/>
  <c r="F63" i="51"/>
  <c r="F55" i="51"/>
  <c r="F47" i="51"/>
  <c r="F84" i="51"/>
  <c r="F61" i="51"/>
  <c r="F59" i="51"/>
  <c r="D55" i="51"/>
  <c r="F42" i="51"/>
  <c r="F110" i="51"/>
  <c r="F99" i="51"/>
  <c r="F89" i="51"/>
  <c r="F79" i="51"/>
  <c r="F68" i="51"/>
  <c r="F43" i="51"/>
  <c r="F94" i="51"/>
  <c r="F50" i="51"/>
  <c r="L12" i="51"/>
  <c r="F82" i="51"/>
  <c r="V93" i="42"/>
  <c r="V81" i="42"/>
  <c r="V61" i="42"/>
  <c r="V53" i="42"/>
  <c r="V41" i="42"/>
  <c r="V37" i="42"/>
  <c r="V33" i="42"/>
  <c r="V116" i="42"/>
  <c r="V108" i="42"/>
  <c r="V104" i="42"/>
  <c r="V100" i="42"/>
  <c r="V88" i="42"/>
  <c r="V72" i="42"/>
  <c r="V60" i="42"/>
  <c r="V52" i="42"/>
  <c r="V32" i="42"/>
  <c r="V28" i="42"/>
  <c r="V83" i="42"/>
  <c r="V63" i="42"/>
  <c r="V55" i="42"/>
  <c r="V47" i="42"/>
  <c r="V43" i="42"/>
  <c r="T30" i="42"/>
  <c r="V30" i="42" s="1"/>
  <c r="V124" i="42"/>
  <c r="V118" i="42"/>
  <c r="V110" i="42"/>
  <c r="V94" i="42"/>
  <c r="V90" i="42"/>
  <c r="V74" i="42"/>
  <c r="V62" i="42"/>
  <c r="V54" i="42"/>
  <c r="V42" i="42"/>
  <c r="V38" i="42"/>
  <c r="V34" i="42"/>
  <c r="V123" i="42"/>
  <c r="V117" i="42"/>
  <c r="V109" i="42"/>
  <c r="V105" i="42"/>
  <c r="V101" i="42"/>
  <c r="V89" i="42"/>
  <c r="V73" i="42"/>
  <c r="V65" i="42"/>
  <c r="V57" i="42"/>
  <c r="V122" i="42"/>
  <c r="V112" i="42"/>
  <c r="V96" i="42"/>
  <c r="V128" i="42"/>
  <c r="V114" i="42"/>
  <c r="V106" i="42"/>
  <c r="V102" i="42"/>
  <c r="V78" i="42"/>
  <c r="V66" i="42"/>
  <c r="V58" i="42"/>
  <c r="V26" i="42"/>
  <c r="V113" i="42"/>
  <c r="V97" i="42"/>
  <c r="V85" i="42"/>
  <c r="V77" i="42"/>
  <c r="V69" i="42"/>
  <c r="V49" i="42"/>
  <c r="V45" i="42"/>
  <c r="V115" i="42"/>
  <c r="V107" i="42"/>
  <c r="V103" i="42"/>
  <c r="V99" i="42"/>
  <c r="V87" i="42"/>
  <c r="V79" i="42"/>
  <c r="V71" i="42"/>
  <c r="V59" i="42"/>
  <c r="V51" i="42"/>
  <c r="V92" i="42"/>
  <c r="V76" i="42"/>
  <c r="V56" i="42"/>
  <c r="V67" i="42"/>
  <c r="V27" i="42"/>
  <c r="V48" i="42"/>
  <c r="V44" i="42"/>
  <c r="V46" i="42"/>
  <c r="V36" i="42"/>
  <c r="V119" i="42"/>
  <c r="V98" i="42"/>
  <c r="V50" i="42"/>
  <c r="V40" i="42"/>
  <c r="V111" i="42"/>
  <c r="V91" i="42"/>
  <c r="Z12" i="42"/>
  <c r="V70" i="42"/>
  <c r="V80" i="42"/>
  <c r="V68" i="42"/>
  <c r="V75" i="42"/>
  <c r="V64" i="42"/>
  <c r="V39" i="42"/>
  <c r="V82" i="42"/>
  <c r="V95" i="42"/>
  <c r="V84" i="42"/>
  <c r="V121" i="42"/>
  <c r="V86" i="42"/>
  <c r="V35" i="42"/>
  <c r="J114" i="27"/>
  <c r="J108" i="27"/>
  <c r="J84" i="27"/>
  <c r="J60" i="27"/>
  <c r="J56" i="27"/>
  <c r="J52" i="27"/>
  <c r="J48" i="27"/>
  <c r="J115" i="27"/>
  <c r="J85" i="27"/>
  <c r="J79" i="27"/>
  <c r="J122" i="27"/>
  <c r="J116" i="27"/>
  <c r="J102" i="27"/>
  <c r="J94" i="27"/>
  <c r="J86" i="27"/>
  <c r="J74" i="27"/>
  <c r="J70" i="27"/>
  <c r="J121" i="27"/>
  <c r="J117" i="27"/>
  <c r="J109" i="27"/>
  <c r="J103" i="27"/>
  <c r="J95" i="27"/>
  <c r="J61" i="27"/>
  <c r="J57" i="27"/>
  <c r="J53" i="27"/>
  <c r="J49" i="27"/>
  <c r="J126" i="27"/>
  <c r="J120" i="27"/>
  <c r="J104" i="27"/>
  <c r="J96" i="27"/>
  <c r="J80" i="27"/>
  <c r="J111" i="27"/>
  <c r="J105" i="27"/>
  <c r="J99" i="27"/>
  <c r="J89" i="27"/>
  <c r="J81" i="27"/>
  <c r="J67" i="27"/>
  <c r="J112" i="27"/>
  <c r="J106" i="27"/>
  <c r="J100" i="27"/>
  <c r="J90" i="27"/>
  <c r="J76" i="27"/>
  <c r="J72" i="27"/>
  <c r="J68" i="27"/>
  <c r="J66" i="27"/>
  <c r="J64" i="27"/>
  <c r="J46" i="27"/>
  <c r="J92" i="27"/>
  <c r="J82" i="27"/>
  <c r="J78" i="27"/>
  <c r="J88" i="27"/>
  <c r="J55" i="27"/>
  <c r="J101" i="27"/>
  <c r="J113" i="27"/>
  <c r="J107" i="27"/>
  <c r="J97" i="27"/>
  <c r="J69" i="27"/>
  <c r="H64" i="27"/>
  <c r="J59" i="27"/>
  <c r="J77" i="27"/>
  <c r="J71" i="27"/>
  <c r="J50" i="27"/>
  <c r="J93" i="27"/>
  <c r="J73" i="27"/>
  <c r="J54" i="27"/>
  <c r="J119" i="27"/>
  <c r="J91" i="27"/>
  <c r="J75" i="27"/>
  <c r="J87" i="27"/>
  <c r="J58" i="27"/>
  <c r="J98" i="27"/>
  <c r="J47" i="27"/>
  <c r="J62" i="27"/>
  <c r="J51" i="27"/>
  <c r="J83" i="27"/>
  <c r="J110" i="27"/>
  <c r="R117" i="30"/>
  <c r="R116" i="30"/>
  <c r="R97" i="30"/>
  <c r="R96" i="30"/>
  <c r="R88" i="30"/>
  <c r="X12" i="30"/>
  <c r="Z12" i="30" s="1"/>
  <c r="R143" i="30"/>
  <c r="R135" i="30"/>
  <c r="R124" i="30"/>
  <c r="R123" i="30"/>
  <c r="R84" i="30"/>
  <c r="R83" i="30"/>
  <c r="R79" i="30"/>
  <c r="R131" i="30"/>
  <c r="R130" i="30"/>
  <c r="R118" i="30"/>
  <c r="R107" i="30"/>
  <c r="R106" i="30"/>
  <c r="R98" i="30"/>
  <c r="R75" i="30"/>
  <c r="R70" i="30"/>
  <c r="R66" i="30"/>
  <c r="R62" i="30"/>
  <c r="R58" i="30"/>
  <c r="R54" i="30"/>
  <c r="R50" i="30"/>
  <c r="R125" i="30"/>
  <c r="R89" i="30"/>
  <c r="R85" i="30"/>
  <c r="R74" i="30"/>
  <c r="R72" i="30"/>
  <c r="R46" i="30"/>
  <c r="R145" i="30"/>
  <c r="R144" i="30"/>
  <c r="R136" i="30"/>
  <c r="R132" i="30"/>
  <c r="R109" i="30"/>
  <c r="R108" i="30"/>
  <c r="R80" i="30"/>
  <c r="R76" i="30"/>
  <c r="P72" i="30"/>
  <c r="R119" i="30"/>
  <c r="R100" i="30"/>
  <c r="R99" i="30"/>
  <c r="R67" i="30"/>
  <c r="R63" i="30"/>
  <c r="R59" i="30"/>
  <c r="R55" i="30"/>
  <c r="R51" i="30"/>
  <c r="R149" i="30"/>
  <c r="R146" i="30"/>
  <c r="R126" i="30"/>
  <c r="R111" i="30"/>
  <c r="R110" i="30"/>
  <c r="R148" i="30"/>
  <c r="R138" i="30"/>
  <c r="R137" i="30"/>
  <c r="R133" i="30"/>
  <c r="R102" i="30"/>
  <c r="R101" i="30"/>
  <c r="R81" i="30"/>
  <c r="R77" i="30"/>
  <c r="R121" i="30"/>
  <c r="R120" i="30"/>
  <c r="R113" i="30"/>
  <c r="R112" i="30"/>
  <c r="R93" i="30"/>
  <c r="R92" i="30"/>
  <c r="R68" i="30"/>
  <c r="R64" i="30"/>
  <c r="R60" i="30"/>
  <c r="R56" i="30"/>
  <c r="R52" i="30"/>
  <c r="R48" i="30"/>
  <c r="R134" i="30"/>
  <c r="R122" i="30"/>
  <c r="R115" i="30"/>
  <c r="R114" i="30"/>
  <c r="R95" i="30"/>
  <c r="R94" i="30"/>
  <c r="R82" i="30"/>
  <c r="R78" i="30"/>
  <c r="R153" i="30"/>
  <c r="R90" i="30"/>
  <c r="R69" i="30"/>
  <c r="R49" i="30"/>
  <c r="R142" i="30"/>
  <c r="R140" i="30"/>
  <c r="R129" i="30"/>
  <c r="R105" i="30"/>
  <c r="R61" i="30"/>
  <c r="R127" i="30"/>
  <c r="R103" i="30"/>
  <c r="R91" i="30"/>
  <c r="R53" i="30"/>
  <c r="R87" i="30"/>
  <c r="R141" i="30"/>
  <c r="R128" i="30"/>
  <c r="R104" i="30"/>
  <c r="R65" i="30"/>
  <c r="R139" i="30"/>
  <c r="R57" i="30"/>
  <c r="R47" i="30"/>
  <c r="R86" i="30"/>
  <c r="V124" i="24"/>
  <c r="V145" i="24"/>
  <c r="V131" i="24"/>
  <c r="V137" i="24"/>
  <c r="V129" i="24"/>
  <c r="V121" i="24"/>
  <c r="V136" i="24"/>
  <c r="V128" i="24"/>
  <c r="V120" i="24"/>
  <c r="V106" i="24"/>
  <c r="V98" i="24"/>
  <c r="V105" i="24"/>
  <c r="V93" i="24"/>
  <c r="V89" i="24"/>
  <c r="V80" i="24"/>
  <c r="V76" i="24"/>
  <c r="V72" i="24"/>
  <c r="V68" i="24"/>
  <c r="V64" i="24"/>
  <c r="V60" i="24"/>
  <c r="V140" i="24"/>
  <c r="V115" i="24"/>
  <c r="V114" i="24"/>
  <c r="V107" i="24"/>
  <c r="V99" i="24"/>
  <c r="V94" i="24"/>
  <c r="V90" i="24"/>
  <c r="V86" i="24"/>
  <c r="V109" i="24"/>
  <c r="V85" i="24"/>
  <c r="V83" i="24"/>
  <c r="V81" i="24"/>
  <c r="V77" i="24"/>
  <c r="V73" i="24"/>
  <c r="V69" i="24"/>
  <c r="V65" i="24"/>
  <c r="V61" i="24"/>
  <c r="V57" i="24"/>
  <c r="V141" i="24"/>
  <c r="V134" i="24"/>
  <c r="V125" i="24"/>
  <c r="V117" i="24"/>
  <c r="V116" i="24"/>
  <c r="V108" i="24"/>
  <c r="V100" i="24"/>
  <c r="V96" i="24"/>
  <c r="T83" i="24"/>
  <c r="V135" i="24"/>
  <c r="V122" i="24"/>
  <c r="V111" i="24"/>
  <c r="V95" i="24"/>
  <c r="V91" i="24"/>
  <c r="V87" i="24"/>
  <c r="V110" i="24"/>
  <c r="V102" i="24"/>
  <c r="V78" i="24"/>
  <c r="V74" i="24"/>
  <c r="V70" i="24"/>
  <c r="V66" i="24"/>
  <c r="V62" i="24"/>
  <c r="V58" i="24"/>
  <c r="V138" i="24"/>
  <c r="V119" i="24"/>
  <c r="V118" i="24"/>
  <c r="V104" i="24"/>
  <c r="V92" i="24"/>
  <c r="V88" i="24"/>
  <c r="V132" i="24"/>
  <c r="V126" i="24"/>
  <c r="V127" i="24"/>
  <c r="V67" i="24"/>
  <c r="V59" i="24"/>
  <c r="V79" i="24"/>
  <c r="V133" i="24"/>
  <c r="V123" i="24"/>
  <c r="V112" i="24"/>
  <c r="V71" i="24"/>
  <c r="V97" i="24"/>
  <c r="V63" i="24"/>
  <c r="Z12" i="24"/>
  <c r="V113" i="24"/>
  <c r="V101" i="24"/>
  <c r="V130" i="24"/>
  <c r="V75" i="24"/>
  <c r="V103" i="24"/>
  <c r="F283" i="12"/>
  <c r="F278" i="12"/>
  <c r="F265" i="12"/>
  <c r="F257" i="12"/>
  <c r="F253" i="12"/>
  <c r="F249" i="12"/>
  <c r="F248" i="12"/>
  <c r="F237" i="12"/>
  <c r="F275" i="12"/>
  <c r="F266" i="12"/>
  <c r="F271" i="12"/>
  <c r="F262" i="12"/>
  <c r="F261" i="12"/>
  <c r="F246" i="12"/>
  <c r="F245" i="12"/>
  <c r="F234" i="12"/>
  <c r="F264" i="12"/>
  <c r="F263" i="12"/>
  <c r="F260" i="12"/>
  <c r="F256" i="12"/>
  <c r="F229" i="12"/>
  <c r="F228" i="12"/>
  <c r="F217" i="12"/>
  <c r="F193" i="12"/>
  <c r="F189" i="12"/>
  <c r="F188" i="12"/>
  <c r="D175" i="12"/>
  <c r="F175" i="12" s="1"/>
  <c r="F242" i="12"/>
  <c r="F238" i="12"/>
  <c r="F208" i="12"/>
  <c r="F200" i="12"/>
  <c r="F184" i="12"/>
  <c r="F180" i="12"/>
  <c r="F279" i="12"/>
  <c r="F231" i="12"/>
  <c r="F230" i="12"/>
  <c r="F219" i="12"/>
  <c r="F218" i="12"/>
  <c r="F171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272" i="12"/>
  <c r="F267" i="12"/>
  <c r="F250" i="12"/>
  <c r="F235" i="12"/>
  <c r="F210" i="12"/>
  <c r="F209" i="12"/>
  <c r="F202" i="12"/>
  <c r="F201" i="12"/>
  <c r="F194" i="12"/>
  <c r="F190" i="12"/>
  <c r="F239" i="12"/>
  <c r="F221" i="12"/>
  <c r="F220" i="12"/>
  <c r="F185" i="12"/>
  <c r="F181" i="12"/>
  <c r="F273" i="12"/>
  <c r="F254" i="12"/>
  <c r="F243" i="12"/>
  <c r="F240" i="12"/>
  <c r="F236" i="12"/>
  <c r="F232" i="12"/>
  <c r="F212" i="12"/>
  <c r="F211" i="12"/>
  <c r="F204" i="12"/>
  <c r="F203" i="12"/>
  <c r="F172" i="12"/>
  <c r="F168" i="12"/>
  <c r="F164" i="12"/>
  <c r="F160" i="12"/>
  <c r="F156" i="12"/>
  <c r="F152" i="12"/>
  <c r="F148" i="12"/>
  <c r="F144" i="12"/>
  <c r="F140" i="12"/>
  <c r="F136" i="12"/>
  <c r="F132" i="12"/>
  <c r="F128" i="12"/>
  <c r="F124" i="12"/>
  <c r="F268" i="12"/>
  <c r="F251" i="12"/>
  <c r="F247" i="12"/>
  <c r="F223" i="12"/>
  <c r="F222" i="12"/>
  <c r="F195" i="12"/>
  <c r="F191" i="12"/>
  <c r="F274" i="12"/>
  <c r="F258" i="12"/>
  <c r="F214" i="12"/>
  <c r="F213" i="12"/>
  <c r="F186" i="12"/>
  <c r="F182" i="12"/>
  <c r="F259" i="12"/>
  <c r="F233" i="12"/>
  <c r="F225" i="12"/>
  <c r="F224" i="12"/>
  <c r="F205" i="12"/>
  <c r="F197" i="12"/>
  <c r="F196" i="12"/>
  <c r="F173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20" i="12"/>
  <c r="F227" i="12"/>
  <c r="F226" i="12"/>
  <c r="F207" i="12"/>
  <c r="F206" i="12"/>
  <c r="F199" i="12"/>
  <c r="F198" i="12"/>
  <c r="F187" i="12"/>
  <c r="F183" i="12"/>
  <c r="F179" i="12"/>
  <c r="F178" i="12"/>
  <c r="F216" i="12"/>
  <c r="F192" i="12"/>
  <c r="F162" i="12"/>
  <c r="F177" i="12"/>
  <c r="L12" i="12"/>
  <c r="N12" i="12" s="1"/>
  <c r="F130" i="12"/>
  <c r="F122" i="12"/>
  <c r="F276" i="12"/>
  <c r="F270" i="12"/>
  <c r="F154" i="12"/>
  <c r="F244" i="12"/>
  <c r="F241" i="12"/>
  <c r="F166" i="12"/>
  <c r="F146" i="12"/>
  <c r="F138" i="12"/>
  <c r="F277" i="12"/>
  <c r="F126" i="12"/>
  <c r="F255" i="12"/>
  <c r="F215" i="12"/>
  <c r="F158" i="12"/>
  <c r="F252" i="12"/>
  <c r="F134" i="12"/>
  <c r="F170" i="12"/>
  <c r="F150" i="12"/>
  <c r="F142" i="12"/>
  <c r="T27" i="111"/>
  <c r="Z18" i="111"/>
  <c r="T27" i="53"/>
  <c r="Z18" i="53"/>
  <c r="N18" i="46"/>
  <c r="H27" i="46"/>
  <c r="P27" i="46"/>
  <c r="X18" i="46"/>
  <c r="T27" i="44"/>
  <c r="Z18" i="44"/>
  <c r="T27" i="43"/>
  <c r="Z18" i="43"/>
  <c r="P27" i="44"/>
  <c r="X18" i="44"/>
  <c r="X18" i="28"/>
  <c r="P27" i="28"/>
  <c r="T27" i="20"/>
  <c r="Z18" i="20"/>
  <c r="H27" i="20"/>
  <c r="N18" i="20"/>
  <c r="T27" i="7"/>
  <c r="Z18" i="7"/>
  <c r="T27" i="4"/>
  <c r="Z18" i="4"/>
  <c r="H27" i="4"/>
  <c r="N18" i="4"/>
  <c r="L18" i="4"/>
  <c r="D27" i="4"/>
  <c r="L18" i="8"/>
  <c r="D27" i="8"/>
  <c r="P27" i="4"/>
  <c r="X18" i="4"/>
  <c r="L18" i="11"/>
  <c r="D27" i="11"/>
  <c r="L16" i="68"/>
  <c r="D58" i="68"/>
  <c r="J63" i="100"/>
  <c r="J59" i="100"/>
  <c r="J51" i="100"/>
  <c r="J65" i="100"/>
  <c r="J61" i="100"/>
  <c r="J57" i="100"/>
  <c r="J47" i="100"/>
  <c r="J54" i="100"/>
  <c r="J50" i="100"/>
  <c r="J34" i="100"/>
  <c r="J30" i="100"/>
  <c r="J55" i="100"/>
  <c r="J45" i="100"/>
  <c r="J35" i="100"/>
  <c r="J36" i="100"/>
  <c r="J20" i="100"/>
  <c r="J72" i="100"/>
  <c r="J56" i="100"/>
  <c r="J37" i="100"/>
  <c r="J31" i="100"/>
  <c r="J25" i="100"/>
  <c r="J62" i="100"/>
  <c r="J46" i="100"/>
  <c r="J38" i="100"/>
  <c r="J26" i="100"/>
  <c r="J24" i="100"/>
  <c r="J39" i="100"/>
  <c r="H22" i="100"/>
  <c r="J60" i="100"/>
  <c r="J40" i="100"/>
  <c r="J32" i="100"/>
  <c r="N12" i="100"/>
  <c r="J67" i="100"/>
  <c r="J52" i="100"/>
  <c r="J41" i="100"/>
  <c r="J27" i="100"/>
  <c r="J68" i="100"/>
  <c r="J48" i="100"/>
  <c r="J42" i="100"/>
  <c r="J58" i="100"/>
  <c r="J49" i="100"/>
  <c r="J43" i="100"/>
  <c r="J33" i="100"/>
  <c r="J28" i="100"/>
  <c r="J19" i="100"/>
  <c r="J29" i="100"/>
  <c r="J44" i="100"/>
  <c r="J18" i="100"/>
  <c r="J64" i="100"/>
  <c r="J53" i="100"/>
  <c r="P51" i="102"/>
  <c r="X16" i="102"/>
  <c r="X20" i="97"/>
  <c r="P87" i="97"/>
  <c r="L17" i="109"/>
  <c r="N17" i="109" s="1"/>
  <c r="X33" i="108"/>
  <c r="Z33" i="108" s="1"/>
  <c r="V82" i="107"/>
  <c r="V74" i="107"/>
  <c r="V70" i="107"/>
  <c r="V54" i="107"/>
  <c r="V42" i="107"/>
  <c r="V18" i="107"/>
  <c r="V65" i="107"/>
  <c r="V57" i="107"/>
  <c r="V45" i="107"/>
  <c r="V37" i="107"/>
  <c r="V64" i="107"/>
  <c r="V56" i="107"/>
  <c r="V44" i="107"/>
  <c r="V32" i="107"/>
  <c r="V28" i="107"/>
  <c r="V24" i="107"/>
  <c r="V85" i="107"/>
  <c r="V83" i="107"/>
  <c r="V75" i="107"/>
  <c r="V71" i="107"/>
  <c r="V59" i="107"/>
  <c r="V66" i="107"/>
  <c r="V58" i="107"/>
  <c r="V46" i="107"/>
  <c r="V38" i="107"/>
  <c r="V34" i="107"/>
  <c r="V77" i="107"/>
  <c r="V61" i="107"/>
  <c r="V49" i="107"/>
  <c r="V33" i="107"/>
  <c r="V29" i="107"/>
  <c r="V25" i="107"/>
  <c r="V76" i="107"/>
  <c r="V72" i="107"/>
  <c r="V60" i="107"/>
  <c r="V89" i="107"/>
  <c r="V79" i="107"/>
  <c r="V67" i="107"/>
  <c r="V51" i="107"/>
  <c r="V39" i="107"/>
  <c r="V35" i="107"/>
  <c r="V78" i="107"/>
  <c r="V62" i="107"/>
  <c r="V50" i="107"/>
  <c r="V30" i="107"/>
  <c r="V26" i="107"/>
  <c r="V80" i="107"/>
  <c r="V68" i="107"/>
  <c r="V52" i="107"/>
  <c r="V40" i="107"/>
  <c r="V36" i="107"/>
  <c r="V73" i="107"/>
  <c r="V81" i="107"/>
  <c r="V23" i="107"/>
  <c r="V17" i="107"/>
  <c r="V53" i="107"/>
  <c r="V41" i="107"/>
  <c r="V31" i="107"/>
  <c r="V27" i="107"/>
  <c r="V63" i="107"/>
  <c r="V55" i="107"/>
  <c r="V43" i="107"/>
  <c r="V19" i="107"/>
  <c r="Z12" i="107"/>
  <c r="V69" i="107"/>
  <c r="V48" i="107"/>
  <c r="T21" i="107"/>
  <c r="V21" i="107"/>
  <c r="V47" i="107"/>
  <c r="N67" i="100"/>
  <c r="L12" i="98"/>
  <c r="X12" i="100"/>
  <c r="T46" i="99"/>
  <c r="P77" i="94"/>
  <c r="X20" i="94"/>
  <c r="Z20" i="94" s="1"/>
  <c r="R20" i="94"/>
  <c r="D87" i="97"/>
  <c r="L20" i="97"/>
  <c r="N20" i="97" s="1"/>
  <c r="X12" i="95"/>
  <c r="Z12" i="95" s="1"/>
  <c r="T77" i="94"/>
  <c r="D97" i="91"/>
  <c r="L16" i="91"/>
  <c r="T75" i="93"/>
  <c r="Z20" i="93"/>
  <c r="R22" i="82"/>
  <c r="F101" i="76"/>
  <c r="F100" i="76"/>
  <c r="F81" i="76"/>
  <c r="F80" i="76"/>
  <c r="F53" i="76"/>
  <c r="F49" i="76"/>
  <c r="F45" i="76"/>
  <c r="F41" i="76"/>
  <c r="F92" i="76"/>
  <c r="F91" i="76"/>
  <c r="F72" i="76"/>
  <c r="F103" i="76"/>
  <c r="F102" i="76"/>
  <c r="F83" i="76"/>
  <c r="F82" i="76"/>
  <c r="F67" i="76"/>
  <c r="F63" i="76"/>
  <c r="F59" i="76"/>
  <c r="F58" i="76"/>
  <c r="F94" i="76"/>
  <c r="F93" i="76"/>
  <c r="F57" i="76"/>
  <c r="F55" i="76"/>
  <c r="F50" i="76"/>
  <c r="F46" i="76"/>
  <c r="F42" i="76"/>
  <c r="F110" i="76"/>
  <c r="F85" i="76"/>
  <c r="F84" i="76"/>
  <c r="F73" i="76"/>
  <c r="F69" i="76"/>
  <c r="F68" i="76"/>
  <c r="D55" i="76"/>
  <c r="F108" i="76"/>
  <c r="F75" i="76"/>
  <c r="F74" i="76"/>
  <c r="F51" i="76"/>
  <c r="F47" i="76"/>
  <c r="F43" i="76"/>
  <c r="F39" i="76"/>
  <c r="F38" i="76"/>
  <c r="F107" i="76"/>
  <c r="F86" i="76"/>
  <c r="F70" i="76"/>
  <c r="F106" i="76"/>
  <c r="F97" i="76"/>
  <c r="F77" i="76"/>
  <c r="F76" i="76"/>
  <c r="F65" i="76"/>
  <c r="F61" i="76"/>
  <c r="F88" i="76"/>
  <c r="F87" i="76"/>
  <c r="F52" i="76"/>
  <c r="F48" i="76"/>
  <c r="F44" i="76"/>
  <c r="F40" i="76"/>
  <c r="F99" i="76"/>
  <c r="F98" i="76"/>
  <c r="F79" i="76"/>
  <c r="F78" i="76"/>
  <c r="F71" i="76"/>
  <c r="F114" i="76"/>
  <c r="F89" i="76"/>
  <c r="F66" i="76"/>
  <c r="F109" i="76"/>
  <c r="F96" i="76"/>
  <c r="L12" i="76"/>
  <c r="N12" i="76" s="1"/>
  <c r="F60" i="76"/>
  <c r="F90" i="76"/>
  <c r="F62" i="76"/>
  <c r="F95" i="76"/>
  <c r="F64" i="76"/>
  <c r="F104" i="76"/>
  <c r="H85" i="72"/>
  <c r="L16" i="56"/>
  <c r="D74" i="56"/>
  <c r="R17" i="48"/>
  <c r="X42" i="33"/>
  <c r="Z42" i="33" s="1"/>
  <c r="H126" i="42"/>
  <c r="V125" i="39"/>
  <c r="V117" i="39"/>
  <c r="V113" i="39"/>
  <c r="V109" i="39"/>
  <c r="V97" i="39"/>
  <c r="V89" i="39"/>
  <c r="V81" i="39"/>
  <c r="V69" i="39"/>
  <c r="V61" i="39"/>
  <c r="V41" i="39"/>
  <c r="V37" i="39"/>
  <c r="V108" i="39"/>
  <c r="V96" i="39"/>
  <c r="V92" i="39"/>
  <c r="V80" i="39"/>
  <c r="V72" i="39"/>
  <c r="V64" i="39"/>
  <c r="V56" i="39"/>
  <c r="V52" i="39"/>
  <c r="T39" i="39"/>
  <c r="V39" i="39" s="1"/>
  <c r="Z12" i="39"/>
  <c r="V103" i="39"/>
  <c r="V91" i="39"/>
  <c r="V71" i="39"/>
  <c r="V63" i="39"/>
  <c r="V51" i="39"/>
  <c r="V47" i="39"/>
  <c r="V43" i="39"/>
  <c r="V126" i="39"/>
  <c r="V118" i="39"/>
  <c r="V114" i="39"/>
  <c r="V110" i="39"/>
  <c r="V98" i="39"/>
  <c r="V82" i="39"/>
  <c r="V74" i="39"/>
  <c r="V66" i="39"/>
  <c r="V93" i="39"/>
  <c r="V73" i="39"/>
  <c r="V65" i="39"/>
  <c r="V57" i="39"/>
  <c r="V53" i="39"/>
  <c r="V134" i="39"/>
  <c r="V128" i="39"/>
  <c r="V120" i="39"/>
  <c r="V104" i="39"/>
  <c r="V100" i="39"/>
  <c r="V84" i="39"/>
  <c r="V76" i="39"/>
  <c r="V48" i="39"/>
  <c r="V44" i="39"/>
  <c r="V133" i="39"/>
  <c r="V127" i="39"/>
  <c r="V119" i="39"/>
  <c r="V115" i="39"/>
  <c r="V111" i="39"/>
  <c r="V99" i="39"/>
  <c r="V83" i="39"/>
  <c r="V75" i="39"/>
  <c r="V67" i="39"/>
  <c r="V132" i="39"/>
  <c r="V122" i="39"/>
  <c r="V106" i="39"/>
  <c r="V94" i="39"/>
  <c r="V86" i="39"/>
  <c r="V78" i="39"/>
  <c r="V58" i="39"/>
  <c r="V54" i="39"/>
  <c r="V131" i="39"/>
  <c r="V129" i="39"/>
  <c r="V121" i="39"/>
  <c r="V105" i="39"/>
  <c r="V101" i="39"/>
  <c r="V85" i="39"/>
  <c r="V77" i="39"/>
  <c r="V49" i="39"/>
  <c r="V45" i="39"/>
  <c r="V123" i="39"/>
  <c r="V107" i="39"/>
  <c r="V95" i="39"/>
  <c r="V87" i="39"/>
  <c r="V79" i="39"/>
  <c r="V59" i="39"/>
  <c r="V55" i="39"/>
  <c r="V42" i="39"/>
  <c r="V116" i="39"/>
  <c r="V102" i="39"/>
  <c r="V62" i="39"/>
  <c r="V124" i="39"/>
  <c r="V68" i="39"/>
  <c r="V70" i="39"/>
  <c r="V46" i="39"/>
  <c r="V90" i="39"/>
  <c r="V88" i="39"/>
  <c r="V112" i="39"/>
  <c r="V50" i="39"/>
  <c r="V36" i="39"/>
  <c r="V138" i="39"/>
  <c r="V60" i="39"/>
  <c r="V35" i="39"/>
  <c r="Z31" i="36"/>
  <c r="T129" i="36"/>
  <c r="N92" i="33"/>
  <c r="P136" i="39"/>
  <c r="X39" i="39"/>
  <c r="X12" i="39"/>
  <c r="Z287" i="18"/>
  <c r="N261" i="15"/>
  <c r="T22" i="6"/>
  <c r="Z16" i="6"/>
  <c r="H281" i="12"/>
  <c r="T27" i="110"/>
  <c r="Z18" i="110"/>
  <c r="P27" i="52"/>
  <c r="X18" i="52"/>
  <c r="T27" i="50"/>
  <c r="Z18" i="50"/>
  <c r="L18" i="41"/>
  <c r="D27" i="41"/>
  <c r="H27" i="40"/>
  <c r="N18" i="40"/>
  <c r="T27" i="25"/>
  <c r="Z18" i="25"/>
  <c r="H27" i="25"/>
  <c r="N18" i="25"/>
  <c r="T27" i="16"/>
  <c r="Z18" i="16"/>
  <c r="H27" i="29"/>
  <c r="N18" i="29"/>
  <c r="L18" i="13"/>
  <c r="D27" i="13"/>
  <c r="L18" i="7"/>
  <c r="D27" i="7"/>
  <c r="X75" i="93" l="1"/>
  <c r="P79" i="93"/>
  <c r="R75" i="93"/>
  <c r="T31" i="26"/>
  <c r="Z27" i="26"/>
  <c r="T101" i="91"/>
  <c r="N85" i="105"/>
  <c r="H89" i="105"/>
  <c r="J85" i="105"/>
  <c r="L85" i="105"/>
  <c r="T58" i="102"/>
  <c r="H86" i="83"/>
  <c r="Z27" i="49"/>
  <c r="T31" i="49"/>
  <c r="L27" i="53"/>
  <c r="D31" i="53"/>
  <c r="L73" i="79"/>
  <c r="N73" i="79" s="1"/>
  <c r="D77" i="79"/>
  <c r="P54" i="104"/>
  <c r="X21" i="104"/>
  <c r="Z21" i="104" s="1"/>
  <c r="L27" i="35"/>
  <c r="D31" i="35"/>
  <c r="L64" i="27"/>
  <c r="D124" i="27"/>
  <c r="D37" i="55"/>
  <c r="L33" i="55"/>
  <c r="H78" i="69"/>
  <c r="J74" i="69"/>
  <c r="L52" i="73"/>
  <c r="D94" i="73"/>
  <c r="P50" i="99"/>
  <c r="X46" i="99"/>
  <c r="N27" i="112"/>
  <c r="H31" i="112"/>
  <c r="L27" i="23"/>
  <c r="D31" i="23"/>
  <c r="H91" i="107"/>
  <c r="J87" i="107"/>
  <c r="D31" i="16"/>
  <c r="L27" i="16"/>
  <c r="N27" i="43"/>
  <c r="H31" i="43"/>
  <c r="L86" i="87"/>
  <c r="D90" i="87"/>
  <c r="L27" i="29"/>
  <c r="D31" i="29"/>
  <c r="P31" i="29"/>
  <c r="X27" i="29"/>
  <c r="X27" i="111"/>
  <c r="P31" i="111"/>
  <c r="H143" i="24"/>
  <c r="P31" i="5"/>
  <c r="X27" i="5"/>
  <c r="L27" i="52"/>
  <c r="D31" i="52"/>
  <c r="T54" i="60"/>
  <c r="X50" i="60"/>
  <c r="Z50" i="60" s="1"/>
  <c r="Z27" i="25"/>
  <c r="T31" i="25"/>
  <c r="H285" i="12"/>
  <c r="J281" i="12"/>
  <c r="L74" i="56"/>
  <c r="D78" i="56"/>
  <c r="L55" i="76"/>
  <c r="D112" i="76"/>
  <c r="D91" i="97"/>
  <c r="L87" i="97"/>
  <c r="H31" i="4"/>
  <c r="N27" i="4"/>
  <c r="X27" i="44"/>
  <c r="P31" i="44"/>
  <c r="Z27" i="111"/>
  <c r="T31" i="111"/>
  <c r="D112" i="51"/>
  <c r="L55" i="51"/>
  <c r="P85" i="101"/>
  <c r="X23" i="101"/>
  <c r="Z23" i="101" s="1"/>
  <c r="H90" i="87"/>
  <c r="N86" i="87"/>
  <c r="J86" i="87"/>
  <c r="H31" i="11"/>
  <c r="N27" i="11"/>
  <c r="X55" i="76"/>
  <c r="Z55" i="76" s="1"/>
  <c r="P112" i="76"/>
  <c r="Z27" i="35"/>
  <c r="T31" i="35"/>
  <c r="P78" i="56"/>
  <c r="X74" i="56"/>
  <c r="T57" i="98"/>
  <c r="Z53" i="98"/>
  <c r="R21" i="104"/>
  <c r="N28" i="106"/>
  <c r="H31" i="106"/>
  <c r="N31" i="106" s="1"/>
  <c r="H31" i="26"/>
  <c r="N27" i="26"/>
  <c r="L27" i="110"/>
  <c r="D31" i="110"/>
  <c r="Z27" i="8"/>
  <c r="T31" i="8"/>
  <c r="H84" i="75"/>
  <c r="J80" i="75"/>
  <c r="T81" i="88"/>
  <c r="V77" i="88"/>
  <c r="N27" i="52"/>
  <c r="H31" i="52"/>
  <c r="D54" i="104"/>
  <c r="L21" i="104"/>
  <c r="N21" i="104" s="1"/>
  <c r="X27" i="22"/>
  <c r="P31" i="22"/>
  <c r="H62" i="68"/>
  <c r="N58" i="68"/>
  <c r="D80" i="75"/>
  <c r="L31" i="75"/>
  <c r="N31" i="75" s="1"/>
  <c r="N53" i="61"/>
  <c r="H57" i="61"/>
  <c r="P31" i="23"/>
  <c r="X27" i="23"/>
  <c r="T62" i="68"/>
  <c r="Z58" i="68"/>
  <c r="X58" i="68"/>
  <c r="N27" i="14"/>
  <c r="H31" i="14"/>
  <c r="H80" i="92"/>
  <c r="L27" i="7"/>
  <c r="D31" i="7"/>
  <c r="H78" i="56"/>
  <c r="N74" i="56"/>
  <c r="P101" i="91"/>
  <c r="X97" i="91"/>
  <c r="Z97" i="91" s="1"/>
  <c r="J21" i="92"/>
  <c r="L27" i="44"/>
  <c r="D31" i="44"/>
  <c r="H151" i="30"/>
  <c r="T94" i="73"/>
  <c r="Z52" i="73"/>
  <c r="D55" i="102"/>
  <c r="L51" i="102"/>
  <c r="D77" i="48"/>
  <c r="L73" i="48"/>
  <c r="F73" i="48"/>
  <c r="N27" i="32"/>
  <c r="H31" i="32"/>
  <c r="D97" i="9"/>
  <c r="L93" i="9"/>
  <c r="X27" i="7"/>
  <c r="P31" i="7"/>
  <c r="X27" i="32"/>
  <c r="P31" i="32"/>
  <c r="L37" i="108"/>
  <c r="D41" i="108"/>
  <c r="D31" i="112"/>
  <c r="L27" i="112"/>
  <c r="Z27" i="52"/>
  <c r="T31" i="52"/>
  <c r="D76" i="57"/>
  <c r="L72" i="57"/>
  <c r="D34" i="85"/>
  <c r="L30" i="85"/>
  <c r="H92" i="103"/>
  <c r="J89" i="103"/>
  <c r="X27" i="35"/>
  <c r="P31" i="35"/>
  <c r="T89" i="72"/>
  <c r="V85" i="72"/>
  <c r="X20" i="88"/>
  <c r="Z20" i="88" s="1"/>
  <c r="P77" i="88"/>
  <c r="X27" i="25"/>
  <c r="P31" i="25"/>
  <c r="T89" i="80"/>
  <c r="V86" i="80"/>
  <c r="D301" i="18"/>
  <c r="L196" i="18"/>
  <c r="H31" i="40"/>
  <c r="N27" i="40"/>
  <c r="T26" i="6"/>
  <c r="Z22" i="6"/>
  <c r="X22" i="6"/>
  <c r="P55" i="102"/>
  <c r="X51" i="102"/>
  <c r="Z51" i="102" s="1"/>
  <c r="T31" i="4"/>
  <c r="Z27" i="4"/>
  <c r="Z27" i="43"/>
  <c r="T31" i="43"/>
  <c r="N22" i="6"/>
  <c r="H26" i="6"/>
  <c r="P80" i="75"/>
  <c r="X31" i="75"/>
  <c r="Z31" i="75" s="1"/>
  <c r="T31" i="29"/>
  <c r="Z27" i="29"/>
  <c r="N27" i="110"/>
  <c r="H31" i="110"/>
  <c r="P272" i="15"/>
  <c r="X170" i="15"/>
  <c r="R170" i="15"/>
  <c r="P75" i="78"/>
  <c r="R71" i="78"/>
  <c r="H34" i="82"/>
  <c r="J30" i="82"/>
  <c r="H89" i="101"/>
  <c r="J85" i="101"/>
  <c r="N22" i="54"/>
  <c r="H26" i="54"/>
  <c r="H31" i="23"/>
  <c r="N27" i="23"/>
  <c r="T70" i="100"/>
  <c r="Z22" i="100"/>
  <c r="T58" i="104"/>
  <c r="V54" i="104"/>
  <c r="P94" i="73"/>
  <c r="X52" i="73"/>
  <c r="D75" i="78"/>
  <c r="L71" i="78"/>
  <c r="F71" i="78"/>
  <c r="L86" i="83"/>
  <c r="D90" i="83"/>
  <c r="H94" i="73"/>
  <c r="N52" i="73"/>
  <c r="P34" i="82"/>
  <c r="R30" i="82"/>
  <c r="P285" i="12"/>
  <c r="R281" i="12"/>
  <c r="H109" i="21"/>
  <c r="H101" i="91"/>
  <c r="X21" i="107"/>
  <c r="P87" i="107"/>
  <c r="L27" i="25"/>
  <c r="D31" i="25"/>
  <c r="P31" i="31"/>
  <c r="X27" i="31"/>
  <c r="T126" i="70"/>
  <c r="V122" i="70"/>
  <c r="Z27" i="22"/>
  <c r="T31" i="22"/>
  <c r="Z27" i="112"/>
  <c r="T31" i="112"/>
  <c r="L20" i="94"/>
  <c r="N20" i="94" s="1"/>
  <c r="D77" i="94"/>
  <c r="H81" i="94"/>
  <c r="J77" i="94"/>
  <c r="T31" i="13"/>
  <c r="Z27" i="13"/>
  <c r="T116" i="76"/>
  <c r="V112" i="76"/>
  <c r="T281" i="12"/>
  <c r="X281" i="12" s="1"/>
  <c r="Z175" i="12"/>
  <c r="T109" i="21"/>
  <c r="P122" i="70"/>
  <c r="X62" i="70"/>
  <c r="Z62" i="70" s="1"/>
  <c r="T93" i="95"/>
  <c r="X20" i="95"/>
  <c r="Z20" i="95" s="1"/>
  <c r="P80" i="58"/>
  <c r="X77" i="58"/>
  <c r="L27" i="22"/>
  <c r="D31" i="22"/>
  <c r="L46" i="99"/>
  <c r="N46" i="99" s="1"/>
  <c r="D50" i="99"/>
  <c r="X27" i="16"/>
  <c r="P31" i="16"/>
  <c r="L27" i="38"/>
  <c r="D31" i="38"/>
  <c r="H77" i="58"/>
  <c r="N73" i="58"/>
  <c r="L73" i="58"/>
  <c r="X27" i="14"/>
  <c r="P31" i="14"/>
  <c r="X27" i="34"/>
  <c r="P31" i="34"/>
  <c r="H70" i="100"/>
  <c r="P31" i="41"/>
  <c r="X27" i="41"/>
  <c r="P136" i="36"/>
  <c r="R133" i="36"/>
  <c r="P90" i="83"/>
  <c r="X86" i="83"/>
  <c r="R86" i="83"/>
  <c r="T115" i="74"/>
  <c r="Z53" i="74"/>
  <c r="T31" i="40"/>
  <c r="Z27" i="40"/>
  <c r="P95" i="45"/>
  <c r="X24" i="45"/>
  <c r="T84" i="75"/>
  <c r="V80" i="75"/>
  <c r="Z27" i="78"/>
  <c r="T71" i="78"/>
  <c r="X71" i="78" s="1"/>
  <c r="H58" i="104"/>
  <c r="J54" i="104"/>
  <c r="D31" i="28"/>
  <c r="L27" i="28"/>
  <c r="P79" i="57"/>
  <c r="P74" i="100"/>
  <c r="R70" i="100"/>
  <c r="X27" i="13"/>
  <c r="P31" i="13"/>
  <c r="N27" i="35"/>
  <c r="H31" i="35"/>
  <c r="H77" i="48"/>
  <c r="N73" i="48"/>
  <c r="J73" i="48"/>
  <c r="D28" i="106"/>
  <c r="L24" i="106"/>
  <c r="Z27" i="17"/>
  <c r="T31" i="17"/>
  <c r="H31" i="38"/>
  <c r="N27" i="38"/>
  <c r="X30" i="42"/>
  <c r="P126" i="42"/>
  <c r="T77" i="48"/>
  <c r="V73" i="48"/>
  <c r="N27" i="17"/>
  <c r="H31" i="17"/>
  <c r="D151" i="30"/>
  <c r="L72" i="30"/>
  <c r="N72" i="30" s="1"/>
  <c r="T108" i="63"/>
  <c r="X27" i="37"/>
  <c r="P31" i="37"/>
  <c r="L30" i="21"/>
  <c r="N30" i="21" s="1"/>
  <c r="L20" i="80"/>
  <c r="N20" i="80" s="1"/>
  <c r="D82" i="80"/>
  <c r="P77" i="109"/>
  <c r="X73" i="109"/>
  <c r="R73" i="109"/>
  <c r="L326" i="3"/>
  <c r="D330" i="3"/>
  <c r="F326" i="3"/>
  <c r="T95" i="45"/>
  <c r="Z24" i="45"/>
  <c r="T116" i="51"/>
  <c r="V112" i="51"/>
  <c r="D26" i="6"/>
  <c r="L22" i="6"/>
  <c r="L20" i="83"/>
  <c r="N20" i="83" s="1"/>
  <c r="H89" i="72"/>
  <c r="J85" i="72"/>
  <c r="X55" i="51"/>
  <c r="Z55" i="51" s="1"/>
  <c r="P112" i="51"/>
  <c r="J20" i="83"/>
  <c r="L27" i="46"/>
  <c r="D31" i="46"/>
  <c r="T301" i="18"/>
  <c r="H95" i="45"/>
  <c r="H34" i="85"/>
  <c r="N30" i="85"/>
  <c r="J30" i="85"/>
  <c r="H77" i="109"/>
  <c r="J73" i="109"/>
  <c r="D80" i="92"/>
  <c r="L21" i="92"/>
  <c r="N21" i="92" s="1"/>
  <c r="X74" i="69"/>
  <c r="P78" i="69"/>
  <c r="R74" i="69"/>
  <c r="P31" i="8"/>
  <c r="X27" i="8"/>
  <c r="N93" i="9"/>
  <c r="H97" i="9"/>
  <c r="L27" i="19"/>
  <c r="D31" i="19"/>
  <c r="X27" i="38"/>
  <c r="P31" i="38"/>
  <c r="H77" i="79"/>
  <c r="J73" i="79"/>
  <c r="H50" i="99"/>
  <c r="D113" i="21"/>
  <c r="L109" i="21"/>
  <c r="F109" i="21"/>
  <c r="N72" i="57"/>
  <c r="H76" i="57"/>
  <c r="L93" i="95"/>
  <c r="D97" i="95"/>
  <c r="L27" i="5"/>
  <c r="D31" i="5"/>
  <c r="X27" i="112"/>
  <c r="P31" i="112"/>
  <c r="X27" i="20"/>
  <c r="P31" i="20"/>
  <c r="X27" i="43"/>
  <c r="P31" i="43"/>
  <c r="T78" i="69"/>
  <c r="Z74" i="69"/>
  <c r="V74" i="69"/>
  <c r="D57" i="98"/>
  <c r="L27" i="17"/>
  <c r="D31" i="17"/>
  <c r="L27" i="32"/>
  <c r="D31" i="32"/>
  <c r="L22" i="54"/>
  <c r="D26" i="54"/>
  <c r="N51" i="102"/>
  <c r="H55" i="102"/>
  <c r="P40" i="55"/>
  <c r="D31" i="11"/>
  <c r="L27" i="11"/>
  <c r="D281" i="12"/>
  <c r="L175" i="12"/>
  <c r="N175" i="12" s="1"/>
  <c r="P84" i="92"/>
  <c r="X80" i="92"/>
  <c r="Z80" i="92" s="1"/>
  <c r="R80" i="92"/>
  <c r="X27" i="110"/>
  <c r="P31" i="110"/>
  <c r="T31" i="7"/>
  <c r="Z27" i="7"/>
  <c r="N27" i="29"/>
  <c r="H31" i="29"/>
  <c r="J22" i="100"/>
  <c r="P31" i="4"/>
  <c r="X27" i="4"/>
  <c r="H31" i="20"/>
  <c r="N27" i="20"/>
  <c r="X27" i="46"/>
  <c r="P31" i="46"/>
  <c r="X72" i="30"/>
  <c r="Z72" i="30" s="1"/>
  <c r="P151" i="30"/>
  <c r="H108" i="63"/>
  <c r="X93" i="95"/>
  <c r="P97" i="95"/>
  <c r="R93" i="95"/>
  <c r="P125" i="84"/>
  <c r="X58" i="84"/>
  <c r="P89" i="105"/>
  <c r="X85" i="105"/>
  <c r="R85" i="105"/>
  <c r="N27" i="16"/>
  <c r="H31" i="16"/>
  <c r="P31" i="50"/>
  <c r="X27" i="50"/>
  <c r="X30" i="85"/>
  <c r="Z30" i="85" s="1"/>
  <c r="P34" i="85"/>
  <c r="R30" i="85"/>
  <c r="X85" i="103"/>
  <c r="P89" i="103"/>
  <c r="R85" i="103"/>
  <c r="Z27" i="5"/>
  <c r="T31" i="5"/>
  <c r="N27" i="31"/>
  <c r="H31" i="31"/>
  <c r="D122" i="70"/>
  <c r="L62" i="70"/>
  <c r="N62" i="70" s="1"/>
  <c r="H37" i="55"/>
  <c r="N33" i="55"/>
  <c r="X73" i="48"/>
  <c r="Z73" i="48" s="1"/>
  <c r="P77" i="48"/>
  <c r="R73" i="48"/>
  <c r="N27" i="19"/>
  <c r="H31" i="19"/>
  <c r="L73" i="109"/>
  <c r="N73" i="109" s="1"/>
  <c r="P104" i="33"/>
  <c r="X100" i="33"/>
  <c r="R100" i="33"/>
  <c r="L30" i="82"/>
  <c r="N30" i="82" s="1"/>
  <c r="D34" i="82"/>
  <c r="F30" i="82"/>
  <c r="H75" i="93"/>
  <c r="N20" i="93"/>
  <c r="H31" i="10"/>
  <c r="N27" i="10"/>
  <c r="X326" i="3"/>
  <c r="P330" i="3"/>
  <c r="R326" i="3"/>
  <c r="T155" i="30"/>
  <c r="V151" i="30"/>
  <c r="T77" i="79"/>
  <c r="Z73" i="79"/>
  <c r="V73" i="79"/>
  <c r="P91" i="97"/>
  <c r="R87" i="97"/>
  <c r="Z75" i="93"/>
  <c r="T79" i="93"/>
  <c r="V75" i="93"/>
  <c r="N27" i="37"/>
  <c r="H31" i="37"/>
  <c r="F64" i="27"/>
  <c r="Z27" i="50"/>
  <c r="T31" i="50"/>
  <c r="P140" i="39"/>
  <c r="X136" i="39"/>
  <c r="R136" i="39"/>
  <c r="H130" i="42"/>
  <c r="J126" i="42"/>
  <c r="D101" i="91"/>
  <c r="L97" i="91"/>
  <c r="N97" i="91" s="1"/>
  <c r="L27" i="8"/>
  <c r="D31" i="8"/>
  <c r="N27" i="46"/>
  <c r="H31" i="46"/>
  <c r="H124" i="27"/>
  <c r="N64" i="27"/>
  <c r="H31" i="47"/>
  <c r="N27" i="47"/>
  <c r="H31" i="44"/>
  <c r="N27" i="44"/>
  <c r="H129" i="36"/>
  <c r="N31" i="36"/>
  <c r="H129" i="84"/>
  <c r="J125" i="84"/>
  <c r="H86" i="80"/>
  <c r="J82" i="80"/>
  <c r="T87" i="97"/>
  <c r="Z20" i="97"/>
  <c r="D87" i="107"/>
  <c r="L21" i="107"/>
  <c r="N21" i="107" s="1"/>
  <c r="P31" i="40"/>
  <c r="X27" i="40"/>
  <c r="J72" i="30"/>
  <c r="P26" i="67"/>
  <c r="X22" i="67"/>
  <c r="X27" i="11"/>
  <c r="P31" i="11"/>
  <c r="H31" i="41"/>
  <c r="N27" i="41"/>
  <c r="T97" i="9"/>
  <c r="X93" i="9"/>
  <c r="Z93" i="9" s="1"/>
  <c r="T37" i="85"/>
  <c r="V34" i="85"/>
  <c r="T41" i="108"/>
  <c r="Z77" i="58"/>
  <c r="T80" i="58"/>
  <c r="Z58" i="84"/>
  <c r="T125" i="84"/>
  <c r="V58" i="84"/>
  <c r="Z27" i="19"/>
  <c r="T31" i="19"/>
  <c r="T31" i="47"/>
  <c r="Z27" i="47"/>
  <c r="L104" i="63"/>
  <c r="N104" i="63" s="1"/>
  <c r="D108" i="63"/>
  <c r="D100" i="33"/>
  <c r="L42" i="33"/>
  <c r="N42" i="33" s="1"/>
  <c r="J30" i="21"/>
  <c r="T124" i="27"/>
  <c r="N27" i="50"/>
  <c r="H31" i="50"/>
  <c r="D54" i="60"/>
  <c r="L50" i="60"/>
  <c r="N50" i="60" s="1"/>
  <c r="N26" i="67"/>
  <c r="H29" i="67"/>
  <c r="N29" i="67" s="1"/>
  <c r="R21" i="107"/>
  <c r="L77" i="109"/>
  <c r="D80" i="109"/>
  <c r="F77" i="109"/>
  <c r="Z27" i="37"/>
  <c r="T31" i="37"/>
  <c r="H57" i="60"/>
  <c r="T92" i="101"/>
  <c r="V89" i="101"/>
  <c r="L27" i="26"/>
  <c r="D31" i="26"/>
  <c r="D60" i="61"/>
  <c r="L57" i="61"/>
  <c r="T28" i="106"/>
  <c r="D126" i="42"/>
  <c r="L30" i="42"/>
  <c r="N30" i="42" s="1"/>
  <c r="D85" i="72"/>
  <c r="L27" i="72"/>
  <c r="N27" i="72" s="1"/>
  <c r="T31" i="28"/>
  <c r="Z27" i="28"/>
  <c r="D75" i="93"/>
  <c r="L20" i="93"/>
  <c r="L27" i="43"/>
  <c r="D31" i="43"/>
  <c r="D31" i="41"/>
  <c r="L27" i="41"/>
  <c r="H91" i="97"/>
  <c r="N87" i="97"/>
  <c r="J87" i="97"/>
  <c r="F52" i="73"/>
  <c r="T86" i="87"/>
  <c r="P57" i="98"/>
  <c r="X53" i="98"/>
  <c r="R53" i="98"/>
  <c r="Z27" i="16"/>
  <c r="T31" i="16"/>
  <c r="T31" i="20"/>
  <c r="Z27" i="20"/>
  <c r="T69" i="59"/>
  <c r="H112" i="76"/>
  <c r="N55" i="76"/>
  <c r="L27" i="111"/>
  <c r="D31" i="111"/>
  <c r="T89" i="105"/>
  <c r="Z85" i="105"/>
  <c r="V85" i="105"/>
  <c r="H31" i="28"/>
  <c r="N27" i="28"/>
  <c r="Z27" i="46"/>
  <c r="T31" i="46"/>
  <c r="X64" i="27"/>
  <c r="Z64" i="27" s="1"/>
  <c r="P124" i="27"/>
  <c r="H140" i="39"/>
  <c r="J136" i="39"/>
  <c r="D81" i="88"/>
  <c r="L77" i="88"/>
  <c r="N77" i="88" s="1"/>
  <c r="Z22" i="82"/>
  <c r="T30" i="82"/>
  <c r="X27" i="26"/>
  <c r="P31" i="26"/>
  <c r="T26" i="54"/>
  <c r="Z22" i="54"/>
  <c r="X22" i="54"/>
  <c r="N27" i="8"/>
  <c r="H31" i="8"/>
  <c r="Z170" i="15"/>
  <c r="T272" i="15"/>
  <c r="Z100" i="33"/>
  <c r="T104" i="33"/>
  <c r="V100" i="33"/>
  <c r="H112" i="51"/>
  <c r="N55" i="51"/>
  <c r="Z72" i="57"/>
  <c r="T76" i="57"/>
  <c r="X76" i="57" s="1"/>
  <c r="H122" i="70"/>
  <c r="J62" i="70"/>
  <c r="Z27" i="23"/>
  <c r="T31" i="23"/>
  <c r="L83" i="24"/>
  <c r="N83" i="24" s="1"/>
  <c r="N65" i="59"/>
  <c r="H69" i="59"/>
  <c r="H75" i="78"/>
  <c r="N71" i="78"/>
  <c r="J71" i="78"/>
  <c r="D89" i="103"/>
  <c r="L85" i="103"/>
  <c r="N85" i="103" s="1"/>
  <c r="F85" i="103"/>
  <c r="Z27" i="31"/>
  <c r="T31" i="31"/>
  <c r="X27" i="10"/>
  <c r="P31" i="10"/>
  <c r="D69" i="59"/>
  <c r="L65" i="59"/>
  <c r="L22" i="100"/>
  <c r="N22" i="100" s="1"/>
  <c r="Z27" i="10"/>
  <c r="T31" i="10"/>
  <c r="X20" i="87"/>
  <c r="Z20" i="87" s="1"/>
  <c r="P86" i="87"/>
  <c r="N27" i="7"/>
  <c r="H31" i="7"/>
  <c r="P31" i="53"/>
  <c r="X27" i="53"/>
  <c r="H330" i="3"/>
  <c r="N326" i="3"/>
  <c r="J326" i="3"/>
  <c r="H272" i="15"/>
  <c r="L31" i="36"/>
  <c r="T90" i="83"/>
  <c r="Z86" i="83"/>
  <c r="V86" i="83"/>
  <c r="N27" i="13"/>
  <c r="H31" i="13"/>
  <c r="D31" i="47"/>
  <c r="L27" i="47"/>
  <c r="H104" i="33"/>
  <c r="J100" i="33"/>
  <c r="T60" i="61"/>
  <c r="N37" i="108"/>
  <c r="H41" i="108"/>
  <c r="L27" i="13"/>
  <c r="D31" i="13"/>
  <c r="D85" i="101"/>
  <c r="L23" i="101"/>
  <c r="N23" i="101" s="1"/>
  <c r="T78" i="56"/>
  <c r="Z74" i="56"/>
  <c r="X27" i="49"/>
  <c r="P31" i="49"/>
  <c r="Z26" i="67"/>
  <c r="T29" i="67"/>
  <c r="Z29" i="67" s="1"/>
  <c r="P301" i="18"/>
  <c r="X196" i="18"/>
  <c r="Z196" i="18" s="1"/>
  <c r="T50" i="99"/>
  <c r="Z46" i="99"/>
  <c r="T84" i="92"/>
  <c r="V80" i="92"/>
  <c r="N20" i="98"/>
  <c r="H53" i="98"/>
  <c r="L53" i="98" s="1"/>
  <c r="L27" i="14"/>
  <c r="D31" i="14"/>
  <c r="X27" i="52"/>
  <c r="P31" i="52"/>
  <c r="T133" i="36"/>
  <c r="Z129" i="36"/>
  <c r="V129" i="36"/>
  <c r="T136" i="39"/>
  <c r="Z39" i="39"/>
  <c r="T81" i="94"/>
  <c r="V77" i="94"/>
  <c r="D62" i="68"/>
  <c r="L58" i="68"/>
  <c r="D31" i="4"/>
  <c r="L27" i="4"/>
  <c r="X27" i="28"/>
  <c r="P31" i="28"/>
  <c r="P41" i="108"/>
  <c r="X37" i="108"/>
  <c r="Z37" i="108" s="1"/>
  <c r="D31" i="37"/>
  <c r="L27" i="37"/>
  <c r="X30" i="21"/>
  <c r="Z30" i="21" s="1"/>
  <c r="P109" i="21"/>
  <c r="D136" i="39"/>
  <c r="L39" i="39"/>
  <c r="N39" i="39" s="1"/>
  <c r="H84" i="88"/>
  <c r="J81" i="88"/>
  <c r="L27" i="49"/>
  <c r="D31" i="49"/>
  <c r="R24" i="45"/>
  <c r="H97" i="95"/>
  <c r="N93" i="95"/>
  <c r="J93" i="95"/>
  <c r="X27" i="19"/>
  <c r="P31" i="19"/>
  <c r="N27" i="49"/>
  <c r="H31" i="49"/>
  <c r="X27" i="47"/>
  <c r="P31" i="47"/>
  <c r="R196" i="18"/>
  <c r="D31" i="10"/>
  <c r="L27" i="10"/>
  <c r="L143" i="24"/>
  <c r="D147" i="24"/>
  <c r="F143" i="24"/>
  <c r="P69" i="59"/>
  <c r="X65" i="59"/>
  <c r="Z65" i="59" s="1"/>
  <c r="L27" i="40"/>
  <c r="D31" i="40"/>
  <c r="L70" i="100"/>
  <c r="D74" i="100"/>
  <c r="X27" i="17"/>
  <c r="P31" i="17"/>
  <c r="D133" i="36"/>
  <c r="F129" i="36"/>
  <c r="L74" i="69"/>
  <c r="N74" i="69" s="1"/>
  <c r="D78" i="69"/>
  <c r="P28" i="106"/>
  <c r="X24" i="106"/>
  <c r="Z24" i="106" s="1"/>
  <c r="D31" i="50"/>
  <c r="L27" i="50"/>
  <c r="F196" i="18"/>
  <c r="D99" i="45"/>
  <c r="F95" i="45"/>
  <c r="T126" i="42"/>
  <c r="Z30" i="42"/>
  <c r="X77" i="94"/>
  <c r="Z77" i="94" s="1"/>
  <c r="P81" i="94"/>
  <c r="R77" i="94"/>
  <c r="Z27" i="14"/>
  <c r="T31" i="14"/>
  <c r="Z27" i="38"/>
  <c r="T31" i="38"/>
  <c r="Z27" i="44"/>
  <c r="T31" i="44"/>
  <c r="Z73" i="109"/>
  <c r="T77" i="109"/>
  <c r="V73" i="109"/>
  <c r="N27" i="25"/>
  <c r="H31" i="25"/>
  <c r="Z27" i="110"/>
  <c r="T31" i="110"/>
  <c r="Z21" i="107"/>
  <c r="T87" i="107"/>
  <c r="T31" i="53"/>
  <c r="Z27" i="53"/>
  <c r="T143" i="24"/>
  <c r="X73" i="79"/>
  <c r="P77" i="79"/>
  <c r="R73" i="79"/>
  <c r="R58" i="84"/>
  <c r="Z27" i="11"/>
  <c r="T31" i="11"/>
  <c r="T330" i="3"/>
  <c r="Z326" i="3"/>
  <c r="V326" i="3"/>
  <c r="P57" i="61"/>
  <c r="X53" i="61"/>
  <c r="Z53" i="61" s="1"/>
  <c r="P115" i="74"/>
  <c r="X53" i="74"/>
  <c r="N27" i="22"/>
  <c r="H31" i="22"/>
  <c r="T31" i="41"/>
  <c r="Z27" i="41"/>
  <c r="N27" i="34"/>
  <c r="H31" i="34"/>
  <c r="H301" i="18"/>
  <c r="N196" i="18"/>
  <c r="V52" i="73"/>
  <c r="R52" i="73"/>
  <c r="L27" i="31"/>
  <c r="D31" i="31"/>
  <c r="Z33" i="55"/>
  <c r="T37" i="55"/>
  <c r="X82" i="80"/>
  <c r="Z82" i="80" s="1"/>
  <c r="P86" i="80"/>
  <c r="R82" i="80"/>
  <c r="L53" i="74"/>
  <c r="D115" i="74"/>
  <c r="L58" i="84"/>
  <c r="N58" i="84" s="1"/>
  <c r="D125" i="84"/>
  <c r="D31" i="20"/>
  <c r="L27" i="20"/>
  <c r="H31" i="53"/>
  <c r="N27" i="53"/>
  <c r="R30" i="42"/>
  <c r="N53" i="74"/>
  <c r="H115" i="74"/>
  <c r="T31" i="34"/>
  <c r="Z27" i="34"/>
  <c r="P108" i="63"/>
  <c r="X104" i="63"/>
  <c r="Z104" i="63" s="1"/>
  <c r="T89" i="103"/>
  <c r="Z85" i="103"/>
  <c r="V85" i="103"/>
  <c r="P143" i="24"/>
  <c r="X83" i="24"/>
  <c r="Z83" i="24" s="1"/>
  <c r="N27" i="5"/>
  <c r="H31" i="5"/>
  <c r="L27" i="34"/>
  <c r="D31" i="34"/>
  <c r="H31" i="111"/>
  <c r="N27" i="111"/>
  <c r="J83" i="24"/>
  <c r="X85" i="72"/>
  <c r="Z85" i="72" s="1"/>
  <c r="P89" i="72"/>
  <c r="R85" i="72"/>
  <c r="Z27" i="32"/>
  <c r="T31" i="32"/>
  <c r="D272" i="15"/>
  <c r="L170" i="15"/>
  <c r="N170" i="15" s="1"/>
  <c r="L24" i="45"/>
  <c r="N24" i="45" s="1"/>
  <c r="L22" i="67"/>
  <c r="D26" i="67"/>
  <c r="D36" i="47" l="1"/>
  <c r="L31" i="47"/>
  <c r="H116" i="51"/>
  <c r="J112" i="51"/>
  <c r="L108" i="63"/>
  <c r="D111" i="63"/>
  <c r="T44" i="108"/>
  <c r="H89" i="80"/>
  <c r="J86" i="80"/>
  <c r="P94" i="97"/>
  <c r="R91" i="97"/>
  <c r="P107" i="33"/>
  <c r="X104" i="33"/>
  <c r="R104" i="33"/>
  <c r="P36" i="50"/>
  <c r="X31" i="50"/>
  <c r="N31" i="29"/>
  <c r="H36" i="29"/>
  <c r="N36" i="29" s="1"/>
  <c r="L31" i="32"/>
  <c r="D36" i="32"/>
  <c r="H53" i="99"/>
  <c r="P36" i="8"/>
  <c r="X31" i="8"/>
  <c r="L26" i="6"/>
  <c r="D31" i="6"/>
  <c r="D86" i="80"/>
  <c r="L82" i="80"/>
  <c r="N82" i="80" s="1"/>
  <c r="T80" i="48"/>
  <c r="V77" i="48"/>
  <c r="H80" i="48"/>
  <c r="J77" i="48"/>
  <c r="H74" i="100"/>
  <c r="N70" i="100"/>
  <c r="J70" i="100"/>
  <c r="T119" i="76"/>
  <c r="V116" i="76"/>
  <c r="T36" i="22"/>
  <c r="Z36" i="22" s="1"/>
  <c r="Z31" i="22"/>
  <c r="H104" i="91"/>
  <c r="N94" i="73"/>
  <c r="H98" i="73"/>
  <c r="J94" i="73"/>
  <c r="T74" i="100"/>
  <c r="V70" i="100"/>
  <c r="P78" i="78"/>
  <c r="R75" i="78"/>
  <c r="P84" i="75"/>
  <c r="X80" i="75"/>
  <c r="Z80" i="75" s="1"/>
  <c r="R80" i="75"/>
  <c r="X55" i="102"/>
  <c r="Z55" i="102" s="1"/>
  <c r="P58" i="102"/>
  <c r="X58" i="102" s="1"/>
  <c r="L34" i="85"/>
  <c r="D37" i="85"/>
  <c r="H155" i="30"/>
  <c r="J151" i="30"/>
  <c r="T84" i="88"/>
  <c r="V81" i="88"/>
  <c r="X31" i="44"/>
  <c r="P36" i="44"/>
  <c r="X31" i="111"/>
  <c r="P36" i="111"/>
  <c r="D98" i="73"/>
  <c r="L94" i="73"/>
  <c r="F94" i="73"/>
  <c r="P58" i="104"/>
  <c r="X54" i="104"/>
  <c r="Z54" i="104" s="1"/>
  <c r="R54" i="104"/>
  <c r="H119" i="74"/>
  <c r="J115" i="74"/>
  <c r="X86" i="80"/>
  <c r="Z86" i="80" s="1"/>
  <c r="P89" i="80"/>
  <c r="R86" i="80"/>
  <c r="N31" i="34"/>
  <c r="H36" i="34"/>
  <c r="N36" i="34" s="1"/>
  <c r="T335" i="3"/>
  <c r="V330" i="3"/>
  <c r="T36" i="53"/>
  <c r="Z36" i="53" s="1"/>
  <c r="Z31" i="53"/>
  <c r="Z31" i="44"/>
  <c r="T36" i="44"/>
  <c r="Z36" i="44" s="1"/>
  <c r="P31" i="106"/>
  <c r="X31" i="106" s="1"/>
  <c r="X28" i="106"/>
  <c r="X31" i="47"/>
  <c r="P36" i="47"/>
  <c r="Z136" i="39"/>
  <c r="T140" i="39"/>
  <c r="V136" i="39"/>
  <c r="D89" i="101"/>
  <c r="L85" i="101"/>
  <c r="N85" i="101" s="1"/>
  <c r="N31" i="13"/>
  <c r="H36" i="13"/>
  <c r="N36" i="13" s="1"/>
  <c r="H335" i="3"/>
  <c r="J330" i="3"/>
  <c r="H72" i="59"/>
  <c r="V92" i="101"/>
  <c r="H128" i="27"/>
  <c r="J124" i="27"/>
  <c r="P143" i="39"/>
  <c r="X140" i="39"/>
  <c r="R140" i="39"/>
  <c r="P335" i="3"/>
  <c r="X330" i="3"/>
  <c r="Z330" i="3" s="1"/>
  <c r="R330" i="3"/>
  <c r="Z31" i="5"/>
  <c r="T36" i="5"/>
  <c r="Z36" i="5" s="1"/>
  <c r="N31" i="16"/>
  <c r="H36" i="16"/>
  <c r="N36" i="16" s="1"/>
  <c r="P87" i="92"/>
  <c r="X84" i="92"/>
  <c r="Z84" i="92" s="1"/>
  <c r="R84" i="92"/>
  <c r="X31" i="112"/>
  <c r="P36" i="112"/>
  <c r="N31" i="35"/>
  <c r="H36" i="35"/>
  <c r="N36" i="35" s="1"/>
  <c r="T36" i="40"/>
  <c r="Z36" i="40" s="1"/>
  <c r="Z31" i="40"/>
  <c r="L50" i="99"/>
  <c r="N50" i="99" s="1"/>
  <c r="D53" i="99"/>
  <c r="L53" i="99" s="1"/>
  <c r="D93" i="83"/>
  <c r="N26" i="6"/>
  <c r="H31" i="6"/>
  <c r="X77" i="88"/>
  <c r="Z77" i="88" s="1"/>
  <c r="P81" i="88"/>
  <c r="R77" i="88"/>
  <c r="L80" i="75"/>
  <c r="N80" i="75" s="1"/>
  <c r="D84" i="75"/>
  <c r="F80" i="75"/>
  <c r="Z31" i="25"/>
  <c r="T36" i="25"/>
  <c r="Z36" i="25" s="1"/>
  <c r="L77" i="79"/>
  <c r="D80" i="79"/>
  <c r="H99" i="45"/>
  <c r="J95" i="45"/>
  <c r="T130" i="42"/>
  <c r="V126" i="42"/>
  <c r="N31" i="49"/>
  <c r="H36" i="49"/>
  <c r="N36" i="49" s="1"/>
  <c r="X31" i="28"/>
  <c r="P36" i="28"/>
  <c r="T53" i="99"/>
  <c r="P36" i="53"/>
  <c r="X31" i="53"/>
  <c r="P36" i="10"/>
  <c r="X31" i="10"/>
  <c r="T34" i="82"/>
  <c r="V30" i="82"/>
  <c r="H36" i="28"/>
  <c r="N36" i="28" s="1"/>
  <c r="N31" i="28"/>
  <c r="H94" i="97"/>
  <c r="J91" i="97"/>
  <c r="D89" i="72"/>
  <c r="L85" i="72"/>
  <c r="N85" i="72" s="1"/>
  <c r="F85" i="72"/>
  <c r="T36" i="47"/>
  <c r="Z36" i="47" s="1"/>
  <c r="Z31" i="47"/>
  <c r="T80" i="79"/>
  <c r="V77" i="79"/>
  <c r="X151" i="30"/>
  <c r="Z151" i="30" s="1"/>
  <c r="P155" i="30"/>
  <c r="R151" i="30"/>
  <c r="D285" i="12"/>
  <c r="L281" i="12"/>
  <c r="N281" i="12" s="1"/>
  <c r="F281" i="12"/>
  <c r="L31" i="5"/>
  <c r="D36" i="5"/>
  <c r="H92" i="72"/>
  <c r="J89" i="72"/>
  <c r="X31" i="37"/>
  <c r="P36" i="37"/>
  <c r="X31" i="13"/>
  <c r="P36" i="13"/>
  <c r="H61" i="104"/>
  <c r="J58" i="104"/>
  <c r="T119" i="74"/>
  <c r="V115" i="74"/>
  <c r="L31" i="22"/>
  <c r="D36" i="22"/>
  <c r="T129" i="70"/>
  <c r="V126" i="70"/>
  <c r="H113" i="21"/>
  <c r="N109" i="21"/>
  <c r="J109" i="21"/>
  <c r="N26" i="54"/>
  <c r="H31" i="54"/>
  <c r="Z26" i="6"/>
  <c r="T31" i="6"/>
  <c r="X26" i="6"/>
  <c r="T36" i="52"/>
  <c r="Z36" i="52" s="1"/>
  <c r="Z31" i="52"/>
  <c r="N31" i="32"/>
  <c r="H36" i="32"/>
  <c r="N36" i="32" s="1"/>
  <c r="H36" i="14"/>
  <c r="N36" i="14" s="1"/>
  <c r="N31" i="14"/>
  <c r="H65" i="68"/>
  <c r="N65" i="68" s="1"/>
  <c r="N62" i="68"/>
  <c r="H87" i="75"/>
  <c r="J84" i="75"/>
  <c r="H36" i="4"/>
  <c r="N36" i="4" s="1"/>
  <c r="N31" i="4"/>
  <c r="P36" i="29"/>
  <c r="X31" i="29"/>
  <c r="H81" i="69"/>
  <c r="J78" i="69"/>
  <c r="N89" i="105"/>
  <c r="H92" i="105"/>
  <c r="J89" i="105"/>
  <c r="L89" i="105"/>
  <c r="L31" i="34"/>
  <c r="D36" i="34"/>
  <c r="H116" i="76"/>
  <c r="J112" i="76"/>
  <c r="D36" i="40"/>
  <c r="L31" i="40"/>
  <c r="H36" i="46"/>
  <c r="N36" i="46" s="1"/>
  <c r="N31" i="46"/>
  <c r="N108" i="63"/>
  <c r="H111" i="63"/>
  <c r="T119" i="51"/>
  <c r="V116" i="51"/>
  <c r="L31" i="44"/>
  <c r="D36" i="44"/>
  <c r="T36" i="41"/>
  <c r="Z36" i="41" s="1"/>
  <c r="Z31" i="41"/>
  <c r="Z31" i="110"/>
  <c r="T36" i="110"/>
  <c r="Z36" i="110" s="1"/>
  <c r="L78" i="69"/>
  <c r="N78" i="69" s="1"/>
  <c r="D81" i="69"/>
  <c r="L81" i="69" s="1"/>
  <c r="J84" i="88"/>
  <c r="T136" i="36"/>
  <c r="V133" i="36"/>
  <c r="H44" i="108"/>
  <c r="N31" i="7"/>
  <c r="H36" i="7"/>
  <c r="N36" i="7" s="1"/>
  <c r="Z31" i="23"/>
  <c r="T36" i="23"/>
  <c r="Z36" i="23" s="1"/>
  <c r="T276" i="15"/>
  <c r="V272" i="15"/>
  <c r="T36" i="20"/>
  <c r="Z36" i="20" s="1"/>
  <c r="Z31" i="20"/>
  <c r="L54" i="60"/>
  <c r="N54" i="60" s="1"/>
  <c r="D57" i="60"/>
  <c r="L57" i="60" s="1"/>
  <c r="N57" i="60" s="1"/>
  <c r="Z31" i="19"/>
  <c r="T36" i="19"/>
  <c r="Z36" i="19" s="1"/>
  <c r="L31" i="8"/>
  <c r="D36" i="8"/>
  <c r="H36" i="10"/>
  <c r="N36" i="10" s="1"/>
  <c r="N31" i="10"/>
  <c r="P92" i="103"/>
  <c r="X89" i="103"/>
  <c r="R89" i="103"/>
  <c r="H80" i="79"/>
  <c r="N77" i="79"/>
  <c r="J77" i="79"/>
  <c r="T305" i="18"/>
  <c r="Z301" i="18"/>
  <c r="V301" i="18"/>
  <c r="P36" i="14"/>
  <c r="X31" i="14"/>
  <c r="P276" i="15"/>
  <c r="X272" i="15"/>
  <c r="Z272" i="15" s="1"/>
  <c r="R272" i="15"/>
  <c r="X31" i="22"/>
  <c r="P36" i="22"/>
  <c r="Z31" i="8"/>
  <c r="T36" i="8"/>
  <c r="Z36" i="8" s="1"/>
  <c r="Z57" i="98"/>
  <c r="T60" i="98"/>
  <c r="Z60" i="98" s="1"/>
  <c r="T57" i="60"/>
  <c r="X54" i="60"/>
  <c r="Z54" i="60" s="1"/>
  <c r="D36" i="29"/>
  <c r="L31" i="29"/>
  <c r="P29" i="67"/>
  <c r="X29" i="67" s="1"/>
  <c r="X26" i="67"/>
  <c r="H94" i="107"/>
  <c r="J91" i="107"/>
  <c r="Z31" i="38"/>
  <c r="T36" i="38"/>
  <c r="Z36" i="38" s="1"/>
  <c r="P305" i="18"/>
  <c r="X301" i="18"/>
  <c r="R301" i="18"/>
  <c r="T93" i="83"/>
  <c r="V90" i="83"/>
  <c r="Z31" i="31"/>
  <c r="T36" i="31"/>
  <c r="Z36" i="31" s="1"/>
  <c r="Z31" i="16"/>
  <c r="T36" i="16"/>
  <c r="Z36" i="16" s="1"/>
  <c r="D36" i="41"/>
  <c r="L31" i="41"/>
  <c r="D130" i="42"/>
  <c r="L126" i="42"/>
  <c r="N126" i="42" s="1"/>
  <c r="Z31" i="37"/>
  <c r="T36" i="37"/>
  <c r="Z36" i="37" s="1"/>
  <c r="N31" i="50"/>
  <c r="H36" i="50"/>
  <c r="N36" i="50" s="1"/>
  <c r="P36" i="40"/>
  <c r="X31" i="40"/>
  <c r="H133" i="36"/>
  <c r="J129" i="36"/>
  <c r="N31" i="37"/>
  <c r="H36" i="37"/>
  <c r="N36" i="37" s="1"/>
  <c r="X77" i="48"/>
  <c r="Z77" i="48" s="1"/>
  <c r="P80" i="48"/>
  <c r="R77" i="48"/>
  <c r="P92" i="105"/>
  <c r="X89" i="105"/>
  <c r="R89" i="105"/>
  <c r="X31" i="46"/>
  <c r="P36" i="46"/>
  <c r="T36" i="7"/>
  <c r="Z36" i="7" s="1"/>
  <c r="Z31" i="7"/>
  <c r="D36" i="11"/>
  <c r="L31" i="11"/>
  <c r="D60" i="98"/>
  <c r="L57" i="98"/>
  <c r="L97" i="95"/>
  <c r="D100" i="95"/>
  <c r="X31" i="38"/>
  <c r="P36" i="38"/>
  <c r="D84" i="92"/>
  <c r="L80" i="92"/>
  <c r="T99" i="45"/>
  <c r="Z95" i="45"/>
  <c r="V95" i="45"/>
  <c r="Z108" i="63"/>
  <c r="T111" i="63"/>
  <c r="N31" i="38"/>
  <c r="H36" i="38"/>
  <c r="N36" i="38" s="1"/>
  <c r="Z71" i="78"/>
  <c r="T75" i="78"/>
  <c r="X75" i="78" s="1"/>
  <c r="V71" i="78"/>
  <c r="X122" i="70"/>
  <c r="Z122" i="70" s="1"/>
  <c r="P126" i="70"/>
  <c r="R122" i="70"/>
  <c r="H84" i="94"/>
  <c r="J81" i="94"/>
  <c r="L75" i="78"/>
  <c r="D78" i="78"/>
  <c r="F75" i="78"/>
  <c r="N31" i="110"/>
  <c r="H36" i="110"/>
  <c r="N36" i="110" s="1"/>
  <c r="Z31" i="43"/>
  <c r="T36" i="43"/>
  <c r="Z36" i="43" s="1"/>
  <c r="H36" i="40"/>
  <c r="N36" i="40" s="1"/>
  <c r="N31" i="40"/>
  <c r="Z89" i="72"/>
  <c r="V89" i="72"/>
  <c r="T92" i="72"/>
  <c r="H93" i="87"/>
  <c r="J90" i="87"/>
  <c r="L91" i="97"/>
  <c r="N91" i="97" s="1"/>
  <c r="D94" i="97"/>
  <c r="L94" i="97" s="1"/>
  <c r="L31" i="23"/>
  <c r="D36" i="23"/>
  <c r="L31" i="53"/>
  <c r="D36" i="53"/>
  <c r="Z101" i="91"/>
  <c r="T104" i="91"/>
  <c r="L31" i="49"/>
  <c r="D36" i="49"/>
  <c r="T40" i="55"/>
  <c r="L31" i="31"/>
  <c r="D36" i="31"/>
  <c r="X31" i="52"/>
  <c r="P36" i="52"/>
  <c r="P80" i="79"/>
  <c r="X77" i="79"/>
  <c r="Z77" i="79" s="1"/>
  <c r="R77" i="79"/>
  <c r="N31" i="25"/>
  <c r="H36" i="25"/>
  <c r="N36" i="25" s="1"/>
  <c r="X69" i="59"/>
  <c r="P72" i="59"/>
  <c r="X31" i="19"/>
  <c r="P36" i="19"/>
  <c r="D140" i="39"/>
  <c r="L136" i="39"/>
  <c r="N136" i="39" s="1"/>
  <c r="F136" i="39"/>
  <c r="L31" i="4"/>
  <c r="D36" i="4"/>
  <c r="Z60" i="61"/>
  <c r="X86" i="87"/>
  <c r="P90" i="87"/>
  <c r="R86" i="87"/>
  <c r="H36" i="8"/>
  <c r="N36" i="8" s="1"/>
  <c r="N31" i="8"/>
  <c r="D84" i="88"/>
  <c r="L84" i="88" s="1"/>
  <c r="N84" i="88" s="1"/>
  <c r="L81" i="88"/>
  <c r="N81" i="88" s="1"/>
  <c r="Z89" i="105"/>
  <c r="T92" i="105"/>
  <c r="V89" i="105"/>
  <c r="L31" i="43"/>
  <c r="D36" i="43"/>
  <c r="Z28" i="106"/>
  <c r="T31" i="106"/>
  <c r="H79" i="93"/>
  <c r="J75" i="93"/>
  <c r="X40" i="55"/>
  <c r="L31" i="46"/>
  <c r="D36" i="46"/>
  <c r="Z31" i="17"/>
  <c r="T36" i="17"/>
  <c r="Z36" i="17" s="1"/>
  <c r="X70" i="100"/>
  <c r="Z70" i="100" s="1"/>
  <c r="P93" i="83"/>
  <c r="X90" i="83"/>
  <c r="Z90" i="83" s="1"/>
  <c r="R90" i="83"/>
  <c r="X80" i="58"/>
  <c r="D81" i="94"/>
  <c r="L77" i="94"/>
  <c r="N77" i="94" s="1"/>
  <c r="P36" i="31"/>
  <c r="X31" i="31"/>
  <c r="P288" i="12"/>
  <c r="R285" i="12"/>
  <c r="P36" i="35"/>
  <c r="X31" i="35"/>
  <c r="D36" i="112"/>
  <c r="L31" i="112"/>
  <c r="L31" i="110"/>
  <c r="D36" i="110"/>
  <c r="P81" i="56"/>
  <c r="X78" i="56"/>
  <c r="L112" i="76"/>
  <c r="N112" i="76" s="1"/>
  <c r="D116" i="76"/>
  <c r="F112" i="76"/>
  <c r="L31" i="52"/>
  <c r="D36" i="52"/>
  <c r="D93" i="87"/>
  <c r="L93" i="87" s="1"/>
  <c r="L90" i="87"/>
  <c r="N90" i="87" s="1"/>
  <c r="D40" i="55"/>
  <c r="L37" i="55"/>
  <c r="T87" i="92"/>
  <c r="V84" i="92"/>
  <c r="Z31" i="46"/>
  <c r="T36" i="46"/>
  <c r="Z36" i="46" s="1"/>
  <c r="T107" i="33"/>
  <c r="Z104" i="33"/>
  <c r="V104" i="33"/>
  <c r="X31" i="34"/>
  <c r="P36" i="34"/>
  <c r="Z31" i="32"/>
  <c r="T36" i="32"/>
  <c r="Z36" i="32" s="1"/>
  <c r="X143" i="24"/>
  <c r="P147" i="24"/>
  <c r="R143" i="24"/>
  <c r="N31" i="22"/>
  <c r="H36" i="22"/>
  <c r="N36" i="22" s="1"/>
  <c r="X89" i="72"/>
  <c r="P92" i="72"/>
  <c r="R89" i="72"/>
  <c r="D36" i="20"/>
  <c r="L31" i="20"/>
  <c r="L133" i="36"/>
  <c r="D136" i="36"/>
  <c r="F133" i="36"/>
  <c r="H126" i="70"/>
  <c r="N122" i="70"/>
  <c r="J122" i="70"/>
  <c r="T128" i="27"/>
  <c r="V124" i="27"/>
  <c r="T100" i="9"/>
  <c r="X97" i="9"/>
  <c r="Z97" i="9" s="1"/>
  <c r="D91" i="107"/>
  <c r="L87" i="107"/>
  <c r="N87" i="107" s="1"/>
  <c r="L101" i="91"/>
  <c r="N101" i="91" s="1"/>
  <c r="D104" i="91"/>
  <c r="X34" i="85"/>
  <c r="Z34" i="85" s="1"/>
  <c r="P37" i="85"/>
  <c r="R34" i="85"/>
  <c r="X37" i="55"/>
  <c r="Z37" i="55" s="1"/>
  <c r="H79" i="57"/>
  <c r="L31" i="19"/>
  <c r="D36" i="19"/>
  <c r="N77" i="109"/>
  <c r="H80" i="109"/>
  <c r="J77" i="109"/>
  <c r="D335" i="3"/>
  <c r="L330" i="3"/>
  <c r="N330" i="3" s="1"/>
  <c r="F330" i="3"/>
  <c r="X74" i="100"/>
  <c r="P77" i="100"/>
  <c r="R74" i="100"/>
  <c r="Z109" i="21"/>
  <c r="T113" i="21"/>
  <c r="V109" i="21"/>
  <c r="L31" i="25"/>
  <c r="D36" i="25"/>
  <c r="X94" i="73"/>
  <c r="Z94" i="73" s="1"/>
  <c r="P98" i="73"/>
  <c r="R94" i="73"/>
  <c r="H92" i="101"/>
  <c r="J89" i="101"/>
  <c r="L301" i="18"/>
  <c r="D305" i="18"/>
  <c r="F301" i="18"/>
  <c r="D44" i="108"/>
  <c r="L41" i="108"/>
  <c r="N41" i="108" s="1"/>
  <c r="L77" i="48"/>
  <c r="N77" i="48" s="1"/>
  <c r="D80" i="48"/>
  <c r="F77" i="48"/>
  <c r="Z62" i="68"/>
  <c r="T65" i="68"/>
  <c r="X62" i="68"/>
  <c r="L54" i="104"/>
  <c r="N54" i="104" s="1"/>
  <c r="D58" i="104"/>
  <c r="T36" i="35"/>
  <c r="Z36" i="35" s="1"/>
  <c r="Z31" i="35"/>
  <c r="P89" i="101"/>
  <c r="X85" i="101"/>
  <c r="Z85" i="101" s="1"/>
  <c r="R85" i="101"/>
  <c r="L124" i="27"/>
  <c r="N124" i="27" s="1"/>
  <c r="D128" i="27"/>
  <c r="F124" i="27"/>
  <c r="Z31" i="49"/>
  <c r="T36" i="49"/>
  <c r="Z36" i="49" s="1"/>
  <c r="H36" i="5"/>
  <c r="N36" i="5" s="1"/>
  <c r="N31" i="5"/>
  <c r="D72" i="59"/>
  <c r="L72" i="59" s="1"/>
  <c r="L69" i="59"/>
  <c r="N69" i="59" s="1"/>
  <c r="T36" i="13"/>
  <c r="Z36" i="13" s="1"/>
  <c r="Z31" i="13"/>
  <c r="H36" i="23"/>
  <c r="N36" i="23" s="1"/>
  <c r="N31" i="23"/>
  <c r="D100" i="9"/>
  <c r="L97" i="9"/>
  <c r="L272" i="15"/>
  <c r="D276" i="15"/>
  <c r="F272" i="15"/>
  <c r="H36" i="53"/>
  <c r="N36" i="53" s="1"/>
  <c r="N31" i="53"/>
  <c r="Z31" i="14"/>
  <c r="T36" i="14"/>
  <c r="Z36" i="14" s="1"/>
  <c r="D102" i="45"/>
  <c r="L99" i="45"/>
  <c r="F99" i="45"/>
  <c r="X109" i="21"/>
  <c r="P113" i="21"/>
  <c r="R109" i="21"/>
  <c r="L31" i="14"/>
  <c r="D36" i="14"/>
  <c r="L31" i="111"/>
  <c r="D36" i="111"/>
  <c r="T129" i="84"/>
  <c r="V125" i="84"/>
  <c r="H36" i="44"/>
  <c r="N36" i="44" s="1"/>
  <c r="N31" i="44"/>
  <c r="T92" i="103"/>
  <c r="Z89" i="103"/>
  <c r="V89" i="103"/>
  <c r="L125" i="84"/>
  <c r="N125" i="84" s="1"/>
  <c r="D129" i="84"/>
  <c r="P119" i="74"/>
  <c r="X115" i="74"/>
  <c r="Z115" i="74" s="1"/>
  <c r="R115" i="74"/>
  <c r="L95" i="45"/>
  <c r="N95" i="45" s="1"/>
  <c r="L129" i="36"/>
  <c r="N129" i="36" s="1"/>
  <c r="D150" i="24"/>
  <c r="L147" i="24"/>
  <c r="F147" i="24"/>
  <c r="D65" i="68"/>
  <c r="L65" i="68" s="1"/>
  <c r="L62" i="68"/>
  <c r="X31" i="49"/>
  <c r="P36" i="49"/>
  <c r="Z31" i="10"/>
  <c r="T36" i="10"/>
  <c r="Z36" i="10" s="1"/>
  <c r="L80" i="109"/>
  <c r="F80" i="109"/>
  <c r="T82" i="93"/>
  <c r="V79" i="93"/>
  <c r="L34" i="82"/>
  <c r="D37" i="82"/>
  <c r="F34" i="82"/>
  <c r="H40" i="55"/>
  <c r="N37" i="55"/>
  <c r="H36" i="20"/>
  <c r="N36" i="20" s="1"/>
  <c r="N31" i="20"/>
  <c r="H58" i="102"/>
  <c r="T81" i="69"/>
  <c r="V78" i="69"/>
  <c r="D155" i="30"/>
  <c r="L151" i="30"/>
  <c r="N151" i="30" s="1"/>
  <c r="F151" i="30"/>
  <c r="R136" i="36"/>
  <c r="H80" i="58"/>
  <c r="L77" i="58"/>
  <c r="N77" i="58" s="1"/>
  <c r="T36" i="29"/>
  <c r="Z36" i="29" s="1"/>
  <c r="Z31" i="29"/>
  <c r="T36" i="4"/>
  <c r="Z36" i="4" s="1"/>
  <c r="Z31" i="4"/>
  <c r="P104" i="91"/>
  <c r="X104" i="91" s="1"/>
  <c r="X101" i="91"/>
  <c r="N31" i="52"/>
  <c r="H36" i="52"/>
  <c r="N36" i="52" s="1"/>
  <c r="L78" i="56"/>
  <c r="N78" i="56" s="1"/>
  <c r="D81" i="56"/>
  <c r="N31" i="43"/>
  <c r="H36" i="43"/>
  <c r="N36" i="43" s="1"/>
  <c r="N31" i="112"/>
  <c r="H36" i="112"/>
  <c r="N36" i="112" s="1"/>
  <c r="T36" i="26"/>
  <c r="Z36" i="26" s="1"/>
  <c r="Z31" i="26"/>
  <c r="N301" i="18"/>
  <c r="H305" i="18"/>
  <c r="J301" i="18"/>
  <c r="Z31" i="11"/>
  <c r="T36" i="11"/>
  <c r="Z36" i="11" s="1"/>
  <c r="H132" i="84"/>
  <c r="J129" i="84"/>
  <c r="H36" i="19"/>
  <c r="N36" i="19" s="1"/>
  <c r="N31" i="19"/>
  <c r="D79" i="57"/>
  <c r="L79" i="57" s="1"/>
  <c r="L76" i="57"/>
  <c r="N76" i="57" s="1"/>
  <c r="T80" i="109"/>
  <c r="V77" i="109"/>
  <c r="X31" i="17"/>
  <c r="P36" i="17"/>
  <c r="N53" i="98"/>
  <c r="H57" i="98"/>
  <c r="H107" i="33"/>
  <c r="J104" i="33"/>
  <c r="L89" i="103"/>
  <c r="N89" i="103" s="1"/>
  <c r="D92" i="103"/>
  <c r="F89" i="103"/>
  <c r="Z76" i="57"/>
  <c r="T79" i="57"/>
  <c r="H143" i="39"/>
  <c r="J140" i="39"/>
  <c r="X57" i="98"/>
  <c r="P60" i="98"/>
  <c r="R57" i="98"/>
  <c r="D79" i="93"/>
  <c r="L75" i="93"/>
  <c r="N75" i="93" s="1"/>
  <c r="Z80" i="58"/>
  <c r="T91" i="97"/>
  <c r="V87" i="97"/>
  <c r="N31" i="47"/>
  <c r="H36" i="47"/>
  <c r="N36" i="47" s="1"/>
  <c r="P129" i="84"/>
  <c r="X125" i="84"/>
  <c r="Z125" i="84" s="1"/>
  <c r="R125" i="84"/>
  <c r="X31" i="110"/>
  <c r="P36" i="110"/>
  <c r="X31" i="43"/>
  <c r="P36" i="43"/>
  <c r="H100" i="9"/>
  <c r="N97" i="9"/>
  <c r="X112" i="51"/>
  <c r="Z112" i="51" s="1"/>
  <c r="P116" i="51"/>
  <c r="R112" i="51"/>
  <c r="N31" i="17"/>
  <c r="H36" i="17"/>
  <c r="N36" i="17" s="1"/>
  <c r="D31" i="106"/>
  <c r="L31" i="106" s="1"/>
  <c r="L28" i="106"/>
  <c r="T87" i="75"/>
  <c r="V84" i="75"/>
  <c r="X133" i="36"/>
  <c r="Z133" i="36" s="1"/>
  <c r="L31" i="38"/>
  <c r="D36" i="38"/>
  <c r="Z93" i="95"/>
  <c r="T97" i="95"/>
  <c r="V93" i="95"/>
  <c r="Z281" i="12"/>
  <c r="T285" i="12"/>
  <c r="X285" i="12" s="1"/>
  <c r="V281" i="12"/>
  <c r="X87" i="107"/>
  <c r="P91" i="107"/>
  <c r="R87" i="107"/>
  <c r="X30" i="82"/>
  <c r="Z30" i="82" s="1"/>
  <c r="N34" i="82"/>
  <c r="H37" i="82"/>
  <c r="J34" i="82"/>
  <c r="V89" i="80"/>
  <c r="J92" i="103"/>
  <c r="X31" i="32"/>
  <c r="P36" i="32"/>
  <c r="L55" i="102"/>
  <c r="N55" i="102" s="1"/>
  <c r="D58" i="102"/>
  <c r="L58" i="102" s="1"/>
  <c r="P36" i="23"/>
  <c r="X31" i="23"/>
  <c r="P116" i="76"/>
  <c r="X112" i="76"/>
  <c r="Z112" i="76" s="1"/>
  <c r="R112" i="76"/>
  <c r="D116" i="51"/>
  <c r="L112" i="51"/>
  <c r="N112" i="51" s="1"/>
  <c r="F112" i="51"/>
  <c r="X31" i="5"/>
  <c r="P36" i="5"/>
  <c r="L31" i="35"/>
  <c r="D36" i="35"/>
  <c r="T36" i="34"/>
  <c r="Z36" i="34" s="1"/>
  <c r="Z31" i="34"/>
  <c r="Z87" i="107"/>
  <c r="T91" i="107"/>
  <c r="V87" i="107"/>
  <c r="V37" i="85"/>
  <c r="X78" i="69"/>
  <c r="Z78" i="69" s="1"/>
  <c r="P81" i="69"/>
  <c r="R78" i="69"/>
  <c r="H84" i="92"/>
  <c r="N80" i="92"/>
  <c r="J80" i="92"/>
  <c r="H36" i="11"/>
  <c r="N36" i="11" s="1"/>
  <c r="N31" i="11"/>
  <c r="P111" i="63"/>
  <c r="X111" i="63" s="1"/>
  <c r="X108" i="63"/>
  <c r="H100" i="95"/>
  <c r="N97" i="95"/>
  <c r="J97" i="95"/>
  <c r="Z81" i="94"/>
  <c r="T84" i="94"/>
  <c r="V81" i="94"/>
  <c r="N272" i="15"/>
  <c r="H276" i="15"/>
  <c r="J272" i="15"/>
  <c r="T31" i="54"/>
  <c r="Z26" i="54"/>
  <c r="X26" i="54"/>
  <c r="P128" i="27"/>
  <c r="X124" i="27"/>
  <c r="Z124" i="27" s="1"/>
  <c r="R124" i="27"/>
  <c r="T90" i="87"/>
  <c r="Z86" i="87"/>
  <c r="V86" i="87"/>
  <c r="D36" i="26"/>
  <c r="L31" i="26"/>
  <c r="N31" i="41"/>
  <c r="H36" i="41"/>
  <c r="N36" i="41" s="1"/>
  <c r="H133" i="42"/>
  <c r="J130" i="42"/>
  <c r="T158" i="30"/>
  <c r="V155" i="30"/>
  <c r="D126" i="70"/>
  <c r="L122" i="70"/>
  <c r="F122" i="70"/>
  <c r="P36" i="4"/>
  <c r="X31" i="4"/>
  <c r="L26" i="54"/>
  <c r="D31" i="54"/>
  <c r="L31" i="54" s="1"/>
  <c r="Z31" i="112"/>
  <c r="T36" i="112"/>
  <c r="Z36" i="112" s="1"/>
  <c r="X34" i="82"/>
  <c r="P37" i="82"/>
  <c r="R34" i="82"/>
  <c r="T61" i="104"/>
  <c r="V58" i="104"/>
  <c r="H81" i="56"/>
  <c r="N57" i="61"/>
  <c r="H60" i="61"/>
  <c r="Z31" i="111"/>
  <c r="T36" i="111"/>
  <c r="Z36" i="111" s="1"/>
  <c r="N86" i="83"/>
  <c r="H90" i="83"/>
  <c r="J86" i="83"/>
  <c r="X79" i="93"/>
  <c r="Z79" i="93" s="1"/>
  <c r="P82" i="93"/>
  <c r="R79" i="93"/>
  <c r="X41" i="108"/>
  <c r="Z41" i="108" s="1"/>
  <c r="P44" i="108"/>
  <c r="X44" i="108" s="1"/>
  <c r="H78" i="78"/>
  <c r="N75" i="78"/>
  <c r="J75" i="78"/>
  <c r="L31" i="13"/>
  <c r="D36" i="13"/>
  <c r="Z69" i="59"/>
  <c r="T72" i="59"/>
  <c r="Z31" i="50"/>
  <c r="T36" i="50"/>
  <c r="Z36" i="50" s="1"/>
  <c r="L31" i="17"/>
  <c r="D36" i="17"/>
  <c r="X126" i="42"/>
  <c r="Z126" i="42" s="1"/>
  <c r="P130" i="42"/>
  <c r="R126" i="42"/>
  <c r="D119" i="74"/>
  <c r="L115" i="74"/>
  <c r="N115" i="74" s="1"/>
  <c r="F115" i="74"/>
  <c r="X57" i="61"/>
  <c r="Z57" i="61" s="1"/>
  <c r="P60" i="61"/>
  <c r="X60" i="61" s="1"/>
  <c r="X81" i="94"/>
  <c r="P84" i="94"/>
  <c r="R81" i="94"/>
  <c r="D36" i="37"/>
  <c r="L31" i="37"/>
  <c r="L26" i="67"/>
  <c r="D29" i="67"/>
  <c r="L29" i="67" s="1"/>
  <c r="H36" i="111"/>
  <c r="N36" i="111" s="1"/>
  <c r="N31" i="111"/>
  <c r="T147" i="24"/>
  <c r="Z143" i="24"/>
  <c r="V143" i="24"/>
  <c r="D36" i="50"/>
  <c r="L31" i="50"/>
  <c r="L74" i="100"/>
  <c r="D77" i="100"/>
  <c r="D36" i="10"/>
  <c r="L31" i="10"/>
  <c r="Z78" i="56"/>
  <c r="T81" i="56"/>
  <c r="X31" i="26"/>
  <c r="P36" i="26"/>
  <c r="T36" i="28"/>
  <c r="Z36" i="28" s="1"/>
  <c r="Z31" i="28"/>
  <c r="D104" i="33"/>
  <c r="L100" i="33"/>
  <c r="N100" i="33" s="1"/>
  <c r="F100" i="33"/>
  <c r="X31" i="11"/>
  <c r="P36" i="11"/>
  <c r="X87" i="97"/>
  <c r="Z87" i="97" s="1"/>
  <c r="N31" i="31"/>
  <c r="H36" i="31"/>
  <c r="N36" i="31" s="1"/>
  <c r="P100" i="95"/>
  <c r="X97" i="95"/>
  <c r="R97" i="95"/>
  <c r="X31" i="20"/>
  <c r="P36" i="20"/>
  <c r="L113" i="21"/>
  <c r="D116" i="21"/>
  <c r="F113" i="21"/>
  <c r="N34" i="85"/>
  <c r="H37" i="85"/>
  <c r="J34" i="85"/>
  <c r="X77" i="109"/>
  <c r="Z77" i="109" s="1"/>
  <c r="P80" i="109"/>
  <c r="R77" i="109"/>
  <c r="D36" i="28"/>
  <c r="L31" i="28"/>
  <c r="X95" i="45"/>
  <c r="P99" i="45"/>
  <c r="R95" i="45"/>
  <c r="P36" i="41"/>
  <c r="X31" i="41"/>
  <c r="X31" i="16"/>
  <c r="P36" i="16"/>
  <c r="X31" i="25"/>
  <c r="P36" i="25"/>
  <c r="X31" i="7"/>
  <c r="P36" i="7"/>
  <c r="T98" i="73"/>
  <c r="V94" i="73"/>
  <c r="D36" i="7"/>
  <c r="L31" i="7"/>
  <c r="H36" i="26"/>
  <c r="N36" i="26" s="1"/>
  <c r="N31" i="26"/>
  <c r="H288" i="12"/>
  <c r="J285" i="12"/>
  <c r="N143" i="24"/>
  <c r="H147" i="24"/>
  <c r="J143" i="24"/>
  <c r="D36" i="16"/>
  <c r="L31" i="16"/>
  <c r="X50" i="99"/>
  <c r="Z50" i="99" s="1"/>
  <c r="P53" i="99"/>
  <c r="X53" i="99" s="1"/>
  <c r="Z58" i="102"/>
  <c r="X36" i="5" l="1"/>
  <c r="X36" i="40"/>
  <c r="X36" i="7"/>
  <c r="L36" i="10"/>
  <c r="L36" i="35"/>
  <c r="X36" i="4"/>
  <c r="X36" i="17"/>
  <c r="L36" i="14"/>
  <c r="X36" i="22"/>
  <c r="L36" i="34"/>
  <c r="L36" i="110"/>
  <c r="X36" i="20"/>
  <c r="X36" i="49"/>
  <c r="L36" i="37"/>
  <c r="X36" i="44"/>
  <c r="L36" i="7"/>
  <c r="X36" i="41"/>
  <c r="X36" i="23"/>
  <c r="X36" i="43"/>
  <c r="X36" i="52"/>
  <c r="X36" i="46"/>
  <c r="L36" i="32"/>
  <c r="X36" i="32"/>
  <c r="L36" i="43"/>
  <c r="L36" i="20"/>
  <c r="L36" i="4"/>
  <c r="X36" i="25"/>
  <c r="L36" i="28"/>
  <c r="L36" i="111"/>
  <c r="L36" i="40"/>
  <c r="X36" i="16"/>
  <c r="X36" i="19"/>
  <c r="L36" i="38"/>
  <c r="X36" i="31"/>
  <c r="X36" i="53"/>
  <c r="L36" i="49"/>
  <c r="H87" i="92"/>
  <c r="J84" i="92"/>
  <c r="J143" i="39"/>
  <c r="J92" i="72"/>
  <c r="V80" i="79"/>
  <c r="N104" i="91"/>
  <c r="N80" i="48"/>
  <c r="J80" i="48"/>
  <c r="N60" i="61"/>
  <c r="V84" i="94"/>
  <c r="N100" i="9"/>
  <c r="F150" i="24"/>
  <c r="Z92" i="103"/>
  <c r="V92" i="103"/>
  <c r="L100" i="9"/>
  <c r="D131" i="27"/>
  <c r="L128" i="27"/>
  <c r="F128" i="27"/>
  <c r="X98" i="73"/>
  <c r="P101" i="73"/>
  <c r="R98" i="73"/>
  <c r="L335" i="3"/>
  <c r="N335" i="3" s="1"/>
  <c r="F335" i="3"/>
  <c r="X37" i="85"/>
  <c r="Z37" i="85" s="1"/>
  <c r="R37" i="85"/>
  <c r="Z107" i="33"/>
  <c r="V107" i="33"/>
  <c r="L36" i="52"/>
  <c r="X36" i="35"/>
  <c r="L36" i="53"/>
  <c r="L36" i="5"/>
  <c r="X87" i="92"/>
  <c r="R87" i="92"/>
  <c r="N128" i="27"/>
  <c r="H131" i="27"/>
  <c r="J128" i="27"/>
  <c r="J335" i="3"/>
  <c r="P116" i="21"/>
  <c r="X113" i="21"/>
  <c r="R113" i="21"/>
  <c r="X92" i="72"/>
  <c r="R92" i="72"/>
  <c r="R100" i="95"/>
  <c r="Z79" i="57"/>
  <c r="N80" i="79"/>
  <c r="J80" i="79"/>
  <c r="Z136" i="36"/>
  <c r="V136" i="36"/>
  <c r="Z34" i="82"/>
  <c r="T37" i="82"/>
  <c r="V34" i="82"/>
  <c r="D87" i="75"/>
  <c r="L84" i="75"/>
  <c r="N84" i="75" s="1"/>
  <c r="F84" i="75"/>
  <c r="N89" i="80"/>
  <c r="J89" i="80"/>
  <c r="L36" i="50"/>
  <c r="L60" i="61"/>
  <c r="V80" i="109"/>
  <c r="H308" i="18"/>
  <c r="J305" i="18"/>
  <c r="X136" i="36"/>
  <c r="L36" i="25"/>
  <c r="N80" i="109"/>
  <c r="J80" i="109"/>
  <c r="L104" i="91"/>
  <c r="H129" i="70"/>
  <c r="J126" i="70"/>
  <c r="V92" i="105"/>
  <c r="L36" i="23"/>
  <c r="T102" i="45"/>
  <c r="V99" i="45"/>
  <c r="L36" i="11"/>
  <c r="H116" i="21"/>
  <c r="N113" i="21"/>
  <c r="J113" i="21"/>
  <c r="V84" i="88"/>
  <c r="V158" i="30"/>
  <c r="N84" i="94"/>
  <c r="J84" i="94"/>
  <c r="Z93" i="83"/>
  <c r="V93" i="83"/>
  <c r="T122" i="74"/>
  <c r="V119" i="74"/>
  <c r="N119" i="74"/>
  <c r="H122" i="74"/>
  <c r="J119" i="74"/>
  <c r="X84" i="75"/>
  <c r="Z84" i="75" s="1"/>
  <c r="P87" i="75"/>
  <c r="R84" i="75"/>
  <c r="L36" i="16"/>
  <c r="X36" i="26"/>
  <c r="X84" i="94"/>
  <c r="Z84" i="94" s="1"/>
  <c r="R84" i="94"/>
  <c r="L36" i="17"/>
  <c r="X79" i="57"/>
  <c r="X36" i="110"/>
  <c r="F102" i="45"/>
  <c r="D119" i="76"/>
  <c r="L116" i="76"/>
  <c r="N116" i="76" s="1"/>
  <c r="F116" i="76"/>
  <c r="R288" i="12"/>
  <c r="L36" i="46"/>
  <c r="X126" i="70"/>
  <c r="Z126" i="70" s="1"/>
  <c r="P129" i="70"/>
  <c r="R126" i="70"/>
  <c r="L36" i="29"/>
  <c r="L36" i="44"/>
  <c r="H119" i="76"/>
  <c r="J116" i="76"/>
  <c r="N81" i="69"/>
  <c r="J81" i="69"/>
  <c r="J61" i="104"/>
  <c r="X36" i="10"/>
  <c r="Z130" i="42"/>
  <c r="T133" i="42"/>
  <c r="V130" i="42"/>
  <c r="R78" i="78"/>
  <c r="Z44" i="108"/>
  <c r="L126" i="70"/>
  <c r="N126" i="70" s="1"/>
  <c r="D129" i="70"/>
  <c r="F126" i="70"/>
  <c r="T94" i="97"/>
  <c r="V91" i="97"/>
  <c r="X93" i="83"/>
  <c r="R93" i="83"/>
  <c r="V80" i="48"/>
  <c r="J37" i="85"/>
  <c r="P131" i="27"/>
  <c r="X128" i="27"/>
  <c r="Z128" i="27" s="1"/>
  <c r="R128" i="27"/>
  <c r="J100" i="95"/>
  <c r="L116" i="51"/>
  <c r="D119" i="51"/>
  <c r="F116" i="51"/>
  <c r="Z285" i="12"/>
  <c r="T288" i="12"/>
  <c r="V285" i="12"/>
  <c r="L79" i="93"/>
  <c r="D82" i="93"/>
  <c r="L82" i="93" s="1"/>
  <c r="L92" i="103"/>
  <c r="N92" i="103" s="1"/>
  <c r="F92" i="103"/>
  <c r="X89" i="101"/>
  <c r="Z89" i="101" s="1"/>
  <c r="P92" i="101"/>
  <c r="R89" i="101"/>
  <c r="L44" i="108"/>
  <c r="N44" i="108" s="1"/>
  <c r="L36" i="19"/>
  <c r="X147" i="24"/>
  <c r="P150" i="24"/>
  <c r="R147" i="24"/>
  <c r="L140" i="39"/>
  <c r="N140" i="39" s="1"/>
  <c r="D143" i="39"/>
  <c r="F140" i="39"/>
  <c r="L36" i="31"/>
  <c r="L130" i="42"/>
  <c r="N130" i="42" s="1"/>
  <c r="D133" i="42"/>
  <c r="L133" i="42" s="1"/>
  <c r="X305" i="18"/>
  <c r="P308" i="18"/>
  <c r="R305" i="18"/>
  <c r="X92" i="103"/>
  <c r="R92" i="103"/>
  <c r="V129" i="70"/>
  <c r="L285" i="12"/>
  <c r="N285" i="12" s="1"/>
  <c r="D288" i="12"/>
  <c r="F285" i="12"/>
  <c r="X81" i="88"/>
  <c r="Z81" i="88" s="1"/>
  <c r="P84" i="88"/>
  <c r="R81" i="88"/>
  <c r="D92" i="101"/>
  <c r="L92" i="101" s="1"/>
  <c r="L89" i="101"/>
  <c r="N89" i="101" s="1"/>
  <c r="D89" i="80"/>
  <c r="L89" i="80" s="1"/>
  <c r="L86" i="80"/>
  <c r="N86" i="80" s="1"/>
  <c r="X36" i="50"/>
  <c r="L111" i="63"/>
  <c r="X81" i="69"/>
  <c r="Z81" i="69" s="1"/>
  <c r="R81" i="69"/>
  <c r="X80" i="79"/>
  <c r="Z80" i="79" s="1"/>
  <c r="R80" i="79"/>
  <c r="X82" i="93"/>
  <c r="R82" i="93"/>
  <c r="N133" i="42"/>
  <c r="J133" i="42"/>
  <c r="L155" i="30"/>
  <c r="D158" i="30"/>
  <c r="F155" i="30"/>
  <c r="N40" i="55"/>
  <c r="Z129" i="84"/>
  <c r="T132" i="84"/>
  <c r="V129" i="84"/>
  <c r="Z113" i="21"/>
  <c r="T116" i="21"/>
  <c r="V113" i="21"/>
  <c r="L91" i="107"/>
  <c r="N91" i="107" s="1"/>
  <c r="D94" i="107"/>
  <c r="L94" i="107" s="1"/>
  <c r="X57" i="60"/>
  <c r="Z57" i="60" s="1"/>
  <c r="X276" i="15"/>
  <c r="P279" i="15"/>
  <c r="R276" i="15"/>
  <c r="Z276" i="15"/>
  <c r="T279" i="15"/>
  <c r="V276" i="15"/>
  <c r="X36" i="29"/>
  <c r="X36" i="13"/>
  <c r="D92" i="72"/>
  <c r="L89" i="72"/>
  <c r="N89" i="72" s="1"/>
  <c r="F89" i="72"/>
  <c r="X58" i="104"/>
  <c r="Z58" i="104" s="1"/>
  <c r="P61" i="104"/>
  <c r="R58" i="104"/>
  <c r="V119" i="76"/>
  <c r="L31" i="6"/>
  <c r="N79" i="57"/>
  <c r="F136" i="36"/>
  <c r="Z87" i="92"/>
  <c r="V87" i="92"/>
  <c r="X81" i="56"/>
  <c r="Z40" i="55"/>
  <c r="Z75" i="78"/>
  <c r="T78" i="78"/>
  <c r="V75" i="78"/>
  <c r="L84" i="92"/>
  <c r="N84" i="92" s="1"/>
  <c r="D87" i="92"/>
  <c r="L36" i="41"/>
  <c r="Z53" i="99"/>
  <c r="H102" i="45"/>
  <c r="L102" i="45" s="1"/>
  <c r="N99" i="45"/>
  <c r="J99" i="45"/>
  <c r="N31" i="6"/>
  <c r="Z140" i="39"/>
  <c r="T143" i="39"/>
  <c r="V140" i="39"/>
  <c r="Z335" i="3"/>
  <c r="V335" i="3"/>
  <c r="N155" i="30"/>
  <c r="H158" i="30"/>
  <c r="J155" i="30"/>
  <c r="X91" i="107"/>
  <c r="Z91" i="107" s="1"/>
  <c r="P94" i="107"/>
  <c r="R91" i="107"/>
  <c r="N80" i="58"/>
  <c r="L80" i="58"/>
  <c r="Z90" i="87"/>
  <c r="T93" i="87"/>
  <c r="V90" i="87"/>
  <c r="Z82" i="93"/>
  <c r="V82" i="93"/>
  <c r="L80" i="48"/>
  <c r="F80" i="48"/>
  <c r="H150" i="24"/>
  <c r="L150" i="24" s="1"/>
  <c r="N147" i="24"/>
  <c r="J147" i="24"/>
  <c r="L116" i="21"/>
  <c r="F116" i="21"/>
  <c r="Z81" i="56"/>
  <c r="T150" i="24"/>
  <c r="Z147" i="24"/>
  <c r="V147" i="24"/>
  <c r="X31" i="54"/>
  <c r="Z31" i="54" s="1"/>
  <c r="P119" i="76"/>
  <c r="X116" i="76"/>
  <c r="Z116" i="76" s="1"/>
  <c r="R116" i="76"/>
  <c r="J37" i="82"/>
  <c r="T100" i="95"/>
  <c r="X100" i="95" s="1"/>
  <c r="Z97" i="95"/>
  <c r="V97" i="95"/>
  <c r="X129" i="84"/>
  <c r="P132" i="84"/>
  <c r="R129" i="84"/>
  <c r="V81" i="69"/>
  <c r="L37" i="82"/>
  <c r="N37" i="82" s="1"/>
  <c r="F37" i="82"/>
  <c r="X119" i="74"/>
  <c r="Z119" i="74" s="1"/>
  <c r="P122" i="74"/>
  <c r="R119" i="74"/>
  <c r="L58" i="104"/>
  <c r="N58" i="104" s="1"/>
  <c r="D61" i="104"/>
  <c r="L61" i="104" s="1"/>
  <c r="N61" i="104" s="1"/>
  <c r="X100" i="9"/>
  <c r="Z100" i="9" s="1"/>
  <c r="D84" i="94"/>
  <c r="L84" i="94" s="1"/>
  <c r="L81" i="94"/>
  <c r="N81" i="94" s="1"/>
  <c r="X72" i="59"/>
  <c r="Z72" i="59" s="1"/>
  <c r="N93" i="87"/>
  <c r="J93" i="87"/>
  <c r="X36" i="38"/>
  <c r="H136" i="36"/>
  <c r="N133" i="36"/>
  <c r="J133" i="36"/>
  <c r="X36" i="14"/>
  <c r="L36" i="8"/>
  <c r="V119" i="51"/>
  <c r="X36" i="37"/>
  <c r="X155" i="30"/>
  <c r="Z155" i="30" s="1"/>
  <c r="P158" i="30"/>
  <c r="R155" i="30"/>
  <c r="N94" i="97"/>
  <c r="J94" i="97"/>
  <c r="X335" i="3"/>
  <c r="R335" i="3"/>
  <c r="L37" i="85"/>
  <c r="N37" i="85" s="1"/>
  <c r="T77" i="100"/>
  <c r="Z74" i="100"/>
  <c r="V74" i="100"/>
  <c r="X107" i="33"/>
  <c r="R107" i="33"/>
  <c r="X80" i="48"/>
  <c r="Z80" i="48" s="1"/>
  <c r="R80" i="48"/>
  <c r="N78" i="78"/>
  <c r="J78" i="78"/>
  <c r="X99" i="45"/>
  <c r="Z99" i="45" s="1"/>
  <c r="P102" i="45"/>
  <c r="R99" i="45"/>
  <c r="T94" i="107"/>
  <c r="V91" i="107"/>
  <c r="X60" i="98"/>
  <c r="R60" i="98"/>
  <c r="D308" i="18"/>
  <c r="L305" i="18"/>
  <c r="N305" i="18" s="1"/>
  <c r="F305" i="18"/>
  <c r="N90" i="83"/>
  <c r="H93" i="83"/>
  <c r="J90" i="83"/>
  <c r="V61" i="104"/>
  <c r="J107" i="33"/>
  <c r="L129" i="84"/>
  <c r="N129" i="84" s="1"/>
  <c r="D132" i="84"/>
  <c r="L132" i="84" s="1"/>
  <c r="N132" i="84" s="1"/>
  <c r="X77" i="100"/>
  <c r="R77" i="100"/>
  <c r="X36" i="34"/>
  <c r="H82" i="93"/>
  <c r="N79" i="93"/>
  <c r="J79" i="93"/>
  <c r="N111" i="63"/>
  <c r="X31" i="6"/>
  <c r="Z31" i="6" s="1"/>
  <c r="X36" i="28"/>
  <c r="L80" i="79"/>
  <c r="L90" i="83"/>
  <c r="X36" i="112"/>
  <c r="N72" i="59"/>
  <c r="X36" i="47"/>
  <c r="D101" i="73"/>
  <c r="L98" i="73"/>
  <c r="N98" i="73" s="1"/>
  <c r="F98" i="73"/>
  <c r="N74" i="100"/>
  <c r="H77" i="100"/>
  <c r="J74" i="100"/>
  <c r="X36" i="8"/>
  <c r="H119" i="51"/>
  <c r="N116" i="51"/>
  <c r="J116" i="51"/>
  <c r="X80" i="109"/>
  <c r="Z80" i="109" s="1"/>
  <c r="R80" i="109"/>
  <c r="Z92" i="72"/>
  <c r="V92" i="72"/>
  <c r="X130" i="42"/>
  <c r="P133" i="42"/>
  <c r="R130" i="42"/>
  <c r="J288" i="12"/>
  <c r="D122" i="74"/>
  <c r="L119" i="74"/>
  <c r="F119" i="74"/>
  <c r="L36" i="13"/>
  <c r="N276" i="15"/>
  <c r="H279" i="15"/>
  <c r="J276" i="15"/>
  <c r="X116" i="51"/>
  <c r="Z116" i="51" s="1"/>
  <c r="P119" i="51"/>
  <c r="R116" i="51"/>
  <c r="N57" i="98"/>
  <c r="H60" i="98"/>
  <c r="N60" i="98" s="1"/>
  <c r="J132" i="84"/>
  <c r="N58" i="102"/>
  <c r="L276" i="15"/>
  <c r="D279" i="15"/>
  <c r="F276" i="15"/>
  <c r="N92" i="101"/>
  <c r="J92" i="101"/>
  <c r="L40" i="55"/>
  <c r="Z31" i="106"/>
  <c r="P93" i="87"/>
  <c r="X90" i="87"/>
  <c r="R90" i="87"/>
  <c r="L78" i="78"/>
  <c r="F78" i="78"/>
  <c r="L100" i="95"/>
  <c r="N100" i="95" s="1"/>
  <c r="X92" i="105"/>
  <c r="Z92" i="105" s="1"/>
  <c r="R92" i="105"/>
  <c r="N94" i="107"/>
  <c r="J94" i="107"/>
  <c r="N92" i="105"/>
  <c r="J92" i="105"/>
  <c r="L92" i="105"/>
  <c r="J87" i="75"/>
  <c r="L36" i="22"/>
  <c r="X36" i="111"/>
  <c r="H101" i="73"/>
  <c r="J98" i="73"/>
  <c r="N53" i="99"/>
  <c r="X91" i="97"/>
  <c r="Z91" i="97" s="1"/>
  <c r="T131" i="27"/>
  <c r="V128" i="27"/>
  <c r="V87" i="75"/>
  <c r="Z98" i="73"/>
  <c r="T101" i="73"/>
  <c r="V98" i="73"/>
  <c r="X36" i="11"/>
  <c r="L104" i="33"/>
  <c r="N104" i="33" s="1"/>
  <c r="D107" i="33"/>
  <c r="F104" i="33"/>
  <c r="X37" i="82"/>
  <c r="R37" i="82"/>
  <c r="L36" i="26"/>
  <c r="L81" i="56"/>
  <c r="N81" i="56" s="1"/>
  <c r="X65" i="68"/>
  <c r="Z65" i="68" s="1"/>
  <c r="L36" i="112"/>
  <c r="Z104" i="91"/>
  <c r="Z111" i="63"/>
  <c r="T308" i="18"/>
  <c r="Z305" i="18"/>
  <c r="V305" i="18"/>
  <c r="N31" i="54"/>
  <c r="R143" i="39"/>
  <c r="X89" i="80"/>
  <c r="Z89" i="80" s="1"/>
  <c r="R89" i="80"/>
  <c r="X94" i="97"/>
  <c r="R94" i="97"/>
  <c r="L36" i="47"/>
  <c r="X102" i="45" l="1"/>
  <c r="R102" i="45"/>
  <c r="V93" i="87"/>
  <c r="Z143" i="39"/>
  <c r="V143" i="39"/>
  <c r="L119" i="76"/>
  <c r="F119" i="76"/>
  <c r="Z101" i="73"/>
  <c r="V101" i="73"/>
  <c r="N82" i="93"/>
  <c r="J82" i="93"/>
  <c r="J136" i="36"/>
  <c r="X122" i="74"/>
  <c r="R122" i="74"/>
  <c r="X61" i="104"/>
  <c r="Z61" i="104" s="1"/>
  <c r="R61" i="104"/>
  <c r="X87" i="75"/>
  <c r="Z87" i="75" s="1"/>
  <c r="R87" i="75"/>
  <c r="Z102" i="45"/>
  <c r="V102" i="45"/>
  <c r="Z78" i="78"/>
  <c r="V78" i="78"/>
  <c r="L158" i="30"/>
  <c r="F158" i="30"/>
  <c r="X150" i="24"/>
  <c r="R150" i="24"/>
  <c r="Z288" i="12"/>
  <c r="V288" i="12"/>
  <c r="X78" i="78"/>
  <c r="Z308" i="18"/>
  <c r="V308" i="18"/>
  <c r="N279" i="15"/>
  <c r="J279" i="15"/>
  <c r="N93" i="83"/>
  <c r="J93" i="83"/>
  <c r="L93" i="83"/>
  <c r="L87" i="75"/>
  <c r="N87" i="75" s="1"/>
  <c r="F87" i="75"/>
  <c r="L101" i="73"/>
  <c r="F101" i="73"/>
  <c r="X279" i="15"/>
  <c r="R279" i="15"/>
  <c r="L122" i="74"/>
  <c r="F122" i="74"/>
  <c r="N119" i="51"/>
  <c r="J119" i="51"/>
  <c r="L308" i="18"/>
  <c r="F308" i="18"/>
  <c r="X158" i="30"/>
  <c r="Z158" i="30" s="1"/>
  <c r="R158" i="30"/>
  <c r="X94" i="107"/>
  <c r="R94" i="107"/>
  <c r="Z133" i="42"/>
  <c r="V133" i="42"/>
  <c r="N122" i="74"/>
  <c r="J122" i="74"/>
  <c r="N308" i="18"/>
  <c r="J308" i="18"/>
  <c r="X101" i="73"/>
  <c r="R101" i="73"/>
  <c r="X131" i="27"/>
  <c r="R131" i="27"/>
  <c r="J131" i="27"/>
  <c r="L279" i="15"/>
  <c r="F279" i="15"/>
  <c r="X119" i="76"/>
  <c r="Z119" i="76" s="1"/>
  <c r="R119" i="76"/>
  <c r="L92" i="72"/>
  <c r="N92" i="72" s="1"/>
  <c r="F92" i="72"/>
  <c r="X308" i="18"/>
  <c r="R308" i="18"/>
  <c r="L119" i="51"/>
  <c r="F119" i="51"/>
  <c r="X129" i="70"/>
  <c r="Z129" i="70" s="1"/>
  <c r="R129" i="70"/>
  <c r="Z37" i="82"/>
  <c r="V37" i="82"/>
  <c r="L60" i="98"/>
  <c r="X93" i="87"/>
  <c r="Z93" i="87" s="1"/>
  <c r="R93" i="87"/>
  <c r="N102" i="45"/>
  <c r="J102" i="45"/>
  <c r="X116" i="21"/>
  <c r="R116" i="21"/>
  <c r="L129" i="70"/>
  <c r="F129" i="70"/>
  <c r="L143" i="39"/>
  <c r="N143" i="39" s="1"/>
  <c r="F143" i="39"/>
  <c r="Z100" i="95"/>
  <c r="V100" i="95"/>
  <c r="N119" i="76"/>
  <c r="J119" i="76"/>
  <c r="N150" i="24"/>
  <c r="J150" i="24"/>
  <c r="X143" i="39"/>
  <c r="Z131" i="27"/>
  <c r="V131" i="27"/>
  <c r="J77" i="100"/>
  <c r="N158" i="30"/>
  <c r="J158" i="30"/>
  <c r="L136" i="36"/>
  <c r="N136" i="36" s="1"/>
  <c r="Z116" i="21"/>
  <c r="V116" i="21"/>
  <c r="X84" i="88"/>
  <c r="Z84" i="88" s="1"/>
  <c r="R84" i="88"/>
  <c r="X92" i="101"/>
  <c r="Z92" i="101" s="1"/>
  <c r="R92" i="101"/>
  <c r="Z94" i="97"/>
  <c r="V94" i="97"/>
  <c r="Z122" i="74"/>
  <c r="V122" i="74"/>
  <c r="N116" i="21"/>
  <c r="J116" i="21"/>
  <c r="N129" i="70"/>
  <c r="J129" i="70"/>
  <c r="L77" i="100"/>
  <c r="N77" i="100" s="1"/>
  <c r="L288" i="12"/>
  <c r="N288" i="12" s="1"/>
  <c r="F288" i="12"/>
  <c r="Z150" i="24"/>
  <c r="V150" i="24"/>
  <c r="L131" i="27"/>
  <c r="N131" i="27" s="1"/>
  <c r="F131" i="27"/>
  <c r="N87" i="92"/>
  <c r="J87" i="92"/>
  <c r="Z132" i="84"/>
  <c r="V132" i="84"/>
  <c r="N101" i="73"/>
  <c r="J101" i="73"/>
  <c r="X119" i="51"/>
  <c r="Z119" i="51" s="1"/>
  <c r="R119" i="51"/>
  <c r="X133" i="42"/>
  <c r="R133" i="42"/>
  <c r="Z94" i="107"/>
  <c r="V94" i="107"/>
  <c r="X132" i="84"/>
  <c r="R132" i="84"/>
  <c r="L107" i="33"/>
  <c r="N107" i="33" s="1"/>
  <c r="F107" i="33"/>
  <c r="Z77" i="100"/>
  <c r="V77" i="100"/>
  <c r="L87" i="92"/>
  <c r="Z279" i="15"/>
  <c r="V279" i="15"/>
  <c r="X288" i="12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<sst xmlns="http://schemas.openxmlformats.org/spreadsheetml/2006/main" count="2948" uniqueCount="314">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</sst>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1" xfId="3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0" applyNumberFormat="1" applyFill="1"/>
    <xf numFmtId="49" fontId="2" fillId="0" borderId="0" xfId="0" applyNumberFormat="1" applyFont="1" applyFill="1"/>
    <xf numFmtId="0" fontId="2" fillId="0" borderId="0" xfId="0" applyFont="1" applyAlignment="1">
      <alignment horizontal="left"/>
    </xf>
    <xf numFmtId="0" fontId="3" fillId="0" borderId="0" xfId="0" applyFont="1"/>
    <xf numFmtId="164" fontId="2" fillId="0" borderId="0" xfId="1" applyNumberFormat="1" applyFont="1" applyFill="1" applyAlignment="1">
      <alignment horizontal="centerContinuous"/>
    </xf>
    <xf numFmtId="166" fontId="4" fillId="0" borderId="0" xfId="0" applyNumberFormat="1" applyFont="1" applyAlignment="1">
      <alignment horizontal="left"/>
    </xf>
    <xf numFmtId="0" fontId="5" fillId="0" borderId="0" xfId="0" applyFont="1" applyFill="1"/>
    <xf numFmtId="49" fontId="2" fillId="2" borderId="1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165" fontId="0" fillId="0" borderId="0" xfId="0" applyNumberFormat="1"/>
    <xf numFmtId="0" fontId="4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40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L224" sqref="L224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506192.45999999996</v>
      </c>
      <c r="E12" s="4"/>
      <c r="F12" s="12"/>
      <c r="G12" s="4"/>
      <c r="H12" s="4">
        <f>SUM(OSRRefH13x_0)</f>
        <v>2676170.0399999991</v>
      </c>
      <c r="I12" s="4"/>
      <c r="J12" s="12"/>
      <c r="K12" s="4"/>
      <c r="L12" s="4">
        <f t="shared" ref="L12:L146" si="0">+D12-H12</f>
        <v>-2169977.5799999991</v>
      </c>
      <c r="M12" s="4"/>
      <c r="N12" s="12">
        <f t="shared" ref="N12:N146" si="1">IF(H12=0,0,L12/H12)</f>
        <v>-0.81085190685416975</v>
      </c>
      <c r="O12" s="10"/>
      <c r="P12" s="4">
        <f>SUM(OSRRefP13x_0)</f>
        <v>28049844.640000001</v>
      </c>
      <c r="Q12" s="4"/>
      <c r="R12" s="12"/>
      <c r="S12" s="4"/>
      <c r="T12" s="4">
        <f>SUM(OSRRefT13x_0)</f>
        <v>34956597.629999995</v>
      </c>
      <c r="U12" s="4"/>
      <c r="V12" s="12"/>
      <c r="W12" s="4"/>
      <c r="X12" s="4">
        <f t="shared" ref="X12:X146" si="2">+P12-T12</f>
        <v>-6906752.9899999946</v>
      </c>
      <c r="Y12" s="4"/>
      <c r="Z12" s="12">
        <f t="shared" ref="Z12:Z146" si="3">IF(T12=0,0,X12/T12)</f>
        <v>-0.1975808133018235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>
        <f>--41883.59</f>
        <v>41883.589999999997</v>
      </c>
      <c r="I14" s="2"/>
      <c r="J14" s="19"/>
      <c r="K14" s="2"/>
      <c r="L14" s="2">
        <f t="shared" si="0"/>
        <v>-4601.679999999993</v>
      </c>
      <c r="M14" s="2"/>
      <c r="N14" s="19">
        <f t="shared" si="1"/>
        <v>-0.1098683279059888</v>
      </c>
      <c r="O14" s="11"/>
      <c r="P14" s="2">
        <f>--2435259.64</f>
        <v>2435259.64</v>
      </c>
      <c r="Q14" s="2"/>
      <c r="R14" s="19"/>
      <c r="S14" s="2"/>
      <c r="T14" s="2">
        <f>--3103237.76</f>
        <v>3103237.76</v>
      </c>
      <c r="U14" s="2"/>
      <c r="V14" s="19"/>
      <c r="W14" s="2"/>
      <c r="X14" s="2">
        <f t="shared" si="2"/>
        <v>-667978.11999999965</v>
      </c>
      <c r="Y14" s="2"/>
      <c r="Z14" s="19">
        <f t="shared" si="3"/>
        <v>-0.21525199538690831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>
        <f>--30305.16</f>
        <v>30305.16</v>
      </c>
      <c r="I15" s="2"/>
      <c r="J15" s="19"/>
      <c r="K15" s="2"/>
      <c r="L15" s="2">
        <f t="shared" si="0"/>
        <v>-18795.61</v>
      </c>
      <c r="M15" s="2"/>
      <c r="N15" s="19">
        <f t="shared" si="1"/>
        <v>-0.62021154153286107</v>
      </c>
      <c r="O15" s="11"/>
      <c r="P15" s="2">
        <f>--1256426.74</f>
        <v>1256426.74</v>
      </c>
      <c r="Q15" s="2"/>
      <c r="R15" s="19"/>
      <c r="S15" s="2"/>
      <c r="T15" s="2">
        <f>--1393961.55</f>
        <v>1393961.55</v>
      </c>
      <c r="U15" s="2"/>
      <c r="V15" s="19"/>
      <c r="W15" s="2"/>
      <c r="X15" s="2">
        <f t="shared" si="2"/>
        <v>-137534.81000000006</v>
      </c>
      <c r="Y15" s="2"/>
      <c r="Z15" s="19">
        <f t="shared" si="3"/>
        <v>-9.8664708506486454E-2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>
        <f>--107</f>
        <v>107</v>
      </c>
      <c r="I16" s="2"/>
      <c r="J16" s="19"/>
      <c r="K16" s="2"/>
      <c r="L16" s="2">
        <f t="shared" si="0"/>
        <v>-37.010000000000005</v>
      </c>
      <c r="M16" s="2"/>
      <c r="N16" s="19">
        <f t="shared" si="1"/>
        <v>-0.34588785046728976</v>
      </c>
      <c r="O16" s="11"/>
      <c r="P16" s="2">
        <f>--33764.88</f>
        <v>33764.879999999997</v>
      </c>
      <c r="Q16" s="2"/>
      <c r="R16" s="19"/>
      <c r="S16" s="2"/>
      <c r="T16" s="2">
        <f>--15254.65</f>
        <v>15254.65</v>
      </c>
      <c r="U16" s="2"/>
      <c r="V16" s="19"/>
      <c r="W16" s="2"/>
      <c r="X16" s="2">
        <f t="shared" si="2"/>
        <v>18510.229999999996</v>
      </c>
      <c r="Y16" s="2"/>
      <c r="Z16" s="19">
        <f t="shared" si="3"/>
        <v>1.2134155814784342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>
        <f>--227.95</f>
        <v>227.95</v>
      </c>
      <c r="I17" s="2"/>
      <c r="J17" s="19"/>
      <c r="K17" s="2"/>
      <c r="L17" s="2">
        <f t="shared" si="0"/>
        <v>-227.95</v>
      </c>
      <c r="M17" s="2"/>
      <c r="N17" s="19">
        <f t="shared" si="1"/>
        <v>-1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--483.81</f>
        <v>483.81</v>
      </c>
      <c r="I19" s="2"/>
      <c r="J19" s="19"/>
      <c r="K19" s="2"/>
      <c r="L19" s="2">
        <f t="shared" si="0"/>
        <v>-483.81</v>
      </c>
      <c r="M19" s="2"/>
      <c r="N19" s="19">
        <f t="shared" si="1"/>
        <v>-1</v>
      </c>
      <c r="O19" s="11"/>
      <c r="P19" s="2">
        <f>--2713.36</f>
        <v>2713.36</v>
      </c>
      <c r="Q19" s="2"/>
      <c r="R19" s="19"/>
      <c r="S19" s="2"/>
      <c r="T19" s="2">
        <f>--6824.23</f>
        <v>6824.23</v>
      </c>
      <c r="U19" s="2"/>
      <c r="V19" s="19"/>
      <c r="W19" s="2"/>
      <c r="X19" s="2">
        <f t="shared" si="2"/>
        <v>-4110.869999999999</v>
      </c>
      <c r="Y19" s="2"/>
      <c r="Z19" s="19">
        <f t="shared" si="3"/>
        <v>-0.602393237039197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>
        <f>--95.48</f>
        <v>95.48</v>
      </c>
      <c r="I20" s="2"/>
      <c r="J20" s="19"/>
      <c r="K20" s="2"/>
      <c r="L20" s="2">
        <f t="shared" si="0"/>
        <v>-94.68</v>
      </c>
      <c r="M20" s="2"/>
      <c r="N20" s="19">
        <f t="shared" si="1"/>
        <v>-0.99162128194386256</v>
      </c>
      <c r="O20" s="11"/>
      <c r="P20" s="2">
        <f>--1219.98</f>
        <v>1219.98</v>
      </c>
      <c r="Q20" s="2"/>
      <c r="R20" s="19"/>
      <c r="S20" s="2"/>
      <c r="T20" s="2">
        <f>--2127.75</f>
        <v>2127.75</v>
      </c>
      <c r="U20" s="2"/>
      <c r="V20" s="19"/>
      <c r="W20" s="2"/>
      <c r="X20" s="2">
        <f t="shared" si="2"/>
        <v>-907.77</v>
      </c>
      <c r="Y20" s="2"/>
      <c r="Z20" s="19">
        <f t="shared" si="3"/>
        <v>-0.42663376806485726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--44.93</f>
        <v>44.93</v>
      </c>
      <c r="I21" s="2"/>
      <c r="J21" s="19"/>
      <c r="K21" s="2"/>
      <c r="L21" s="2">
        <f t="shared" si="0"/>
        <v>-44.93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--762.54</f>
        <v>762.54</v>
      </c>
      <c r="U21" s="2"/>
      <c r="V21" s="19"/>
      <c r="W21" s="2"/>
      <c r="X21" s="2">
        <f t="shared" si="2"/>
        <v>-415.02</v>
      </c>
      <c r="Y21" s="2"/>
      <c r="Z21" s="19">
        <f t="shared" si="3"/>
        <v>-0.54425997324730502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>
        <f>--308.38</f>
        <v>308.38</v>
      </c>
      <c r="I22" s="2"/>
      <c r="J22" s="19"/>
      <c r="K22" s="2"/>
      <c r="L22" s="2">
        <f t="shared" si="0"/>
        <v>-283.39</v>
      </c>
      <c r="M22" s="2"/>
      <c r="N22" s="19">
        <f t="shared" si="1"/>
        <v>-0.91896361631753032</v>
      </c>
      <c r="O22" s="11"/>
      <c r="P22" s="2">
        <f>--4179.3</f>
        <v>4179.3</v>
      </c>
      <c r="Q22" s="2"/>
      <c r="R22" s="19"/>
      <c r="S22" s="2"/>
      <c r="T22" s="2">
        <f>--6383.46</f>
        <v>6383.46</v>
      </c>
      <c r="U22" s="2"/>
      <c r="V22" s="19"/>
      <c r="W22" s="2"/>
      <c r="X22" s="2">
        <f t="shared" si="2"/>
        <v>-2204.16</v>
      </c>
      <c r="Y22" s="2"/>
      <c r="Z22" s="19">
        <f t="shared" si="3"/>
        <v>-0.34529236495568233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>
        <f>--3554.35</f>
        <v>3554.35</v>
      </c>
      <c r="I24" s="2"/>
      <c r="J24" s="19"/>
      <c r="K24" s="2"/>
      <c r="L24" s="2">
        <f t="shared" si="0"/>
        <v>-3537.1</v>
      </c>
      <c r="M24" s="2"/>
      <c r="N24" s="19">
        <f t="shared" si="1"/>
        <v>-0.99514679195914868</v>
      </c>
      <c r="O24" s="11"/>
      <c r="P24" s="2">
        <f>--54720.11</f>
        <v>54720.11</v>
      </c>
      <c r="Q24" s="2"/>
      <c r="R24" s="19"/>
      <c r="S24" s="2"/>
      <c r="T24" s="2">
        <f>--60173.02</f>
        <v>60173.02</v>
      </c>
      <c r="U24" s="2"/>
      <c r="V24" s="19"/>
      <c r="W24" s="2"/>
      <c r="X24" s="2">
        <f t="shared" si="2"/>
        <v>-5452.9099999999962</v>
      </c>
      <c r="Y24" s="2"/>
      <c r="Z24" s="19">
        <f t="shared" si="3"/>
        <v>-9.0620513977859127E-2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>
        <f>--6532.22</f>
        <v>6532.22</v>
      </c>
      <c r="I25" s="2"/>
      <c r="J25" s="19"/>
      <c r="K25" s="2"/>
      <c r="L25" s="2">
        <f t="shared" si="0"/>
        <v>-5672.4400000000005</v>
      </c>
      <c r="M25" s="2"/>
      <c r="N25" s="19">
        <f t="shared" si="1"/>
        <v>-0.86837859104561699</v>
      </c>
      <c r="O25" s="11"/>
      <c r="P25" s="2">
        <f>--80809.49</f>
        <v>80809.490000000005</v>
      </c>
      <c r="Q25" s="2"/>
      <c r="R25" s="19"/>
      <c r="S25" s="2"/>
      <c r="T25" s="2">
        <f>--81471</f>
        <v>81471</v>
      </c>
      <c r="U25" s="2"/>
      <c r="V25" s="19"/>
      <c r="W25" s="2"/>
      <c r="X25" s="2">
        <f t="shared" si="2"/>
        <v>-661.50999999999476</v>
      </c>
      <c r="Y25" s="2"/>
      <c r="Z25" s="19">
        <f t="shared" si="3"/>
        <v>-8.1195762909500903E-3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>
        <f>--14816.86</f>
        <v>14816.86</v>
      </c>
      <c r="I26" s="2"/>
      <c r="J26" s="19"/>
      <c r="K26" s="2"/>
      <c r="L26" s="2">
        <f t="shared" si="0"/>
        <v>-9286.35</v>
      </c>
      <c r="M26" s="2"/>
      <c r="N26" s="19">
        <f t="shared" si="1"/>
        <v>-0.62674210325264601</v>
      </c>
      <c r="O26" s="11"/>
      <c r="P26" s="2">
        <f>--276777.07</f>
        <v>276777.07</v>
      </c>
      <c r="Q26" s="2"/>
      <c r="R26" s="19"/>
      <c r="S26" s="2"/>
      <c r="T26" s="2">
        <f>--291520.85</f>
        <v>291520.84999999998</v>
      </c>
      <c r="U26" s="2"/>
      <c r="V26" s="19"/>
      <c r="W26" s="2"/>
      <c r="X26" s="2">
        <f t="shared" si="2"/>
        <v>-14743.77999999997</v>
      </c>
      <c r="Y26" s="2"/>
      <c r="Z26" s="19">
        <f t="shared" si="3"/>
        <v>-5.0575387660951078E-2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>
        <f>--11322.32</f>
        <v>11322.32</v>
      </c>
      <c r="I27" s="2"/>
      <c r="J27" s="19"/>
      <c r="K27" s="2"/>
      <c r="L27" s="2">
        <f t="shared" si="0"/>
        <v>-10897.14</v>
      </c>
      <c r="M27" s="2"/>
      <c r="N27" s="19">
        <f t="shared" si="1"/>
        <v>-0.96244762557497043</v>
      </c>
      <c r="O27" s="11"/>
      <c r="P27" s="2">
        <f>--293191.05</f>
        <v>293191.05</v>
      </c>
      <c r="Q27" s="2"/>
      <c r="R27" s="19"/>
      <c r="S27" s="2"/>
      <c r="T27" s="2">
        <f>--345370.44</f>
        <v>345370.44</v>
      </c>
      <c r="U27" s="2"/>
      <c r="V27" s="19"/>
      <c r="W27" s="2"/>
      <c r="X27" s="2">
        <f t="shared" si="2"/>
        <v>-52179.390000000014</v>
      </c>
      <c r="Y27" s="2"/>
      <c r="Z27" s="19">
        <f t="shared" si="3"/>
        <v>-0.15108238562628584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>
        <f>--35.13</f>
        <v>35.130000000000003</v>
      </c>
      <c r="I28" s="2"/>
      <c r="J28" s="19"/>
      <c r="K28" s="2"/>
      <c r="L28" s="2">
        <f t="shared" si="0"/>
        <v>-35.130000000000003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--693.83</f>
        <v>693.83</v>
      </c>
      <c r="U28" s="2"/>
      <c r="V28" s="19"/>
      <c r="W28" s="2"/>
      <c r="X28" s="2">
        <f t="shared" si="2"/>
        <v>-207.49000000000007</v>
      </c>
      <c r="Y28" s="2"/>
      <c r="Z28" s="19">
        <f t="shared" si="3"/>
        <v>-0.29905019961662088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>
        <f>--24130.84</f>
        <v>24130.84</v>
      </c>
      <c r="I29" s="2"/>
      <c r="J29" s="19"/>
      <c r="K29" s="2"/>
      <c r="L29" s="2">
        <f t="shared" si="0"/>
        <v>-24130.84</v>
      </c>
      <c r="M29" s="2"/>
      <c r="N29" s="19">
        <f t="shared" si="1"/>
        <v>-1</v>
      </c>
      <c r="O29" s="11"/>
      <c r="P29" s="2">
        <f>--277654.52</f>
        <v>277654.52</v>
      </c>
      <c r="Q29" s="2"/>
      <c r="R29" s="19"/>
      <c r="S29" s="2"/>
      <c r="T29" s="2">
        <f>--365957.27</f>
        <v>365957.27</v>
      </c>
      <c r="U29" s="2"/>
      <c r="V29" s="19"/>
      <c r="W29" s="2"/>
      <c r="X29" s="2">
        <f t="shared" si="2"/>
        <v>-88302.75</v>
      </c>
      <c r="Y29" s="2"/>
      <c r="Z29" s="19">
        <f t="shared" si="3"/>
        <v>-0.24129251483376732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>
        <f>--19.79</f>
        <v>19.79</v>
      </c>
      <c r="I30" s="2"/>
      <c r="J30" s="19"/>
      <c r="K30" s="2"/>
      <c r="L30" s="2">
        <f t="shared" si="0"/>
        <v>-19.79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--283.84</f>
        <v>283.83999999999997</v>
      </c>
      <c r="U30" s="2"/>
      <c r="V30" s="19"/>
      <c r="W30" s="2"/>
      <c r="X30" s="2">
        <f t="shared" si="2"/>
        <v>-78.309999999999974</v>
      </c>
      <c r="Y30" s="2"/>
      <c r="Z30" s="19">
        <f t="shared" si="3"/>
        <v>-0.27589487034949262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>
        <f>--872.98</f>
        <v>872.98</v>
      </c>
      <c r="I31" s="2"/>
      <c r="J31" s="19"/>
      <c r="K31" s="2"/>
      <c r="L31" s="2">
        <f t="shared" si="0"/>
        <v>-872.98</v>
      </c>
      <c r="M31" s="2"/>
      <c r="N31" s="19">
        <f t="shared" si="1"/>
        <v>-1</v>
      </c>
      <c r="O31" s="11"/>
      <c r="P31" s="2">
        <f>--10925.46</f>
        <v>10925.46</v>
      </c>
      <c r="Q31" s="2"/>
      <c r="R31" s="19"/>
      <c r="S31" s="2"/>
      <c r="T31" s="2">
        <f>--11587.43</f>
        <v>11587.43</v>
      </c>
      <c r="U31" s="2"/>
      <c r="V31" s="19"/>
      <c r="W31" s="2"/>
      <c r="X31" s="2">
        <f t="shared" si="2"/>
        <v>-661.97000000000116</v>
      </c>
      <c r="Y31" s="2"/>
      <c r="Z31" s="19">
        <f t="shared" si="3"/>
        <v>-5.7128284701612103E-2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>
        <f>--103.35</f>
        <v>103.35</v>
      </c>
      <c r="I32" s="2"/>
      <c r="J32" s="19"/>
      <c r="K32" s="2"/>
      <c r="L32" s="2">
        <f t="shared" si="0"/>
        <v>-103.35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--2670.09</f>
        <v>2670.09</v>
      </c>
      <c r="U32" s="2"/>
      <c r="V32" s="19"/>
      <c r="W32" s="2"/>
      <c r="X32" s="2">
        <f t="shared" si="2"/>
        <v>-688.25000000000023</v>
      </c>
      <c r="Y32" s="2"/>
      <c r="Z32" s="19">
        <f t="shared" si="3"/>
        <v>-0.2577628469452341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>
        <f>--64.16</f>
        <v>64.16</v>
      </c>
      <c r="I33" s="2"/>
      <c r="J33" s="19"/>
      <c r="K33" s="2"/>
      <c r="L33" s="2">
        <f t="shared" si="0"/>
        <v>-64.16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--870.15</f>
        <v>870.15</v>
      </c>
      <c r="U33" s="2"/>
      <c r="V33" s="19"/>
      <c r="W33" s="2"/>
      <c r="X33" s="2">
        <f t="shared" si="2"/>
        <v>-356.64</v>
      </c>
      <c r="Y33" s="2"/>
      <c r="Z33" s="19">
        <f t="shared" si="3"/>
        <v>-0.40986036890191346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>
        <f>--251041.75</f>
        <v>251041.75</v>
      </c>
      <c r="I34" s="2"/>
      <c r="J34" s="19"/>
      <c r="K34" s="2"/>
      <c r="L34" s="2">
        <f t="shared" si="0"/>
        <v>-200235.03</v>
      </c>
      <c r="M34" s="2"/>
      <c r="N34" s="19">
        <f t="shared" si="1"/>
        <v>-0.79761645224350131</v>
      </c>
      <c r="O34" s="11"/>
      <c r="P34" s="2">
        <f>--1894910.12</f>
        <v>1894910.12</v>
      </c>
      <c r="Q34" s="2"/>
      <c r="R34" s="19"/>
      <c r="S34" s="2"/>
      <c r="T34" s="2">
        <f>--2379452.63</f>
        <v>2379452.63</v>
      </c>
      <c r="U34" s="2"/>
      <c r="V34" s="19"/>
      <c r="W34" s="2"/>
      <c r="X34" s="2">
        <f t="shared" si="2"/>
        <v>-484542.50999999978</v>
      </c>
      <c r="Y34" s="2"/>
      <c r="Z34" s="19">
        <f t="shared" si="3"/>
        <v>-0.20363612365756564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>
        <f>--165501.05</f>
        <v>165501.04999999999</v>
      </c>
      <c r="I35" s="2"/>
      <c r="J35" s="19"/>
      <c r="K35" s="2"/>
      <c r="L35" s="2">
        <f t="shared" si="0"/>
        <v>-120001.78</v>
      </c>
      <c r="M35" s="2"/>
      <c r="N35" s="19">
        <f t="shared" si="1"/>
        <v>-0.72508168377179483</v>
      </c>
      <c r="O35" s="11"/>
      <c r="P35" s="2">
        <f>--526632.56</f>
        <v>526632.56000000006</v>
      </c>
      <c r="Q35" s="2"/>
      <c r="R35" s="19"/>
      <c r="S35" s="2"/>
      <c r="T35" s="2">
        <f>--829135.79</f>
        <v>829135.79</v>
      </c>
      <c r="U35" s="2"/>
      <c r="V35" s="19"/>
      <c r="W35" s="2"/>
      <c r="X35" s="2">
        <f t="shared" si="2"/>
        <v>-302503.23</v>
      </c>
      <c r="Y35" s="2"/>
      <c r="Z35" s="19">
        <f t="shared" si="3"/>
        <v>-0.36484160212165001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>
        <f>--39206.06</f>
        <v>39206.06</v>
      </c>
      <c r="I36" s="2"/>
      <c r="J36" s="19"/>
      <c r="K36" s="2"/>
      <c r="L36" s="2">
        <f t="shared" si="0"/>
        <v>-35787.040000000001</v>
      </c>
      <c r="M36" s="2"/>
      <c r="N36" s="19">
        <f t="shared" si="1"/>
        <v>-0.91279358344092731</v>
      </c>
      <c r="O36" s="11"/>
      <c r="P36" s="2">
        <f>--282721.2</f>
        <v>282721.2</v>
      </c>
      <c r="Q36" s="2"/>
      <c r="R36" s="19"/>
      <c r="S36" s="2"/>
      <c r="T36" s="2">
        <f>--324686.18</f>
        <v>324686.18</v>
      </c>
      <c r="U36" s="2"/>
      <c r="V36" s="19"/>
      <c r="W36" s="2"/>
      <c r="X36" s="2">
        <f t="shared" si="2"/>
        <v>-41964.979999999981</v>
      </c>
      <c r="Y36" s="2"/>
      <c r="Z36" s="19">
        <f t="shared" si="3"/>
        <v>-0.12924781707678468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>
        <f>--1230.23</f>
        <v>1230.23</v>
      </c>
      <c r="I37" s="2"/>
      <c r="J37" s="19"/>
      <c r="K37" s="2"/>
      <c r="L37" s="2">
        <f t="shared" si="0"/>
        <v>-1180.28</v>
      </c>
      <c r="M37" s="2"/>
      <c r="N37" s="19">
        <f t="shared" si="1"/>
        <v>-0.95939783617697505</v>
      </c>
      <c r="O37" s="11"/>
      <c r="P37" s="2">
        <f>--77269.18</f>
        <v>77269.179999999993</v>
      </c>
      <c r="Q37" s="2"/>
      <c r="R37" s="19"/>
      <c r="S37" s="2"/>
      <c r="T37" s="2">
        <f>--4783.61</f>
        <v>4783.6099999999997</v>
      </c>
      <c r="U37" s="2"/>
      <c r="V37" s="19"/>
      <c r="W37" s="2"/>
      <c r="X37" s="2">
        <f t="shared" si="2"/>
        <v>72485.569999999992</v>
      </c>
      <c r="Y37" s="2"/>
      <c r="Z37" s="19">
        <f t="shared" si="3"/>
        <v>15.152901260763315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>
        <f>--5486.9</f>
        <v>5486.9</v>
      </c>
      <c r="I38" s="2"/>
      <c r="J38" s="19"/>
      <c r="K38" s="2"/>
      <c r="L38" s="2">
        <f t="shared" si="0"/>
        <v>-1571.6599999999999</v>
      </c>
      <c r="M38" s="2"/>
      <c r="N38" s="19">
        <f t="shared" si="1"/>
        <v>-0.28643860832163881</v>
      </c>
      <c r="O38" s="11"/>
      <c r="P38" s="2">
        <f>--71255.76</f>
        <v>71255.759999999995</v>
      </c>
      <c r="Q38" s="2"/>
      <c r="R38" s="19"/>
      <c r="S38" s="2"/>
      <c r="T38" s="2">
        <f>--85687.27</f>
        <v>85687.27</v>
      </c>
      <c r="U38" s="2"/>
      <c r="V38" s="19"/>
      <c r="W38" s="2"/>
      <c r="X38" s="2">
        <f t="shared" si="2"/>
        <v>-14431.510000000009</v>
      </c>
      <c r="Y38" s="2"/>
      <c r="Z38" s="19">
        <f t="shared" si="3"/>
        <v>-0.16842070006431537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>
        <f>--61115.47</f>
        <v>61115.47</v>
      </c>
      <c r="I39" s="2"/>
      <c r="J39" s="19"/>
      <c r="K39" s="2"/>
      <c r="L39" s="2">
        <f t="shared" si="0"/>
        <v>-47589.880000000005</v>
      </c>
      <c r="M39" s="2"/>
      <c r="N39" s="19">
        <f t="shared" si="1"/>
        <v>-0.77868794922136741</v>
      </c>
      <c r="O39" s="11"/>
      <c r="P39" s="2">
        <f>--96839.56</f>
        <v>96839.56</v>
      </c>
      <c r="Q39" s="2"/>
      <c r="R39" s="19"/>
      <c r="S39" s="2"/>
      <c r="T39" s="2">
        <f>--193484.96</f>
        <v>193484.96</v>
      </c>
      <c r="U39" s="2"/>
      <c r="V39" s="19"/>
      <c r="W39" s="2"/>
      <c r="X39" s="2">
        <f t="shared" si="2"/>
        <v>-96645.4</v>
      </c>
      <c r="Y39" s="2"/>
      <c r="Z39" s="19">
        <f t="shared" si="3"/>
        <v>-0.49949825557500693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6">0</f>
        <v>0</v>
      </c>
      <c r="E40" s="2"/>
      <c r="F40" s="19"/>
      <c r="G40" s="2"/>
      <c r="H40" s="2">
        <f>--963.97</f>
        <v>963.97</v>
      </c>
      <c r="I40" s="2"/>
      <c r="J40" s="19"/>
      <c r="K40" s="2"/>
      <c r="L40" s="2">
        <f t="shared" si="0"/>
        <v>-963.97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--5572.63</f>
        <v>5572.63</v>
      </c>
      <c r="U40" s="2"/>
      <c r="V40" s="19"/>
      <c r="W40" s="2"/>
      <c r="X40" s="2">
        <f t="shared" si="2"/>
        <v>-2896.4900000000002</v>
      </c>
      <c r="Y40" s="2"/>
      <c r="Z40" s="19">
        <f t="shared" si="3"/>
        <v>-0.51977073661807804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6"/>
        <v>0</v>
      </c>
      <c r="E41" s="2"/>
      <c r="F41" s="19"/>
      <c r="G41" s="2"/>
      <c r="H41" s="2">
        <f>--93067.32</f>
        <v>93067.32</v>
      </c>
      <c r="I41" s="2"/>
      <c r="J41" s="19"/>
      <c r="K41" s="2"/>
      <c r="L41" s="2">
        <f t="shared" si="0"/>
        <v>-93067.32</v>
      </c>
      <c r="M41" s="2"/>
      <c r="N41" s="19">
        <f t="shared" si="1"/>
        <v>-1</v>
      </c>
      <c r="O41" s="11"/>
      <c r="P41" s="2">
        <f>--604143.21</f>
        <v>604143.21</v>
      </c>
      <c r="Q41" s="2"/>
      <c r="R41" s="19"/>
      <c r="S41" s="2"/>
      <c r="T41" s="2">
        <f>--905180.44</f>
        <v>905180.44</v>
      </c>
      <c r="U41" s="2"/>
      <c r="V41" s="19"/>
      <c r="W41" s="2"/>
      <c r="X41" s="2">
        <f t="shared" si="2"/>
        <v>-301037.23</v>
      </c>
      <c r="Y41" s="2"/>
      <c r="Z41" s="19">
        <f t="shared" si="3"/>
        <v>-0.33257151469159013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6"/>
        <v>0</v>
      </c>
      <c r="E42" s="2"/>
      <c r="F42" s="19"/>
      <c r="G42" s="2"/>
      <c r="H42" s="2">
        <f>--163430.84</f>
        <v>163430.84</v>
      </c>
      <c r="I42" s="2"/>
      <c r="J42" s="19"/>
      <c r="K42" s="2"/>
      <c r="L42" s="2">
        <f t="shared" si="0"/>
        <v>-163430.84</v>
      </c>
      <c r="M42" s="2"/>
      <c r="N42" s="19">
        <f t="shared" si="1"/>
        <v>-1</v>
      </c>
      <c r="O42" s="11"/>
      <c r="P42" s="2">
        <f>--836487.29</f>
        <v>836487.29</v>
      </c>
      <c r="Q42" s="2"/>
      <c r="R42" s="19"/>
      <c r="S42" s="2"/>
      <c r="T42" s="2">
        <f>--1520771.04</f>
        <v>1520771.04</v>
      </c>
      <c r="U42" s="2"/>
      <c r="V42" s="19"/>
      <c r="W42" s="2"/>
      <c r="X42" s="2">
        <f t="shared" si="2"/>
        <v>-684283.75</v>
      </c>
      <c r="Y42" s="2"/>
      <c r="Z42" s="19">
        <f t="shared" si="3"/>
        <v>-0.44995843029730498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--59.42</f>
        <v>59.42</v>
      </c>
      <c r="E43" s="2"/>
      <c r="F43" s="19"/>
      <c r="G43" s="2"/>
      <c r="H43" s="2">
        <f>--26058.2</f>
        <v>26058.2</v>
      </c>
      <c r="I43" s="2"/>
      <c r="J43" s="19"/>
      <c r="K43" s="2"/>
      <c r="L43" s="2">
        <f t="shared" si="0"/>
        <v>-25998.780000000002</v>
      </c>
      <c r="M43" s="2"/>
      <c r="N43" s="19">
        <f t="shared" si="1"/>
        <v>-0.99771971970435414</v>
      </c>
      <c r="O43" s="11"/>
      <c r="P43" s="2">
        <f>--279986.09</f>
        <v>279986.09000000003</v>
      </c>
      <c r="Q43" s="2"/>
      <c r="R43" s="19"/>
      <c r="S43" s="2"/>
      <c r="T43" s="2">
        <f>--334046.9</f>
        <v>334046.90000000002</v>
      </c>
      <c r="U43" s="2"/>
      <c r="V43" s="19"/>
      <c r="W43" s="2"/>
      <c r="X43" s="2">
        <f t="shared" si="2"/>
        <v>-54060.81</v>
      </c>
      <c r="Y43" s="2"/>
      <c r="Z43" s="19">
        <f t="shared" si="3"/>
        <v>-0.16183598770112817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6" si="7">0</f>
        <v>0</v>
      </c>
      <c r="E44" s="2"/>
      <c r="F44" s="19"/>
      <c r="G44" s="2"/>
      <c r="H44" s="2">
        <f>--44537.34</f>
        <v>44537.34</v>
      </c>
      <c r="I44" s="2"/>
      <c r="J44" s="19"/>
      <c r="K44" s="2"/>
      <c r="L44" s="2">
        <f t="shared" si="0"/>
        <v>-44537.34</v>
      </c>
      <c r="M44" s="2"/>
      <c r="N44" s="19">
        <f t="shared" si="1"/>
        <v>-1</v>
      </c>
      <c r="O44" s="11"/>
      <c r="P44" s="2">
        <f>--382379.53</f>
        <v>382379.53</v>
      </c>
      <c r="Q44" s="2"/>
      <c r="R44" s="19"/>
      <c r="S44" s="2"/>
      <c r="T44" s="2">
        <f>--611471</f>
        <v>611471</v>
      </c>
      <c r="U44" s="2"/>
      <c r="V44" s="19"/>
      <c r="W44" s="2"/>
      <c r="X44" s="2">
        <f t="shared" si="2"/>
        <v>-229091.46999999997</v>
      </c>
      <c r="Y44" s="2"/>
      <c r="Z44" s="19">
        <f t="shared" si="3"/>
        <v>-0.37465631240075159</v>
      </c>
    </row>
    <row r="45" spans="1:26" s="24" customFormat="1" hidden="1" outlineLevel="1" x14ac:dyDescent="0.25">
      <c r="A45" s="44"/>
      <c r="B45" s="11" t="str">
        <f>CONCATENATE("          ", "4057", " - ", "TAXABLE SALES-FOOD")</f>
        <v xml:space="preserve">          4057 - TAXABLE SALES-FOOD</v>
      </c>
      <c r="C45" s="11"/>
      <c r="D45" s="2">
        <f t="shared" si="7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0</f>
        <v>0</v>
      </c>
      <c r="Q45" s="2"/>
      <c r="R45" s="19"/>
      <c r="S45" s="2"/>
      <c r="T45" s="2">
        <f>--11506.08</f>
        <v>11506.08</v>
      </c>
      <c r="U45" s="2"/>
      <c r="V45" s="19"/>
      <c r="W45" s="2"/>
      <c r="X45" s="2">
        <f t="shared" si="2"/>
        <v>-11506.08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"4058", " - ", "TAXABLE SALES-FOOD")</f>
        <v xml:space="preserve">          4058 - TAXABLE SALES-FOOD</v>
      </c>
      <c r="C46" s="11"/>
      <c r="D46" s="2">
        <f t="shared" si="7"/>
        <v>0</v>
      </c>
      <c r="E46" s="2"/>
      <c r="F46" s="19"/>
      <c r="G46" s="2"/>
      <c r="H46" s="2">
        <f>--5581.94</f>
        <v>5581.94</v>
      </c>
      <c r="I46" s="2"/>
      <c r="J46" s="19"/>
      <c r="K46" s="2"/>
      <c r="L46" s="2">
        <f t="shared" si="0"/>
        <v>-5581.94</v>
      </c>
      <c r="M46" s="2"/>
      <c r="N46" s="19">
        <f t="shared" si="1"/>
        <v>-1</v>
      </c>
      <c r="O46" s="11"/>
      <c r="P46" s="2">
        <f>--117077.57</f>
        <v>117077.57</v>
      </c>
      <c r="Q46" s="2"/>
      <c r="R46" s="19"/>
      <c r="S46" s="2"/>
      <c r="T46" s="2">
        <f>--200045.36</f>
        <v>200045.36</v>
      </c>
      <c r="U46" s="2"/>
      <c r="V46" s="19"/>
      <c r="W46" s="2"/>
      <c r="X46" s="2">
        <f t="shared" si="2"/>
        <v>-82967.789999999979</v>
      </c>
      <c r="Y46" s="2"/>
      <c r="Z46" s="19">
        <f t="shared" si="3"/>
        <v>-0.41474488585988689</v>
      </c>
    </row>
    <row r="47" spans="1:26" s="24" customFormat="1" hidden="1" outlineLevel="1" x14ac:dyDescent="0.25">
      <c r="A47" s="44"/>
      <c r="B47" s="11" t="str">
        <f>CONCATENATE("          ", "4081", " - ", "TAXABLE SALES-ELECTRONICS")</f>
        <v xml:space="preserve">          4081 - TAXABLE SALES-ELECTRONICS</v>
      </c>
      <c r="C47" s="11"/>
      <c r="D47" s="2">
        <f>--1256.94</f>
        <v>1256.94</v>
      </c>
      <c r="E47" s="2"/>
      <c r="F47" s="19"/>
      <c r="G47" s="2"/>
      <c r="H47" s="2">
        <f>--6211.36</f>
        <v>6211.36</v>
      </c>
      <c r="I47" s="2"/>
      <c r="J47" s="19"/>
      <c r="K47" s="2"/>
      <c r="L47" s="2">
        <f t="shared" si="0"/>
        <v>-4954.42</v>
      </c>
      <c r="M47" s="2"/>
      <c r="N47" s="19">
        <f t="shared" si="1"/>
        <v>-0.79763852038844962</v>
      </c>
      <c r="O47" s="11"/>
      <c r="P47" s="2">
        <f>--316334.96</f>
        <v>316334.96000000002</v>
      </c>
      <c r="Q47" s="2"/>
      <c r="R47" s="19"/>
      <c r="S47" s="2"/>
      <c r="T47" s="2">
        <f>--235514.44</f>
        <v>235514.44</v>
      </c>
      <c r="U47" s="2"/>
      <c r="V47" s="19"/>
      <c r="W47" s="2"/>
      <c r="X47" s="2">
        <f t="shared" si="2"/>
        <v>80820.520000000019</v>
      </c>
      <c r="Y47" s="2"/>
      <c r="Z47" s="19">
        <f t="shared" si="3"/>
        <v>0.34316587976516438</v>
      </c>
    </row>
    <row r="48" spans="1:26" s="24" customFormat="1" hidden="1" outlineLevel="1" x14ac:dyDescent="0.25">
      <c r="A48" s="44"/>
      <c r="B48" s="11" t="str">
        <f>CONCATENATE("          ", "4082", " - ", "TAXABLE SALES-COMPUTER HARDWAR")</f>
        <v xml:space="preserve">          4082 - TAXABLE SALES-COMPUTER HARDWAR</v>
      </c>
      <c r="C48" s="11"/>
      <c r="D48" s="2">
        <f>--55929.1</f>
        <v>55929.1</v>
      </c>
      <c r="E48" s="2"/>
      <c r="F48" s="19"/>
      <c r="G48" s="2"/>
      <c r="H48" s="2">
        <f>--422992.28</f>
        <v>422992.28</v>
      </c>
      <c r="I48" s="2"/>
      <c r="J48" s="19"/>
      <c r="K48" s="2"/>
      <c r="L48" s="2">
        <f t="shared" si="0"/>
        <v>-367063.18000000005</v>
      </c>
      <c r="M48" s="2"/>
      <c r="N48" s="19">
        <f t="shared" si="1"/>
        <v>-0.86777749229844103</v>
      </c>
      <c r="O48" s="11"/>
      <c r="P48" s="2">
        <f>--1982602.72</f>
        <v>1982602.72</v>
      </c>
      <c r="Q48" s="2"/>
      <c r="R48" s="19"/>
      <c r="S48" s="2"/>
      <c r="T48" s="2">
        <f>--2163009.85</f>
        <v>2163009.85</v>
      </c>
      <c r="U48" s="2"/>
      <c r="V48" s="19"/>
      <c r="W48" s="2"/>
      <c r="X48" s="2">
        <f t="shared" si="2"/>
        <v>-180407.13000000012</v>
      </c>
      <c r="Y48" s="2"/>
      <c r="Z48" s="19">
        <f t="shared" si="3"/>
        <v>-8.3405597991151131E-2</v>
      </c>
    </row>
    <row r="49" spans="1:26" s="24" customFormat="1" hidden="1" outlineLevel="1" x14ac:dyDescent="0.25">
      <c r="A49" s="44"/>
      <c r="B49" s="11" t="str">
        <f>CONCATENATE("          ", "4083", " - ", "TAXABLE SALES-COMPUTER EQUIPME")</f>
        <v xml:space="preserve">          4083 - TAXABLE SALES-COMPUTER EQUIPME</v>
      </c>
      <c r="C49" s="11"/>
      <c r="D49" s="2">
        <f>--2640</f>
        <v>2640</v>
      </c>
      <c r="E49" s="2"/>
      <c r="F49" s="19"/>
      <c r="G49" s="2"/>
      <c r="H49" s="2">
        <f>--11208.56</f>
        <v>11208.56</v>
      </c>
      <c r="I49" s="2"/>
      <c r="J49" s="19"/>
      <c r="K49" s="2"/>
      <c r="L49" s="2">
        <f t="shared" si="0"/>
        <v>-8568.56</v>
      </c>
      <c r="M49" s="2"/>
      <c r="N49" s="19">
        <f t="shared" si="1"/>
        <v>-0.76446572976368066</v>
      </c>
      <c r="O49" s="11"/>
      <c r="P49" s="2">
        <f>--106418.4</f>
        <v>106418.4</v>
      </c>
      <c r="Q49" s="2"/>
      <c r="R49" s="19"/>
      <c r="S49" s="2"/>
      <c r="T49" s="2">
        <f>--134343.89</f>
        <v>134343.89000000001</v>
      </c>
      <c r="U49" s="2"/>
      <c r="V49" s="19"/>
      <c r="W49" s="2"/>
      <c r="X49" s="2">
        <f t="shared" si="2"/>
        <v>-27925.49000000002</v>
      </c>
      <c r="Y49" s="2"/>
      <c r="Z49" s="19">
        <f t="shared" si="3"/>
        <v>-0.20786572429903599</v>
      </c>
    </row>
    <row r="50" spans="1:26" s="24" customFormat="1" hidden="1" outlineLevel="1" x14ac:dyDescent="0.25">
      <c r="A50" s="44"/>
      <c r="B50" s="11" t="str">
        <f>CONCATENATE("          ", "4084", " - ", "TAXABLE SALES-SOFTWARE LICENSE")</f>
        <v xml:space="preserve">          4084 - TAXABLE SALES-SOFTWARE LICENSE</v>
      </c>
      <c r="C50" s="11"/>
      <c r="D50" s="2">
        <f>0</f>
        <v>0</v>
      </c>
      <c r="E50" s="2"/>
      <c r="F50" s="19"/>
      <c r="G50" s="2"/>
      <c r="H50" s="2">
        <f t="shared" ref="H50:H51" si="8"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--129</f>
        <v>129</v>
      </c>
      <c r="Q50" s="2"/>
      <c r="R50" s="19"/>
      <c r="S50" s="2"/>
      <c r="T50" s="2">
        <f>--1563.99</f>
        <v>1563.99</v>
      </c>
      <c r="U50" s="2"/>
      <c r="V50" s="19"/>
      <c r="W50" s="2"/>
      <c r="X50" s="2">
        <f t="shared" si="2"/>
        <v>-1434.99</v>
      </c>
      <c r="Y50" s="2"/>
      <c r="Z50" s="19">
        <f t="shared" si="3"/>
        <v>-0.91751865421134404</v>
      </c>
    </row>
    <row r="51" spans="1:26" s="24" customFormat="1" hidden="1" outlineLevel="1" x14ac:dyDescent="0.25">
      <c r="A51" s="44"/>
      <c r="B51" s="11" t="str">
        <f>CONCATENATE("          ", "4085", " - ", "TAXABLE SALES-SOFTWARE")</f>
        <v xml:space="preserve">          4085 - TAXABLE SALES-SOFTWARE</v>
      </c>
      <c r="C51" s="11"/>
      <c r="D51" s="2">
        <f>--20</f>
        <v>20</v>
      </c>
      <c r="E51" s="2"/>
      <c r="F51" s="19"/>
      <c r="G51" s="2"/>
      <c r="H51" s="2">
        <f t="shared" si="8"/>
        <v>0</v>
      </c>
      <c r="I51" s="2"/>
      <c r="J51" s="19"/>
      <c r="K51" s="2"/>
      <c r="L51" s="2">
        <f t="shared" si="0"/>
        <v>20</v>
      </c>
      <c r="M51" s="2"/>
      <c r="N51" s="19">
        <f t="shared" si="1"/>
        <v>0</v>
      </c>
      <c r="O51" s="11"/>
      <c r="P51" s="2">
        <f>--4587.93</f>
        <v>4587.93</v>
      </c>
      <c r="Q51" s="2"/>
      <c r="R51" s="19"/>
      <c r="S51" s="2"/>
      <c r="T51" s="2">
        <f>--13358.65</f>
        <v>13358.65</v>
      </c>
      <c r="U51" s="2"/>
      <c r="V51" s="19"/>
      <c r="W51" s="2"/>
      <c r="X51" s="2">
        <f t="shared" si="2"/>
        <v>-8770.7199999999993</v>
      </c>
      <c r="Y51" s="2"/>
      <c r="Z51" s="19">
        <f t="shared" si="3"/>
        <v>-0.65655736170945411</v>
      </c>
    </row>
    <row r="52" spans="1:26" s="24" customFormat="1" hidden="1" outlineLevel="1" x14ac:dyDescent="0.25">
      <c r="A52" s="44"/>
      <c r="B52" s="11" t="str">
        <f>CONCATENATE("          ", "4086", " - ", "TAXABLE SALES-COMPUTER SUPPLIE")</f>
        <v xml:space="preserve">          4086 - TAXABLE SALES-COMPUTER SUPPLIE</v>
      </c>
      <c r="C52" s="11"/>
      <c r="D52" s="2">
        <f>--357.44</f>
        <v>357.44</v>
      </c>
      <c r="E52" s="2"/>
      <c r="F52" s="19"/>
      <c r="G52" s="2"/>
      <c r="H52" s="2">
        <f>--4883.47</f>
        <v>4883.47</v>
      </c>
      <c r="I52" s="2"/>
      <c r="J52" s="19"/>
      <c r="K52" s="2"/>
      <c r="L52" s="2">
        <f t="shared" si="0"/>
        <v>-4526.0300000000007</v>
      </c>
      <c r="M52" s="2"/>
      <c r="N52" s="19">
        <f t="shared" si="1"/>
        <v>-0.92680614399187466</v>
      </c>
      <c r="O52" s="11"/>
      <c r="P52" s="2">
        <f>--49529.46</f>
        <v>49529.46</v>
      </c>
      <c r="Q52" s="2"/>
      <c r="R52" s="19"/>
      <c r="S52" s="2"/>
      <c r="T52" s="2">
        <f>--91730.75</f>
        <v>91730.75</v>
      </c>
      <c r="U52" s="2"/>
      <c r="V52" s="19"/>
      <c r="W52" s="2"/>
      <c r="X52" s="2">
        <f t="shared" si="2"/>
        <v>-42201.29</v>
      </c>
      <c r="Y52" s="2"/>
      <c r="Z52" s="19">
        <f t="shared" si="3"/>
        <v>-0.46005608806207299</v>
      </c>
    </row>
    <row r="53" spans="1:26" s="24" customFormat="1" hidden="1" outlineLevel="1" x14ac:dyDescent="0.25">
      <c r="A53" s="44"/>
      <c r="B53" s="11" t="str">
        <f>CONCATENATE("          ", "4088", " - ", "TAXABLE SALES-MUSIC")</f>
        <v xml:space="preserve">          4088 - TAXABLE SALES-MUSIC</v>
      </c>
      <c r="C53" s="11"/>
      <c r="D53" s="2">
        <f>--1120.94</f>
        <v>1120.94</v>
      </c>
      <c r="E53" s="2"/>
      <c r="F53" s="19"/>
      <c r="G53" s="2"/>
      <c r="H53" s="2">
        <f>--59.99</f>
        <v>59.99</v>
      </c>
      <c r="I53" s="2"/>
      <c r="J53" s="19"/>
      <c r="K53" s="2"/>
      <c r="L53" s="2">
        <f t="shared" si="0"/>
        <v>1060.95</v>
      </c>
      <c r="M53" s="2"/>
      <c r="N53" s="19">
        <f t="shared" si="1"/>
        <v>17.685447574595766</v>
      </c>
      <c r="O53" s="11"/>
      <c r="P53" s="2">
        <f>--2795.75</f>
        <v>2795.75</v>
      </c>
      <c r="Q53" s="2"/>
      <c r="R53" s="19"/>
      <c r="S53" s="2"/>
      <c r="T53" s="2">
        <f>--2120.77</f>
        <v>2120.77</v>
      </c>
      <c r="U53" s="2"/>
      <c r="V53" s="19"/>
      <c r="W53" s="2"/>
      <c r="X53" s="2">
        <f t="shared" si="2"/>
        <v>674.98</v>
      </c>
      <c r="Y53" s="2"/>
      <c r="Z53" s="19">
        <f t="shared" si="3"/>
        <v>0.31827119395313969</v>
      </c>
    </row>
    <row r="54" spans="1:26" s="24" customFormat="1" hidden="1" outlineLevel="1" x14ac:dyDescent="0.25">
      <c r="A54" s="44"/>
      <c r="B54" s="11" t="str">
        <f>CONCATENATE("          ", "4091", " - ", "TAXABLE SALES-GRAD ANNOUNCEMEN")</f>
        <v xml:space="preserve">          4091 - TAXABLE SALES-GRAD ANNOUNCEMEN</v>
      </c>
      <c r="C54" s="11"/>
      <c r="D54" s="2">
        <f>0</f>
        <v>0</v>
      </c>
      <c r="E54" s="2"/>
      <c r="F54" s="19"/>
      <c r="G54" s="2"/>
      <c r="H54" s="2">
        <f>-471.6</f>
        <v>-471.6</v>
      </c>
      <c r="I54" s="2"/>
      <c r="J54" s="19"/>
      <c r="K54" s="2"/>
      <c r="L54" s="2">
        <f t="shared" si="0"/>
        <v>471.6</v>
      </c>
      <c r="M54" s="2"/>
      <c r="N54" s="19">
        <f t="shared" si="1"/>
        <v>-1</v>
      </c>
      <c r="O54" s="11"/>
      <c r="P54" s="2">
        <f>0</f>
        <v>0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0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"4092", " - ", "TAXABLE SALES-GRAD MERCH")</f>
        <v xml:space="preserve">          4092 - TAXABLE SALES-GRAD MERCH</v>
      </c>
      <c r="C55" s="11"/>
      <c r="D55" s="2">
        <f>--13527.29</f>
        <v>13527.29</v>
      </c>
      <c r="E55" s="2"/>
      <c r="F55" s="19"/>
      <c r="G55" s="2"/>
      <c r="H55" s="2">
        <f>--99813.43</f>
        <v>99813.43</v>
      </c>
      <c r="I55" s="2"/>
      <c r="J55" s="19"/>
      <c r="K55" s="2"/>
      <c r="L55" s="2">
        <f t="shared" si="0"/>
        <v>-86286.139999999985</v>
      </c>
      <c r="M55" s="2"/>
      <c r="N55" s="19">
        <f t="shared" si="1"/>
        <v>-0.86447424960749264</v>
      </c>
      <c r="O55" s="11"/>
      <c r="P55" s="2">
        <f>--35353.71</f>
        <v>35353.71</v>
      </c>
      <c r="Q55" s="2"/>
      <c r="R55" s="19"/>
      <c r="S55" s="2"/>
      <c r="T55" s="2">
        <f>--222837.42</f>
        <v>222837.42</v>
      </c>
      <c r="U55" s="2"/>
      <c r="V55" s="19"/>
      <c r="W55" s="2"/>
      <c r="X55" s="2">
        <f t="shared" si="2"/>
        <v>-187483.71000000002</v>
      </c>
      <c r="Y55" s="2"/>
      <c r="Z55" s="19">
        <f t="shared" si="3"/>
        <v>-0.84134751694755761</v>
      </c>
    </row>
    <row r="56" spans="1:26" s="24" customFormat="1" hidden="1" outlineLevel="1" x14ac:dyDescent="0.25">
      <c r="A56" s="44"/>
      <c r="B56" s="11" t="str">
        <f>CONCATENATE("          ", "4095", " - ", "TAXABLE SALES-CUSTOMER SERVICE")</f>
        <v xml:space="preserve">          4095 - TAXABLE SALES-CUSTOMER SERVICE</v>
      </c>
      <c r="C56" s="11"/>
      <c r="D56" s="2">
        <f>0</f>
        <v>0</v>
      </c>
      <c r="E56" s="2"/>
      <c r="F56" s="19"/>
      <c r="G56" s="2"/>
      <c r="H56" s="2">
        <f>--172.26</f>
        <v>172.26</v>
      </c>
      <c r="I56" s="2"/>
      <c r="J56" s="19"/>
      <c r="K56" s="2"/>
      <c r="L56" s="2">
        <f t="shared" si="0"/>
        <v>-172.26</v>
      </c>
      <c r="M56" s="2"/>
      <c r="N56" s="19">
        <f t="shared" si="1"/>
        <v>-1</v>
      </c>
      <c r="O56" s="11"/>
      <c r="P56" s="2">
        <f>--309.26</f>
        <v>309.26</v>
      </c>
      <c r="Q56" s="2"/>
      <c r="R56" s="19"/>
      <c r="S56" s="2"/>
      <c r="T56" s="2">
        <f>--2217.3</f>
        <v>2217.3000000000002</v>
      </c>
      <c r="U56" s="2"/>
      <c r="V56" s="19"/>
      <c r="W56" s="2"/>
      <c r="X56" s="2">
        <f t="shared" si="2"/>
        <v>-1908.0400000000002</v>
      </c>
      <c r="Y56" s="2"/>
      <c r="Z56" s="19">
        <f t="shared" si="3"/>
        <v>-0.86052406079466015</v>
      </c>
    </row>
    <row r="57" spans="1:26" s="24" customFormat="1" hidden="1" outlineLevel="1" x14ac:dyDescent="0.25">
      <c r="A57" s="44"/>
      <c r="B57" s="11" t="str">
        <f>CONCATENATE("          ", "4100", " - ", "NON-TAXABLE SALES")</f>
        <v xml:space="preserve">          4100 - NON-TAXABLE SALES</v>
      </c>
      <c r="C57" s="11"/>
      <c r="D57" s="2">
        <f>--29622.55</f>
        <v>29622.55</v>
      </c>
      <c r="E57" s="2"/>
      <c r="F57" s="19"/>
      <c r="G57" s="2"/>
      <c r="H57" s="2">
        <f>--50650.71</f>
        <v>50650.71</v>
      </c>
      <c r="I57" s="2"/>
      <c r="J57" s="19"/>
      <c r="K57" s="2"/>
      <c r="L57" s="2">
        <f t="shared" si="0"/>
        <v>-21028.16</v>
      </c>
      <c r="M57" s="2"/>
      <c r="N57" s="19">
        <f t="shared" si="1"/>
        <v>-0.41516022184091794</v>
      </c>
      <c r="O57" s="11"/>
      <c r="P57" s="2">
        <f>--1036747.02</f>
        <v>1036747.02</v>
      </c>
      <c r="Q57" s="2"/>
      <c r="R57" s="19"/>
      <c r="S57" s="2"/>
      <c r="T57" s="2">
        <f>--1248966.6</f>
        <v>1248966.6000000001</v>
      </c>
      <c r="U57" s="2"/>
      <c r="V57" s="19"/>
      <c r="W57" s="2"/>
      <c r="X57" s="2">
        <f t="shared" si="2"/>
        <v>-212219.58000000007</v>
      </c>
      <c r="Y57" s="2"/>
      <c r="Z57" s="19">
        <f t="shared" si="3"/>
        <v>-0.1699161370688376</v>
      </c>
    </row>
    <row r="58" spans="1:26" s="24" customFormat="1" hidden="1" outlineLevel="1" x14ac:dyDescent="0.25">
      <c r="A58" s="44"/>
      <c r="B58" s="11" t="str">
        <f>CONCATENATE("          ", "4101", " - ", "NON-TAXABLE SALES-NEW TEXT")</f>
        <v xml:space="preserve">          4101 - NON-TAXABLE SALES-NEW TEXT</v>
      </c>
      <c r="C58" s="11"/>
      <c r="D58" s="2">
        <f>--7118.9</f>
        <v>7118.9</v>
      </c>
      <c r="E58" s="2"/>
      <c r="F58" s="19"/>
      <c r="G58" s="2"/>
      <c r="H58" s="2">
        <f>--14829.63</f>
        <v>14829.63</v>
      </c>
      <c r="I58" s="2"/>
      <c r="J58" s="19"/>
      <c r="K58" s="2"/>
      <c r="L58" s="2">
        <f t="shared" si="0"/>
        <v>-7710.73</v>
      </c>
      <c r="M58" s="2"/>
      <c r="N58" s="19">
        <f t="shared" si="1"/>
        <v>-0.51995430769344886</v>
      </c>
      <c r="O58" s="11"/>
      <c r="P58" s="2">
        <f>--151282.34</f>
        <v>151282.34</v>
      </c>
      <c r="Q58" s="2"/>
      <c r="R58" s="19"/>
      <c r="S58" s="2"/>
      <c r="T58" s="2">
        <f>--280944.1</f>
        <v>280944.09999999998</v>
      </c>
      <c r="U58" s="2"/>
      <c r="V58" s="19"/>
      <c r="W58" s="2"/>
      <c r="X58" s="2">
        <f t="shared" si="2"/>
        <v>-129661.75999999998</v>
      </c>
      <c r="Y58" s="2"/>
      <c r="Z58" s="19">
        <f t="shared" si="3"/>
        <v>-0.4615215624745278</v>
      </c>
    </row>
    <row r="59" spans="1:26" s="24" customFormat="1" hidden="1" outlineLevel="1" x14ac:dyDescent="0.25">
      <c r="A59" s="44"/>
      <c r="B59" s="11" t="str">
        <f>CONCATENATE("          ", "4102", " - ", "NON-TAXABLE SALES-USED TEXT")</f>
        <v xml:space="preserve">          4102 - NON-TAXABLE SALES-USED TEXT</v>
      </c>
      <c r="C59" s="11"/>
      <c r="D59" s="2">
        <f>--565.56</f>
        <v>565.55999999999995</v>
      </c>
      <c r="E59" s="2"/>
      <c r="F59" s="19"/>
      <c r="G59" s="2"/>
      <c r="H59" s="2">
        <f>--3752.48</f>
        <v>3752.48</v>
      </c>
      <c r="I59" s="2"/>
      <c r="J59" s="19"/>
      <c r="K59" s="2"/>
      <c r="L59" s="2">
        <f t="shared" si="0"/>
        <v>-3186.92</v>
      </c>
      <c r="M59" s="2"/>
      <c r="N59" s="19">
        <f t="shared" si="1"/>
        <v>-0.84928367373043967</v>
      </c>
      <c r="O59" s="11"/>
      <c r="P59" s="2">
        <f>--70225.46</f>
        <v>70225.460000000006</v>
      </c>
      <c r="Q59" s="2"/>
      <c r="R59" s="19"/>
      <c r="S59" s="2"/>
      <c r="T59" s="2">
        <f>--96349.95</f>
        <v>96349.95</v>
      </c>
      <c r="U59" s="2"/>
      <c r="V59" s="19"/>
      <c r="W59" s="2"/>
      <c r="X59" s="2">
        <f t="shared" si="2"/>
        <v>-26124.489999999991</v>
      </c>
      <c r="Y59" s="2"/>
      <c r="Z59" s="19">
        <f t="shared" si="3"/>
        <v>-0.27114170790955255</v>
      </c>
    </row>
    <row r="60" spans="1:26" s="24" customFormat="1" hidden="1" outlineLevel="1" x14ac:dyDescent="0.25">
      <c r="A60" s="44"/>
      <c r="B60" s="11" t="str">
        <f>CONCATENATE("          ", "4103", " - ", "NON-TAXABLE SALES-RENTAL TEXT")</f>
        <v xml:space="preserve">          4103 - NON-TAXABLE SALES-RENTAL TEXT</v>
      </c>
      <c r="C60" s="11"/>
      <c r="D60" s="2">
        <f>0</f>
        <v>0</v>
      </c>
      <c r="E60" s="2"/>
      <c r="F60" s="19"/>
      <c r="G60" s="2"/>
      <c r="H60" s="2">
        <f>--321</f>
        <v>321</v>
      </c>
      <c r="I60" s="2"/>
      <c r="J60" s="19"/>
      <c r="K60" s="2"/>
      <c r="L60" s="2">
        <f t="shared" si="0"/>
        <v>-321</v>
      </c>
      <c r="M60" s="2"/>
      <c r="N60" s="19">
        <f t="shared" si="1"/>
        <v>-1</v>
      </c>
      <c r="O60" s="11"/>
      <c r="P60" s="2">
        <f>--664.97</f>
        <v>664.97</v>
      </c>
      <c r="Q60" s="2"/>
      <c r="R60" s="19"/>
      <c r="S60" s="2"/>
      <c r="T60" s="2">
        <f>--830.85</f>
        <v>830.85</v>
      </c>
      <c r="U60" s="2"/>
      <c r="V60" s="19"/>
      <c r="W60" s="2"/>
      <c r="X60" s="2">
        <f t="shared" si="2"/>
        <v>-165.88</v>
      </c>
      <c r="Y60" s="2"/>
      <c r="Z60" s="19">
        <f t="shared" si="3"/>
        <v>-0.19965095986038392</v>
      </c>
    </row>
    <row r="61" spans="1:26" s="24" customFormat="1" hidden="1" outlineLevel="1" x14ac:dyDescent="0.25">
      <c r="A61" s="44"/>
      <c r="B61" s="11" t="str">
        <f>CONCATENATE("          ", "4104", " - ", "NON-TAXABLE SALES-DIGITAL TEXT")</f>
        <v xml:space="preserve">          4104 - NON-TAXABLE SALES-DIGITAL TEXT</v>
      </c>
      <c r="C61" s="11"/>
      <c r="D61" s="2">
        <f>--4949.29</f>
        <v>4949.29</v>
      </c>
      <c r="E61" s="2"/>
      <c r="F61" s="19"/>
      <c r="G61" s="2"/>
      <c r="H61" s="2">
        <f>--4706.96</f>
        <v>4706.96</v>
      </c>
      <c r="I61" s="2"/>
      <c r="J61" s="19"/>
      <c r="K61" s="2"/>
      <c r="L61" s="2">
        <f t="shared" si="0"/>
        <v>242.32999999999993</v>
      </c>
      <c r="M61" s="2"/>
      <c r="N61" s="19">
        <f t="shared" si="1"/>
        <v>5.1483335316212568E-2</v>
      </c>
      <c r="O61" s="11"/>
      <c r="P61" s="2">
        <f>--531803.38</f>
        <v>531803.38</v>
      </c>
      <c r="Q61" s="2"/>
      <c r="R61" s="19"/>
      <c r="S61" s="2"/>
      <c r="T61" s="2">
        <f>--533442.25</f>
        <v>533442.25</v>
      </c>
      <c r="U61" s="2"/>
      <c r="V61" s="19"/>
      <c r="W61" s="2"/>
      <c r="X61" s="2">
        <f t="shared" si="2"/>
        <v>-1638.8699999999953</v>
      </c>
      <c r="Y61" s="2"/>
      <c r="Z61" s="19">
        <f t="shared" si="3"/>
        <v>-3.0722538381614791E-3</v>
      </c>
    </row>
    <row r="62" spans="1:26" s="24" customFormat="1" hidden="1" outlineLevel="1" x14ac:dyDescent="0.25">
      <c r="A62" s="44"/>
      <c r="B62" s="11" t="str">
        <f>CONCATENATE("          ", "4111", " - ", "NON-TAXABLE SALES-NO VALUE TEX")</f>
        <v xml:space="preserve">          4111 - NON-TAXABLE SALES-NO VALUE TEX</v>
      </c>
      <c r="C62" s="11"/>
      <c r="D62" s="2">
        <f>--340.46</f>
        <v>340.46</v>
      </c>
      <c r="E62" s="2"/>
      <c r="F62" s="19"/>
      <c r="G62" s="2"/>
      <c r="H62" s="2">
        <f>--2277.54</f>
        <v>2277.54</v>
      </c>
      <c r="I62" s="2"/>
      <c r="J62" s="19"/>
      <c r="K62" s="2"/>
      <c r="L62" s="2">
        <f t="shared" si="0"/>
        <v>-1937.08</v>
      </c>
      <c r="M62" s="2"/>
      <c r="N62" s="19">
        <f t="shared" si="1"/>
        <v>-0.85051415123334828</v>
      </c>
      <c r="O62" s="11"/>
      <c r="P62" s="2">
        <f>--15663.46</f>
        <v>15663.46</v>
      </c>
      <c r="Q62" s="2"/>
      <c r="R62" s="19"/>
      <c r="S62" s="2"/>
      <c r="T62" s="2">
        <f>--21891.78</f>
        <v>21891.78</v>
      </c>
      <c r="U62" s="2"/>
      <c r="V62" s="19"/>
      <c r="W62" s="2"/>
      <c r="X62" s="2">
        <f t="shared" si="2"/>
        <v>-6228.32</v>
      </c>
      <c r="Y62" s="2"/>
      <c r="Z62" s="19">
        <f t="shared" si="3"/>
        <v>-0.28450496030930333</v>
      </c>
    </row>
    <row r="63" spans="1:26" s="24" customFormat="1" hidden="1" outlineLevel="1" x14ac:dyDescent="0.25">
      <c r="A63" s="44"/>
      <c r="B63" s="11" t="str">
        <f>CONCATENATE("          ", "4113", " - ", "NON-TAXABLE SALES-TRADE BOOKS")</f>
        <v xml:space="preserve">          4113 - NON-TAXABLE SALES-TRADE BOOKS</v>
      </c>
      <c r="C63" s="11"/>
      <c r="D63" s="2">
        <f>--24.24</f>
        <v>24.24</v>
      </c>
      <c r="E63" s="2"/>
      <c r="F63" s="19"/>
      <c r="G63" s="2"/>
      <c r="H63" s="2">
        <f t="shared" ref="H63:H65" si="9">0</f>
        <v>0</v>
      </c>
      <c r="I63" s="2"/>
      <c r="J63" s="19"/>
      <c r="K63" s="2"/>
      <c r="L63" s="2">
        <f t="shared" si="0"/>
        <v>24.24</v>
      </c>
      <c r="M63" s="2"/>
      <c r="N63" s="19">
        <f t="shared" si="1"/>
        <v>0</v>
      </c>
      <c r="O63" s="11"/>
      <c r="P63" s="2">
        <f>--8266.16</f>
        <v>8266.16</v>
      </c>
      <c r="Q63" s="2"/>
      <c r="R63" s="19"/>
      <c r="S63" s="2"/>
      <c r="T63" s="2">
        <f>--3773</f>
        <v>3773</v>
      </c>
      <c r="U63" s="2"/>
      <c r="V63" s="19"/>
      <c r="W63" s="2"/>
      <c r="X63" s="2">
        <f t="shared" si="2"/>
        <v>4493.16</v>
      </c>
      <c r="Y63" s="2"/>
      <c r="Z63" s="19">
        <f t="shared" si="3"/>
        <v>1.1908719851576994</v>
      </c>
    </row>
    <row r="64" spans="1:26" s="24" customFormat="1" hidden="1" outlineLevel="1" x14ac:dyDescent="0.25">
      <c r="A64" s="44"/>
      <c r="B64" s="11" t="str">
        <f>CONCATENATE("          ", "4114", " - ", "NON-TAXABLE SALES-REMAINDERS")</f>
        <v xml:space="preserve">          4114 - NON-TAXABLE SALES-REMAINDERS</v>
      </c>
      <c r="C64" s="11"/>
      <c r="D64" s="2">
        <f>--3.19</f>
        <v>3.19</v>
      </c>
      <c r="E64" s="2"/>
      <c r="F64" s="19"/>
      <c r="G64" s="2"/>
      <c r="H64" s="2">
        <f t="shared" si="9"/>
        <v>0</v>
      </c>
      <c r="I64" s="2"/>
      <c r="J64" s="19"/>
      <c r="K64" s="2"/>
      <c r="L64" s="2">
        <f t="shared" si="0"/>
        <v>3.19</v>
      </c>
      <c r="M64" s="2"/>
      <c r="N64" s="19">
        <f t="shared" si="1"/>
        <v>0</v>
      </c>
      <c r="O64" s="11"/>
      <c r="P64" s="2">
        <f>--3.19</f>
        <v>3.19</v>
      </c>
      <c r="Q64" s="2"/>
      <c r="R64" s="19"/>
      <c r="S64" s="2"/>
      <c r="T64" s="2">
        <f>0</f>
        <v>0</v>
      </c>
      <c r="U64" s="2"/>
      <c r="V64" s="19"/>
      <c r="W64" s="2"/>
      <c r="X64" s="2">
        <f t="shared" si="2"/>
        <v>3.19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"4118", " - ", "NON-TAXABLE SALES-STUDY GUIDES")</f>
        <v xml:space="preserve">          4118 - NON-TAXABLE SALES-STUDY GUIDES</v>
      </c>
      <c r="C65" s="11"/>
      <c r="D65" s="2">
        <f>--40</f>
        <v>40</v>
      </c>
      <c r="E65" s="2"/>
      <c r="F65" s="19"/>
      <c r="G65" s="2"/>
      <c r="H65" s="2">
        <f t="shared" si="9"/>
        <v>0</v>
      </c>
      <c r="I65" s="2"/>
      <c r="J65" s="19"/>
      <c r="K65" s="2"/>
      <c r="L65" s="2">
        <f t="shared" si="0"/>
        <v>40</v>
      </c>
      <c r="M65" s="2"/>
      <c r="N65" s="19">
        <f t="shared" si="1"/>
        <v>0</v>
      </c>
      <c r="O65" s="11"/>
      <c r="P65" s="2">
        <f>--115.94</f>
        <v>115.94</v>
      </c>
      <c r="Q65" s="2"/>
      <c r="R65" s="19"/>
      <c r="S65" s="2"/>
      <c r="T65" s="2">
        <f>--266.48</f>
        <v>266.48</v>
      </c>
      <c r="U65" s="2"/>
      <c r="V65" s="19"/>
      <c r="W65" s="2"/>
      <c r="X65" s="2">
        <f t="shared" si="2"/>
        <v>-150.54000000000002</v>
      </c>
      <c r="Y65" s="2"/>
      <c r="Z65" s="19">
        <f t="shared" si="3"/>
        <v>-0.56492044431101773</v>
      </c>
    </row>
    <row r="66" spans="1:26" s="24" customFormat="1" hidden="1" outlineLevel="1" x14ac:dyDescent="0.25">
      <c r="A66" s="44"/>
      <c r="B66" s="11" t="str">
        <f>CONCATENATE("          ", "4125", " - ", "NON-TAXABLE SALES-TEST FORMS")</f>
        <v xml:space="preserve">          4125 - NON-TAXABLE SALES-TEST FORMS</v>
      </c>
      <c r="C66" s="11"/>
      <c r="D66" s="2">
        <f>0</f>
        <v>0</v>
      </c>
      <c r="E66" s="2"/>
      <c r="F66" s="19"/>
      <c r="G66" s="2"/>
      <c r="H66" s="2">
        <f>--13.02</f>
        <v>13.02</v>
      </c>
      <c r="I66" s="2"/>
      <c r="J66" s="19"/>
      <c r="K66" s="2"/>
      <c r="L66" s="2">
        <f t="shared" si="0"/>
        <v>-13.02</v>
      </c>
      <c r="M66" s="2"/>
      <c r="N66" s="19">
        <f t="shared" si="1"/>
        <v>-1</v>
      </c>
      <c r="O66" s="11"/>
      <c r="P66" s="2">
        <f>--267.61</f>
        <v>267.61</v>
      </c>
      <c r="Q66" s="2"/>
      <c r="R66" s="19"/>
      <c r="S66" s="2"/>
      <c r="T66" s="2">
        <f>--318.21</f>
        <v>318.20999999999998</v>
      </c>
      <c r="U66" s="2"/>
      <c r="V66" s="19"/>
      <c r="W66" s="2"/>
      <c r="X66" s="2">
        <f t="shared" si="2"/>
        <v>-50.599999999999966</v>
      </c>
      <c r="Y66" s="2"/>
      <c r="Z66" s="19">
        <f t="shared" si="3"/>
        <v>-0.15901448728826867</v>
      </c>
    </row>
    <row r="67" spans="1:26" s="24" customFormat="1" hidden="1" outlineLevel="1" x14ac:dyDescent="0.25">
      <c r="A67" s="44"/>
      <c r="B67" s="11" t="str">
        <f>CONCATENATE("          ", "4126", " - ", "NON-TAXABLE SALES-WRITING INST")</f>
        <v xml:space="preserve">          4126 - NON-TAXABLE SALES-WRITING INST</v>
      </c>
      <c r="C67" s="11"/>
      <c r="D67" s="2">
        <f>--110.56</f>
        <v>110.56</v>
      </c>
      <c r="E67" s="2"/>
      <c r="F67" s="19"/>
      <c r="G67" s="2"/>
      <c r="H67" s="2">
        <f>--352.38</f>
        <v>352.38</v>
      </c>
      <c r="I67" s="2"/>
      <c r="J67" s="19"/>
      <c r="K67" s="2"/>
      <c r="L67" s="2">
        <f t="shared" si="0"/>
        <v>-241.82</v>
      </c>
      <c r="M67" s="2"/>
      <c r="N67" s="19">
        <f t="shared" si="1"/>
        <v>-0.68624780066973157</v>
      </c>
      <c r="O67" s="11"/>
      <c r="P67" s="2">
        <f>--3133.42</f>
        <v>3133.42</v>
      </c>
      <c r="Q67" s="2"/>
      <c r="R67" s="19"/>
      <c r="S67" s="2"/>
      <c r="T67" s="2">
        <f>--4011.52</f>
        <v>4011.52</v>
      </c>
      <c r="U67" s="2"/>
      <c r="V67" s="19"/>
      <c r="W67" s="2"/>
      <c r="X67" s="2">
        <f t="shared" si="2"/>
        <v>-878.09999999999991</v>
      </c>
      <c r="Y67" s="2"/>
      <c r="Z67" s="19">
        <f t="shared" si="3"/>
        <v>-0.21889458359923419</v>
      </c>
    </row>
    <row r="68" spans="1:26" s="24" customFormat="1" hidden="1" outlineLevel="1" x14ac:dyDescent="0.25">
      <c r="A68" s="44"/>
      <c r="B68" s="11" t="str">
        <f>CONCATENATE("          ", "4127", " - ", "NON-TAXABLE SALES-SCHOOL SUPPL")</f>
        <v xml:space="preserve">          4127 - NON-TAXABLE SALES-SCHOOL SUPPL</v>
      </c>
      <c r="C68" s="11"/>
      <c r="D68" s="2">
        <f>--226.84</f>
        <v>226.84</v>
      </c>
      <c r="E68" s="2"/>
      <c r="F68" s="19"/>
      <c r="G68" s="2"/>
      <c r="H68" s="2">
        <f>--213.9</f>
        <v>213.9</v>
      </c>
      <c r="I68" s="2"/>
      <c r="J68" s="19"/>
      <c r="K68" s="2"/>
      <c r="L68" s="2">
        <f t="shared" si="0"/>
        <v>12.939999999999998</v>
      </c>
      <c r="M68" s="2"/>
      <c r="N68" s="19">
        <f t="shared" si="1"/>
        <v>6.0495558672276753E-2</v>
      </c>
      <c r="O68" s="11"/>
      <c r="P68" s="2">
        <f>--6373.71</f>
        <v>6373.71</v>
      </c>
      <c r="Q68" s="2"/>
      <c r="R68" s="19"/>
      <c r="S68" s="2"/>
      <c r="T68" s="2">
        <f>--12544.26</f>
        <v>12544.26</v>
      </c>
      <c r="U68" s="2"/>
      <c r="V68" s="19"/>
      <c r="W68" s="2"/>
      <c r="X68" s="2">
        <f t="shared" si="2"/>
        <v>-6170.55</v>
      </c>
      <c r="Y68" s="2"/>
      <c r="Z68" s="19">
        <f t="shared" si="3"/>
        <v>-0.49190227243376655</v>
      </c>
    </row>
    <row r="69" spans="1:26" s="24" customFormat="1" hidden="1" outlineLevel="1" x14ac:dyDescent="0.25">
      <c r="A69" s="44"/>
      <c r="B69" s="11" t="str">
        <f>CONCATENATE("          ", "4128", " - ", "NON-TAXABLE SALES-ART/TECH")</f>
        <v xml:space="preserve">          4128 - NON-TAXABLE SALES-ART/TECH</v>
      </c>
      <c r="C69" s="11"/>
      <c r="D69" s="2">
        <f>0</f>
        <v>0</v>
      </c>
      <c r="E69" s="2"/>
      <c r="F69" s="19"/>
      <c r="G69" s="2"/>
      <c r="H69" s="2">
        <f>--25.14</f>
        <v>25.14</v>
      </c>
      <c r="I69" s="2"/>
      <c r="J69" s="19"/>
      <c r="K69" s="2"/>
      <c r="L69" s="2">
        <f t="shared" si="0"/>
        <v>-25.14</v>
      </c>
      <c r="M69" s="2"/>
      <c r="N69" s="19">
        <f t="shared" si="1"/>
        <v>-1</v>
      </c>
      <c r="O69" s="11"/>
      <c r="P69" s="2">
        <f>--730.62</f>
        <v>730.62</v>
      </c>
      <c r="Q69" s="2"/>
      <c r="R69" s="19"/>
      <c r="S69" s="2"/>
      <c r="T69" s="2">
        <f>--877.96</f>
        <v>877.96</v>
      </c>
      <c r="U69" s="2"/>
      <c r="V69" s="19"/>
      <c r="W69" s="2"/>
      <c r="X69" s="2">
        <f t="shared" si="2"/>
        <v>-147.34000000000003</v>
      </c>
      <c r="Y69" s="2"/>
      <c r="Z69" s="19">
        <f t="shared" si="3"/>
        <v>-0.16782085744225253</v>
      </c>
    </row>
    <row r="70" spans="1:26" s="24" customFormat="1" hidden="1" outlineLevel="1" x14ac:dyDescent="0.25">
      <c r="A70" s="44"/>
      <c r="B70" s="11" t="str">
        <f>CONCATENATE("          ", "4131", " - ", "NON-TAXABLE SALES-FOOD")</f>
        <v xml:space="preserve">          4131 - NON-TAXABLE SALES-FOOD</v>
      </c>
      <c r="C70" s="11"/>
      <c r="D70" s="2">
        <f>--8.64</f>
        <v>8.64</v>
      </c>
      <c r="E70" s="2"/>
      <c r="F70" s="19"/>
      <c r="G70" s="2"/>
      <c r="H70" s="2">
        <f>--2994.45</f>
        <v>2994.45</v>
      </c>
      <c r="I70" s="2"/>
      <c r="J70" s="19"/>
      <c r="K70" s="2"/>
      <c r="L70" s="2">
        <f t="shared" si="0"/>
        <v>-2985.81</v>
      </c>
      <c r="M70" s="2"/>
      <c r="N70" s="19">
        <f t="shared" si="1"/>
        <v>-0.99711466212493116</v>
      </c>
      <c r="O70" s="11"/>
      <c r="P70" s="2">
        <f>--57896.18</f>
        <v>57896.18</v>
      </c>
      <c r="Q70" s="2"/>
      <c r="R70" s="19"/>
      <c r="S70" s="2"/>
      <c r="T70" s="2">
        <f>--74040.33</f>
        <v>74040.33</v>
      </c>
      <c r="U70" s="2"/>
      <c r="V70" s="19"/>
      <c r="W70" s="2"/>
      <c r="X70" s="2">
        <f t="shared" si="2"/>
        <v>-16144.150000000001</v>
      </c>
      <c r="Y70" s="2"/>
      <c r="Z70" s="19">
        <f t="shared" si="3"/>
        <v>-0.21804535447100251</v>
      </c>
    </row>
    <row r="71" spans="1:26" s="24" customFormat="1" hidden="1" outlineLevel="1" x14ac:dyDescent="0.25">
      <c r="A71" s="44"/>
      <c r="B71" s="11" t="str">
        <f>CONCATENATE("          ", "4132", " - ", "NON-TAXABLE SALES-JUICE")</f>
        <v xml:space="preserve">          4132 - NON-TAXABLE SALES-JUICE</v>
      </c>
      <c r="C71" s="11"/>
      <c r="D71" s="2">
        <f>0</f>
        <v>0</v>
      </c>
      <c r="E71" s="2"/>
      <c r="F71" s="19"/>
      <c r="G71" s="2"/>
      <c r="H71" s="2">
        <f>--67052.73</f>
        <v>67052.73</v>
      </c>
      <c r="I71" s="2"/>
      <c r="J71" s="19"/>
      <c r="K71" s="2"/>
      <c r="L71" s="2">
        <f t="shared" si="0"/>
        <v>-67052.73</v>
      </c>
      <c r="M71" s="2"/>
      <c r="N71" s="19">
        <f t="shared" si="1"/>
        <v>-1</v>
      </c>
      <c r="O71" s="11"/>
      <c r="P71" s="2">
        <f>--1109977.78</f>
        <v>1109977.78</v>
      </c>
      <c r="Q71" s="2"/>
      <c r="R71" s="19"/>
      <c r="S71" s="2"/>
      <c r="T71" s="2">
        <f>--1303589.77</f>
        <v>1303589.77</v>
      </c>
      <c r="U71" s="2"/>
      <c r="V71" s="19"/>
      <c r="W71" s="2"/>
      <c r="X71" s="2">
        <f t="shared" si="2"/>
        <v>-193611.99</v>
      </c>
      <c r="Y71" s="2"/>
      <c r="Z71" s="19">
        <f t="shared" si="3"/>
        <v>-0.14852217657399996</v>
      </c>
    </row>
    <row r="72" spans="1:26" s="24" customFormat="1" hidden="1" outlineLevel="1" x14ac:dyDescent="0.25">
      <c r="A72" s="44"/>
      <c r="B72" s="11" t="str">
        <f>CONCATENATE("          ", "4133", " - ", "NON-TAXABLE SALES-CANDY")</f>
        <v xml:space="preserve">          4133 - NON-TAXABLE SALES-CANDY</v>
      </c>
      <c r="C72" s="11"/>
      <c r="D72" s="2">
        <f>--48.27</f>
        <v>48.27</v>
      </c>
      <c r="E72" s="2"/>
      <c r="F72" s="19"/>
      <c r="G72" s="2"/>
      <c r="H72" s="2">
        <f>--3514.86</f>
        <v>3514.86</v>
      </c>
      <c r="I72" s="2"/>
      <c r="J72" s="19"/>
      <c r="K72" s="2"/>
      <c r="L72" s="2">
        <f t="shared" si="0"/>
        <v>-3466.59</v>
      </c>
      <c r="M72" s="2"/>
      <c r="N72" s="19">
        <f t="shared" si="1"/>
        <v>-0.9862668783393933</v>
      </c>
      <c r="O72" s="11"/>
      <c r="P72" s="2">
        <f>--18138.32</f>
        <v>18138.32</v>
      </c>
      <c r="Q72" s="2"/>
      <c r="R72" s="19"/>
      <c r="S72" s="2"/>
      <c r="T72" s="2">
        <f>--23474.32</f>
        <v>23474.32</v>
      </c>
      <c r="U72" s="2"/>
      <c r="V72" s="19"/>
      <c r="W72" s="2"/>
      <c r="X72" s="2">
        <f t="shared" si="2"/>
        <v>-5336</v>
      </c>
      <c r="Y72" s="2"/>
      <c r="Z72" s="19">
        <f t="shared" si="3"/>
        <v>-0.22731222885263555</v>
      </c>
    </row>
    <row r="73" spans="1:26" s="24" customFormat="1" hidden="1" outlineLevel="1" x14ac:dyDescent="0.25">
      <c r="A73" s="44"/>
      <c r="B73" s="11" t="str">
        <f>CONCATENATE("          ", "4134", " - ", "NON-TAXABLE SALES-SODA")</f>
        <v xml:space="preserve">          4134 - NON-TAXABLE SALES-SODA</v>
      </c>
      <c r="C73" s="11"/>
      <c r="D73" s="2">
        <f>--23.64</f>
        <v>23.64</v>
      </c>
      <c r="E73" s="2"/>
      <c r="F73" s="19"/>
      <c r="G73" s="2"/>
      <c r="H73" s="2">
        <f>--1.89</f>
        <v>1.89</v>
      </c>
      <c r="I73" s="2"/>
      <c r="J73" s="19"/>
      <c r="K73" s="2"/>
      <c r="L73" s="2">
        <f t="shared" si="0"/>
        <v>21.75</v>
      </c>
      <c r="M73" s="2"/>
      <c r="N73" s="19">
        <f t="shared" si="1"/>
        <v>11.507936507936508</v>
      </c>
      <c r="O73" s="11"/>
      <c r="P73" s="2">
        <f>--96.73</f>
        <v>96.73</v>
      </c>
      <c r="Q73" s="2"/>
      <c r="R73" s="19"/>
      <c r="S73" s="2"/>
      <c r="T73" s="2">
        <f>--167.19</f>
        <v>167.19</v>
      </c>
      <c r="U73" s="2"/>
      <c r="V73" s="19"/>
      <c r="W73" s="2"/>
      <c r="X73" s="2">
        <f t="shared" si="2"/>
        <v>-70.459999999999994</v>
      </c>
      <c r="Y73" s="2"/>
      <c r="Z73" s="19">
        <f t="shared" si="3"/>
        <v>-0.42143668879717683</v>
      </c>
    </row>
    <row r="74" spans="1:26" s="24" customFormat="1" hidden="1" outlineLevel="1" x14ac:dyDescent="0.25">
      <c r="A74" s="44"/>
      <c r="B74" s="11" t="str">
        <f>CONCATENATE("          ", "4135", " - ", "NON-TAXABLE SALES")</f>
        <v xml:space="preserve">          4135 - NON-TAXABLE SALES</v>
      </c>
      <c r="C74" s="11"/>
      <c r="D74" s="2">
        <f>0</f>
        <v>0</v>
      </c>
      <c r="E74" s="2"/>
      <c r="F74" s="19"/>
      <c r="G74" s="2"/>
      <c r="H74" s="2">
        <f>--13.28</f>
        <v>13.28</v>
      </c>
      <c r="I74" s="2"/>
      <c r="J74" s="19"/>
      <c r="K74" s="2"/>
      <c r="L74" s="2">
        <f t="shared" si="0"/>
        <v>-13.28</v>
      </c>
      <c r="M74" s="2"/>
      <c r="N74" s="19">
        <f t="shared" si="1"/>
        <v>-1</v>
      </c>
      <c r="O74" s="11"/>
      <c r="P74" s="2">
        <f>--161.4</f>
        <v>161.4</v>
      </c>
      <c r="Q74" s="2"/>
      <c r="R74" s="19"/>
      <c r="S74" s="2"/>
      <c r="T74" s="2">
        <f>--383.81</f>
        <v>383.81</v>
      </c>
      <c r="U74" s="2"/>
      <c r="V74" s="19"/>
      <c r="W74" s="2"/>
      <c r="X74" s="2">
        <f t="shared" si="2"/>
        <v>-222.41</v>
      </c>
      <c r="Y74" s="2"/>
      <c r="Z74" s="19">
        <f t="shared" si="3"/>
        <v>-0.57947942992626555</v>
      </c>
    </row>
    <row r="75" spans="1:26" s="24" customFormat="1" hidden="1" outlineLevel="1" x14ac:dyDescent="0.25">
      <c r="A75" s="44"/>
      <c r="B75" s="11" t="str">
        <f>CONCATENATE("          ", "4137", " - ", "NON-TAXABLE SALES-WATER")</f>
        <v xml:space="preserve">          4137 - NON-TAXABLE SALES-WATER</v>
      </c>
      <c r="C75" s="11"/>
      <c r="D75" s="2">
        <f>--2.24</f>
        <v>2.2400000000000002</v>
      </c>
      <c r="E75" s="2"/>
      <c r="F75" s="19"/>
      <c r="G75" s="2"/>
      <c r="H75" s="2">
        <f>--561.15</f>
        <v>561.15</v>
      </c>
      <c r="I75" s="2"/>
      <c r="J75" s="19"/>
      <c r="K75" s="2"/>
      <c r="L75" s="2">
        <f t="shared" si="0"/>
        <v>-558.91</v>
      </c>
      <c r="M75" s="2"/>
      <c r="N75" s="19">
        <f t="shared" si="1"/>
        <v>-0.9960081974516618</v>
      </c>
      <c r="O75" s="11"/>
      <c r="P75" s="2">
        <f>--10094.74</f>
        <v>10094.74</v>
      </c>
      <c r="Q75" s="2"/>
      <c r="R75" s="19"/>
      <c r="S75" s="2"/>
      <c r="T75" s="2">
        <f>--12383.68</f>
        <v>12383.68</v>
      </c>
      <c r="U75" s="2"/>
      <c r="V75" s="19"/>
      <c r="W75" s="2"/>
      <c r="X75" s="2">
        <f t="shared" si="2"/>
        <v>-2288.9400000000005</v>
      </c>
      <c r="Y75" s="2"/>
      <c r="Z75" s="19">
        <f t="shared" si="3"/>
        <v>-0.18483520246001192</v>
      </c>
    </row>
    <row r="76" spans="1:26" s="24" customFormat="1" hidden="1" outlineLevel="1" x14ac:dyDescent="0.25">
      <c r="A76" s="44"/>
      <c r="B76" s="11" t="str">
        <f>CONCATENATE("          ", "4140", " - ", "NON-TAXABLE SALES-LOGO CLOTHIN")</f>
        <v xml:space="preserve">          4140 - NON-TAXABLE SALES-LOGO CLOTHIN</v>
      </c>
      <c r="C76" s="11"/>
      <c r="D76" s="2">
        <f>--56556.05</f>
        <v>56556.05</v>
      </c>
      <c r="E76" s="2"/>
      <c r="F76" s="19"/>
      <c r="G76" s="2"/>
      <c r="H76" s="2">
        <f>--8734.95</f>
        <v>8734.9500000000007</v>
      </c>
      <c r="I76" s="2"/>
      <c r="J76" s="19"/>
      <c r="K76" s="2"/>
      <c r="L76" s="2">
        <f t="shared" si="0"/>
        <v>47821.100000000006</v>
      </c>
      <c r="M76" s="2"/>
      <c r="N76" s="19">
        <f t="shared" si="1"/>
        <v>5.4746850296796206</v>
      </c>
      <c r="O76" s="11"/>
      <c r="P76" s="2">
        <f>--135480.76</f>
        <v>135480.76</v>
      </c>
      <c r="Q76" s="2"/>
      <c r="R76" s="19"/>
      <c r="S76" s="2"/>
      <c r="T76" s="2">
        <f>--55990.72</f>
        <v>55990.720000000001</v>
      </c>
      <c r="U76" s="2"/>
      <c r="V76" s="19"/>
      <c r="W76" s="2"/>
      <c r="X76" s="2">
        <f t="shared" si="2"/>
        <v>79490.040000000008</v>
      </c>
      <c r="Y76" s="2"/>
      <c r="Z76" s="19">
        <f t="shared" si="3"/>
        <v>1.4197002646152792</v>
      </c>
    </row>
    <row r="77" spans="1:26" s="24" customFormat="1" hidden="1" outlineLevel="1" x14ac:dyDescent="0.25">
      <c r="A77" s="44"/>
      <c r="B77" s="11" t="str">
        <f>CONCATENATE("          ", "4141", " - ", "NON-TAXABLE SALES-LOGO GIFTS")</f>
        <v xml:space="preserve">          4141 - NON-TAXABLE SALES-LOGO GIFTS</v>
      </c>
      <c r="C77" s="11"/>
      <c r="D77" s="2">
        <f>--4184.98</f>
        <v>4184.9799999999996</v>
      </c>
      <c r="E77" s="2"/>
      <c r="F77" s="19"/>
      <c r="G77" s="2"/>
      <c r="H77" s="2">
        <f>--460.45</f>
        <v>460.45</v>
      </c>
      <c r="I77" s="2"/>
      <c r="J77" s="19"/>
      <c r="K77" s="2"/>
      <c r="L77" s="2">
        <f t="shared" si="0"/>
        <v>3724.5299999999997</v>
      </c>
      <c r="M77" s="2"/>
      <c r="N77" s="19">
        <f t="shared" si="1"/>
        <v>8.0888913019871858</v>
      </c>
      <c r="O77" s="11"/>
      <c r="P77" s="2">
        <f>--16960.31</f>
        <v>16960.310000000001</v>
      </c>
      <c r="Q77" s="2"/>
      <c r="R77" s="19"/>
      <c r="S77" s="2"/>
      <c r="T77" s="2">
        <f>--6463.78</f>
        <v>6463.78</v>
      </c>
      <c r="U77" s="2"/>
      <c r="V77" s="19"/>
      <c r="W77" s="2"/>
      <c r="X77" s="2">
        <f t="shared" si="2"/>
        <v>10496.530000000002</v>
      </c>
      <c r="Y77" s="2"/>
      <c r="Z77" s="19">
        <f t="shared" si="3"/>
        <v>1.6238996376733124</v>
      </c>
    </row>
    <row r="78" spans="1:26" s="24" customFormat="1" hidden="1" outlineLevel="1" x14ac:dyDescent="0.25">
      <c r="A78" s="44"/>
      <c r="B78" s="11" t="str">
        <f>CONCATENATE("          ", "4142", " - ", "NON-TAXABLE SALES-EVERYDAY GIF")</f>
        <v xml:space="preserve">          4142 - NON-TAXABLE SALES-EVERYDAY GIF</v>
      </c>
      <c r="C78" s="11"/>
      <c r="D78" s="2">
        <f>--1204.14</f>
        <v>1204.1400000000001</v>
      </c>
      <c r="E78" s="2"/>
      <c r="F78" s="19"/>
      <c r="G78" s="2"/>
      <c r="H78" s="2">
        <f>--1539.69</f>
        <v>1539.69</v>
      </c>
      <c r="I78" s="2"/>
      <c r="J78" s="19"/>
      <c r="K78" s="2"/>
      <c r="L78" s="2">
        <f t="shared" si="0"/>
        <v>-335.54999999999995</v>
      </c>
      <c r="M78" s="2"/>
      <c r="N78" s="19">
        <f t="shared" si="1"/>
        <v>-0.21793348011612723</v>
      </c>
      <c r="O78" s="11"/>
      <c r="P78" s="2">
        <f>--15332.22</f>
        <v>15332.22</v>
      </c>
      <c r="Q78" s="2"/>
      <c r="R78" s="19"/>
      <c r="S78" s="2"/>
      <c r="T78" s="2">
        <f>--21108.88</f>
        <v>21108.880000000001</v>
      </c>
      <c r="U78" s="2"/>
      <c r="V78" s="19"/>
      <c r="W78" s="2"/>
      <c r="X78" s="2">
        <f t="shared" si="2"/>
        <v>-5776.6600000000017</v>
      </c>
      <c r="Y78" s="2"/>
      <c r="Z78" s="19">
        <f t="shared" si="3"/>
        <v>-0.27366018471846926</v>
      </c>
    </row>
    <row r="79" spans="1:26" s="24" customFormat="1" hidden="1" outlineLevel="1" x14ac:dyDescent="0.25">
      <c r="A79" s="44"/>
      <c r="B79" s="11" t="str">
        <f>CONCATENATE("          ", "4143", " - ", "NON-TAXABLE SALES-CARDS")</f>
        <v xml:space="preserve">          4143 - NON-TAXABLE SALES-CARDS</v>
      </c>
      <c r="C79" s="11"/>
      <c r="D79" s="2">
        <f>--19.98</f>
        <v>19.98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19.98</v>
      </c>
      <c r="M79" s="2"/>
      <c r="N79" s="19">
        <f t="shared" si="1"/>
        <v>0</v>
      </c>
      <c r="O79" s="11"/>
      <c r="P79" s="2">
        <f>--19.98</f>
        <v>19.98</v>
      </c>
      <c r="Q79" s="2"/>
      <c r="R79" s="19"/>
      <c r="S79" s="2"/>
      <c r="T79" s="2">
        <f>0</f>
        <v>0</v>
      </c>
      <c r="U79" s="2"/>
      <c r="V79" s="19"/>
      <c r="W79" s="2"/>
      <c r="X79" s="2">
        <f t="shared" si="2"/>
        <v>19.98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"4144", " - ", "NON-TAXABLE SALES-ACCESSORIES")</f>
        <v xml:space="preserve">          4144 - NON-TAXABLE SALES-ACCESSORIES</v>
      </c>
      <c r="C80" s="11"/>
      <c r="D80" s="2">
        <f>--984.35</f>
        <v>984.35</v>
      </c>
      <c r="E80" s="2"/>
      <c r="F80" s="19"/>
      <c r="G80" s="2"/>
      <c r="H80" s="2">
        <f>--59.85</f>
        <v>59.85</v>
      </c>
      <c r="I80" s="2"/>
      <c r="J80" s="19"/>
      <c r="K80" s="2"/>
      <c r="L80" s="2">
        <f t="shared" si="0"/>
        <v>924.5</v>
      </c>
      <c r="M80" s="2"/>
      <c r="N80" s="19">
        <f t="shared" si="1"/>
        <v>15.446950710108604</v>
      </c>
      <c r="O80" s="11"/>
      <c r="P80" s="2">
        <f>--3324.02</f>
        <v>3324.02</v>
      </c>
      <c r="Q80" s="2"/>
      <c r="R80" s="19"/>
      <c r="S80" s="2"/>
      <c r="T80" s="2">
        <f>--639.89</f>
        <v>639.89</v>
      </c>
      <c r="U80" s="2"/>
      <c r="V80" s="19"/>
      <c r="W80" s="2"/>
      <c r="X80" s="2">
        <f t="shared" si="2"/>
        <v>2684.13</v>
      </c>
      <c r="Y80" s="2"/>
      <c r="Z80" s="19">
        <f t="shared" si="3"/>
        <v>4.1946740846082919</v>
      </c>
    </row>
    <row r="81" spans="1:26" s="24" customFormat="1" hidden="1" outlineLevel="1" x14ac:dyDescent="0.25">
      <c r="A81" s="44"/>
      <c r="B81" s="11" t="str">
        <f>CONCATENATE("          ", "4145", " - ", "NON-TAXABLE SALES-SPECIAL ORDE")</f>
        <v xml:space="preserve">          4145 - NON-TAXABLE SALES-SPECIAL ORDE</v>
      </c>
      <c r="C81" s="11"/>
      <c r="D81" s="2">
        <f>--7688.68</f>
        <v>7688.68</v>
      </c>
      <c r="E81" s="2"/>
      <c r="F81" s="19"/>
      <c r="G81" s="2"/>
      <c r="H81" s="2">
        <f>--431.9</f>
        <v>431.9</v>
      </c>
      <c r="I81" s="2"/>
      <c r="J81" s="19"/>
      <c r="K81" s="2"/>
      <c r="L81" s="2">
        <f t="shared" si="0"/>
        <v>7256.7800000000007</v>
      </c>
      <c r="M81" s="2"/>
      <c r="N81" s="19">
        <f t="shared" si="1"/>
        <v>16.801991201667054</v>
      </c>
      <c r="O81" s="11"/>
      <c r="P81" s="2">
        <f>--7828.68</f>
        <v>7828.68</v>
      </c>
      <c r="Q81" s="2"/>
      <c r="R81" s="19"/>
      <c r="S81" s="2"/>
      <c r="T81" s="2">
        <f>--2382.85</f>
        <v>2382.85</v>
      </c>
      <c r="U81" s="2"/>
      <c r="V81" s="19"/>
      <c r="W81" s="2"/>
      <c r="X81" s="2">
        <f t="shared" si="2"/>
        <v>5445.83</v>
      </c>
      <c r="Y81" s="2"/>
      <c r="Z81" s="19">
        <f t="shared" si="3"/>
        <v>2.2854271145896723</v>
      </c>
    </row>
    <row r="82" spans="1:26" s="24" customFormat="1" hidden="1" outlineLevel="1" x14ac:dyDescent="0.25">
      <c r="A82" s="44"/>
      <c r="B82" s="11" t="str">
        <f>CONCATENATE("          ", "4146", " - ", "NON-TAXABLE SALES-COIN OP MACH")</f>
        <v xml:space="preserve">          4146 - NON-TAXABLE SALES-COIN OP MACH</v>
      </c>
      <c r="C82" s="11"/>
      <c r="D82" s="2">
        <f>0</f>
        <v>0</v>
      </c>
      <c r="E82" s="2"/>
      <c r="F82" s="19"/>
      <c r="G82" s="2"/>
      <c r="H82" s="2">
        <f>--25396.3</f>
        <v>25396.3</v>
      </c>
      <c r="I82" s="2"/>
      <c r="J82" s="19"/>
      <c r="K82" s="2"/>
      <c r="L82" s="2">
        <f t="shared" si="0"/>
        <v>-25396.3</v>
      </c>
      <c r="M82" s="2"/>
      <c r="N82" s="19">
        <f t="shared" si="1"/>
        <v>-1</v>
      </c>
      <c r="O82" s="11"/>
      <c r="P82" s="2">
        <f>--205908.65</f>
        <v>205908.65</v>
      </c>
      <c r="Q82" s="2"/>
      <c r="R82" s="19"/>
      <c r="S82" s="2"/>
      <c r="T82" s="2">
        <f>--285954.84</f>
        <v>285954.84000000003</v>
      </c>
      <c r="U82" s="2"/>
      <c r="V82" s="19"/>
      <c r="W82" s="2"/>
      <c r="X82" s="2">
        <f t="shared" si="2"/>
        <v>-80046.190000000031</v>
      </c>
      <c r="Y82" s="2"/>
      <c r="Z82" s="19">
        <f t="shared" si="3"/>
        <v>-0.2799259841169327</v>
      </c>
    </row>
    <row r="83" spans="1:26" s="24" customFormat="1" hidden="1" outlineLevel="1" x14ac:dyDescent="0.25">
      <c r="A83" s="44"/>
      <c r="B83" s="11" t="str">
        <f>CONCATENATE("          ", "4147", " - ", "NON-TAXABLE SALES-MISC")</f>
        <v xml:space="preserve">          4147 - NON-TAXABLE SALES-MISC</v>
      </c>
      <c r="C83" s="11"/>
      <c r="D83" s="2">
        <f>--10</f>
        <v>10</v>
      </c>
      <c r="E83" s="2"/>
      <c r="F83" s="19"/>
      <c r="G83" s="2"/>
      <c r="H83" s="2">
        <f>--30.5</f>
        <v>30.5</v>
      </c>
      <c r="I83" s="2"/>
      <c r="J83" s="19"/>
      <c r="K83" s="2"/>
      <c r="L83" s="2">
        <f t="shared" si="0"/>
        <v>-20.5</v>
      </c>
      <c r="M83" s="2"/>
      <c r="N83" s="19">
        <f t="shared" si="1"/>
        <v>-0.67213114754098358</v>
      </c>
      <c r="O83" s="11"/>
      <c r="P83" s="2">
        <f>--3446.37</f>
        <v>3446.37</v>
      </c>
      <c r="Q83" s="2"/>
      <c r="R83" s="19"/>
      <c r="S83" s="2"/>
      <c r="T83" s="2">
        <f>--928.73</f>
        <v>928.73</v>
      </c>
      <c r="U83" s="2"/>
      <c r="V83" s="19"/>
      <c r="W83" s="2"/>
      <c r="X83" s="2">
        <f t="shared" si="2"/>
        <v>2517.64</v>
      </c>
      <c r="Y83" s="2"/>
      <c r="Z83" s="19">
        <f t="shared" si="3"/>
        <v>2.710841687034983</v>
      </c>
    </row>
    <row r="84" spans="1:26" s="24" customFormat="1" hidden="1" outlineLevel="1" x14ac:dyDescent="0.25">
      <c r="A84" s="44"/>
      <c r="B84" s="11" t="str">
        <f>CONCATENATE("          ", "4151", " - ", "NON-TAXABLE SALES-FOOD")</f>
        <v xml:space="preserve">          4151 - NON-TAXABLE SALES-FOOD</v>
      </c>
      <c r="C84" s="11"/>
      <c r="D84" s="2">
        <f>--126289.52</f>
        <v>126289.52</v>
      </c>
      <c r="E84" s="2"/>
      <c r="F84" s="19"/>
      <c r="G84" s="2"/>
      <c r="H84" s="2">
        <f>--858468.27</f>
        <v>858468.27</v>
      </c>
      <c r="I84" s="2"/>
      <c r="J84" s="19"/>
      <c r="K84" s="2"/>
      <c r="L84" s="2">
        <f t="shared" si="0"/>
        <v>-732178.75</v>
      </c>
      <c r="M84" s="2"/>
      <c r="N84" s="19">
        <f t="shared" si="1"/>
        <v>-0.85288970552167287</v>
      </c>
      <c r="O84" s="11"/>
      <c r="P84" s="2">
        <f>--11031870.08</f>
        <v>11031870.08</v>
      </c>
      <c r="Q84" s="2"/>
      <c r="R84" s="19"/>
      <c r="S84" s="2"/>
      <c r="T84" s="2">
        <f>--13309927.12</f>
        <v>13309927.119999999</v>
      </c>
      <c r="U84" s="2"/>
      <c r="V84" s="19"/>
      <c r="W84" s="2"/>
      <c r="X84" s="2">
        <f t="shared" si="2"/>
        <v>-2278057.0399999991</v>
      </c>
      <c r="Y84" s="2"/>
      <c r="Z84" s="19">
        <f t="shared" si="3"/>
        <v>-0.17115473431683217</v>
      </c>
    </row>
    <row r="85" spans="1:26" s="24" customFormat="1" hidden="1" outlineLevel="1" x14ac:dyDescent="0.25">
      <c r="A85" s="44"/>
      <c r="B85" s="11" t="str">
        <f>CONCATENATE("          ", "4152", " - ", "NON-TAXABLE SALES-FOOD")</f>
        <v xml:space="preserve">          4152 - NON-TAXABLE SALES-FOOD</v>
      </c>
      <c r="C85" s="11"/>
      <c r="D85" s="2">
        <f>0</f>
        <v>0</v>
      </c>
      <c r="E85" s="2"/>
      <c r="F85" s="19"/>
      <c r="G85" s="2"/>
      <c r="H85" s="2">
        <f>--5712.79</f>
        <v>5712.79</v>
      </c>
      <c r="I85" s="2"/>
      <c r="J85" s="19"/>
      <c r="K85" s="2"/>
      <c r="L85" s="2">
        <f t="shared" si="0"/>
        <v>-5712.79</v>
      </c>
      <c r="M85" s="2"/>
      <c r="N85" s="19">
        <f t="shared" si="1"/>
        <v>-1</v>
      </c>
      <c r="O85" s="11"/>
      <c r="P85" s="2">
        <f>--51415.27</f>
        <v>51415.27</v>
      </c>
      <c r="Q85" s="2"/>
      <c r="R85" s="19"/>
      <c r="S85" s="2"/>
      <c r="T85" s="2">
        <f>--76276.34</f>
        <v>76276.34</v>
      </c>
      <c r="U85" s="2"/>
      <c r="V85" s="19"/>
      <c r="W85" s="2"/>
      <c r="X85" s="2">
        <f t="shared" si="2"/>
        <v>-24861.07</v>
      </c>
      <c r="Y85" s="2"/>
      <c r="Z85" s="19">
        <f t="shared" si="3"/>
        <v>-0.32593422809746769</v>
      </c>
    </row>
    <row r="86" spans="1:26" s="24" customFormat="1" hidden="1" outlineLevel="1" x14ac:dyDescent="0.25">
      <c r="A86" s="44"/>
      <c r="B86" s="11" t="str">
        <f>CONCATENATE("          ", "4153", " - ", "NON-TAXABLE SALES-FOOD")</f>
        <v xml:space="preserve">          4153 - NON-TAXABLE SALES-FOOD</v>
      </c>
      <c r="C86" s="11"/>
      <c r="D86" s="2">
        <f>-4166.46</f>
        <v>-4166.46</v>
      </c>
      <c r="E86" s="2"/>
      <c r="F86" s="19"/>
      <c r="G86" s="2"/>
      <c r="H86" s="2">
        <f>--11802.19</f>
        <v>11802.19</v>
      </c>
      <c r="I86" s="2"/>
      <c r="J86" s="19"/>
      <c r="K86" s="2"/>
      <c r="L86" s="2">
        <f t="shared" si="0"/>
        <v>-15968.650000000001</v>
      </c>
      <c r="M86" s="2"/>
      <c r="N86" s="19">
        <f t="shared" si="1"/>
        <v>-1.3530243115896288</v>
      </c>
      <c r="O86" s="11"/>
      <c r="P86" s="2">
        <f>--312266.22</f>
        <v>312266.21999999997</v>
      </c>
      <c r="Q86" s="2"/>
      <c r="R86" s="19"/>
      <c r="S86" s="2"/>
      <c r="T86" s="2">
        <f>--331177.99</f>
        <v>331177.99</v>
      </c>
      <c r="U86" s="2"/>
      <c r="V86" s="19"/>
      <c r="W86" s="2"/>
      <c r="X86" s="2">
        <f t="shared" si="2"/>
        <v>-18911.770000000019</v>
      </c>
      <c r="Y86" s="2"/>
      <c r="Z86" s="19">
        <f t="shared" si="3"/>
        <v>-5.7104549731701731E-2</v>
      </c>
    </row>
    <row r="87" spans="1:26" s="24" customFormat="1" hidden="1" outlineLevel="1" x14ac:dyDescent="0.25">
      <c r="A87" s="44"/>
      <c r="B87" s="11" t="str">
        <f>CONCATENATE("          ", "4155", " - ", "NON-TAXABLE SALES-FOOD")</f>
        <v xml:space="preserve">          4155 - NON-TAXABLE SALES-FOOD</v>
      </c>
      <c r="C87" s="11"/>
      <c r="D87" s="2">
        <f t="shared" ref="D87:D89" si="10">0</f>
        <v>0</v>
      </c>
      <c r="E87" s="2"/>
      <c r="F87" s="19"/>
      <c r="G87" s="2"/>
      <c r="H87" s="2">
        <f>--64787.94</f>
        <v>64787.94</v>
      </c>
      <c r="I87" s="2"/>
      <c r="J87" s="19"/>
      <c r="K87" s="2"/>
      <c r="L87" s="2">
        <f t="shared" si="0"/>
        <v>-64787.94</v>
      </c>
      <c r="M87" s="2"/>
      <c r="N87" s="19">
        <f t="shared" si="1"/>
        <v>-1</v>
      </c>
      <c r="O87" s="11"/>
      <c r="P87" s="2">
        <f>--691123.63</f>
        <v>691123.63</v>
      </c>
      <c r="Q87" s="2"/>
      <c r="R87" s="19"/>
      <c r="S87" s="2"/>
      <c r="T87" s="2">
        <f>--898995.24</f>
        <v>898995.24</v>
      </c>
      <c r="U87" s="2"/>
      <c r="V87" s="19"/>
      <c r="W87" s="2"/>
      <c r="X87" s="2">
        <f t="shared" si="2"/>
        <v>-207871.61</v>
      </c>
      <c r="Y87" s="2"/>
      <c r="Z87" s="19">
        <f t="shared" si="3"/>
        <v>-0.23122659692836636</v>
      </c>
    </row>
    <row r="88" spans="1:26" s="24" customFormat="1" hidden="1" outlineLevel="1" x14ac:dyDescent="0.25">
      <c r="A88" s="44"/>
      <c r="B88" s="11" t="str">
        <f>CONCATENATE("          ", "4157", " - ", "NON-TAXABLE SALES-FOOD")</f>
        <v xml:space="preserve">          4157 - NON-TAXABLE SALES-FOOD</v>
      </c>
      <c r="C88" s="11"/>
      <c r="D88" s="2">
        <f t="shared" si="10"/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0</f>
        <v>0</v>
      </c>
      <c r="Q88" s="2"/>
      <c r="R88" s="19"/>
      <c r="S88" s="2"/>
      <c r="T88" s="2">
        <f>--208</f>
        <v>208</v>
      </c>
      <c r="U88" s="2"/>
      <c r="V88" s="19"/>
      <c r="W88" s="2"/>
      <c r="X88" s="2">
        <f t="shared" si="2"/>
        <v>-208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"4158", " - ", "NON-TAXABLE SALES-FOOD")</f>
        <v xml:space="preserve">          4158 - NON-TAXABLE SALES-FOOD</v>
      </c>
      <c r="C89" s="11"/>
      <c r="D89" s="2">
        <f t="shared" si="10"/>
        <v>0</v>
      </c>
      <c r="E89" s="2"/>
      <c r="F89" s="19"/>
      <c r="G89" s="2"/>
      <c r="H89" s="2">
        <f>--27953.87</f>
        <v>27953.87</v>
      </c>
      <c r="I89" s="2"/>
      <c r="J89" s="19"/>
      <c r="K89" s="2"/>
      <c r="L89" s="2">
        <f t="shared" si="0"/>
        <v>-27953.87</v>
      </c>
      <c r="M89" s="2"/>
      <c r="N89" s="19">
        <f t="shared" si="1"/>
        <v>-1</v>
      </c>
      <c r="O89" s="11"/>
      <c r="P89" s="2">
        <f>--474853.67</f>
        <v>474853.67</v>
      </c>
      <c r="Q89" s="2"/>
      <c r="R89" s="19"/>
      <c r="S89" s="2"/>
      <c r="T89" s="2">
        <f>--597801.18</f>
        <v>597801.18000000005</v>
      </c>
      <c r="U89" s="2"/>
      <c r="V89" s="19"/>
      <c r="W89" s="2"/>
      <c r="X89" s="2">
        <f t="shared" si="2"/>
        <v>-122947.51000000007</v>
      </c>
      <c r="Y89" s="2"/>
      <c r="Z89" s="19">
        <f t="shared" si="3"/>
        <v>-0.20566622166921794</v>
      </c>
    </row>
    <row r="90" spans="1:26" s="24" customFormat="1" hidden="1" outlineLevel="1" x14ac:dyDescent="0.25">
      <c r="A90" s="44"/>
      <c r="B90" s="11" t="str">
        <f>CONCATENATE("          ", "4159", " - ", "NON-TAXABLE SALES-FOOD")</f>
        <v xml:space="preserve">          4159 - NON-TAXABLE SALES-FOOD</v>
      </c>
      <c r="C90" s="11"/>
      <c r="D90" s="2">
        <f>--383.7</f>
        <v>383.7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383.7</v>
      </c>
      <c r="M90" s="2"/>
      <c r="N90" s="19">
        <f t="shared" si="1"/>
        <v>0</v>
      </c>
      <c r="O90" s="11"/>
      <c r="P90" s="2">
        <f>--383.7</f>
        <v>383.7</v>
      </c>
      <c r="Q90" s="2"/>
      <c r="R90" s="19"/>
      <c r="S90" s="2"/>
      <c r="T90" s="2">
        <f>--1054.9</f>
        <v>1054.9000000000001</v>
      </c>
      <c r="U90" s="2"/>
      <c r="V90" s="19"/>
      <c r="W90" s="2"/>
      <c r="X90" s="2">
        <f t="shared" si="2"/>
        <v>-671.2</v>
      </c>
      <c r="Y90" s="2"/>
      <c r="Z90" s="19">
        <f t="shared" si="3"/>
        <v>-0.63626884064840272</v>
      </c>
    </row>
    <row r="91" spans="1:26" s="24" customFormat="1" hidden="1" outlineLevel="1" x14ac:dyDescent="0.25">
      <c r="A91" s="44"/>
      <c r="B91" s="11" t="str">
        <f>CONCATENATE("          ", "4181", " - ", "NON-TAXABLE SALES-ELECTRONICS")</f>
        <v xml:space="preserve">          4181 - NON-TAXABLE SALES-ELECTRONICS</v>
      </c>
      <c r="C91" s="11"/>
      <c r="D91" s="2">
        <f>--424.46</f>
        <v>424.46</v>
      </c>
      <c r="E91" s="2"/>
      <c r="F91" s="19"/>
      <c r="G91" s="2"/>
      <c r="H91" s="2">
        <f>--1615.44</f>
        <v>1615.44</v>
      </c>
      <c r="I91" s="2"/>
      <c r="J91" s="19"/>
      <c r="K91" s="2"/>
      <c r="L91" s="2">
        <f t="shared" si="0"/>
        <v>-1190.98</v>
      </c>
      <c r="M91" s="2"/>
      <c r="N91" s="19">
        <f t="shared" si="1"/>
        <v>-0.73724805625711876</v>
      </c>
      <c r="O91" s="11"/>
      <c r="P91" s="2">
        <f>--2657.79</f>
        <v>2657.79</v>
      </c>
      <c r="Q91" s="2"/>
      <c r="R91" s="19"/>
      <c r="S91" s="2"/>
      <c r="T91" s="2">
        <f>--16132.52</f>
        <v>16132.52</v>
      </c>
      <c r="U91" s="2"/>
      <c r="V91" s="19"/>
      <c r="W91" s="2"/>
      <c r="X91" s="2">
        <f t="shared" si="2"/>
        <v>-13474.73</v>
      </c>
      <c r="Y91" s="2"/>
      <c r="Z91" s="19">
        <f t="shared" si="3"/>
        <v>-0.83525264496805207</v>
      </c>
    </row>
    <row r="92" spans="1:26" s="24" customFormat="1" hidden="1" outlineLevel="1" x14ac:dyDescent="0.25">
      <c r="A92" s="44"/>
      <c r="B92" s="11" t="str">
        <f>CONCATENATE("          ", "4182", " - ", "NON-TAXABLE SALES-COMPUTER HAR")</f>
        <v xml:space="preserve">          4182 - NON-TAXABLE SALES-COMPUTER HAR</v>
      </c>
      <c r="C92" s="11"/>
      <c r="D92" s="2">
        <f>--28134.6</f>
        <v>28134.6</v>
      </c>
      <c r="E92" s="2"/>
      <c r="F92" s="19"/>
      <c r="G92" s="2"/>
      <c r="H92" s="2">
        <f>--16142.98</f>
        <v>16142.98</v>
      </c>
      <c r="I92" s="2"/>
      <c r="J92" s="19"/>
      <c r="K92" s="2"/>
      <c r="L92" s="2">
        <f t="shared" si="0"/>
        <v>11991.619999999999</v>
      </c>
      <c r="M92" s="2"/>
      <c r="N92" s="19">
        <f t="shared" si="1"/>
        <v>0.74283806335633196</v>
      </c>
      <c r="O92" s="11"/>
      <c r="P92" s="2">
        <f>--176201.54</f>
        <v>176201.54</v>
      </c>
      <c r="Q92" s="2"/>
      <c r="R92" s="19"/>
      <c r="S92" s="2"/>
      <c r="T92" s="2">
        <f>--235821.82</f>
        <v>235821.82</v>
      </c>
      <c r="U92" s="2"/>
      <c r="V92" s="19"/>
      <c r="W92" s="2"/>
      <c r="X92" s="2">
        <f t="shared" si="2"/>
        <v>-59620.28</v>
      </c>
      <c r="Y92" s="2"/>
      <c r="Z92" s="19">
        <f t="shared" si="3"/>
        <v>-0.25281918356833982</v>
      </c>
    </row>
    <row r="93" spans="1:26" s="24" customFormat="1" hidden="1" outlineLevel="1" x14ac:dyDescent="0.25">
      <c r="A93" s="44"/>
      <c r="B93" s="11" t="str">
        <f>CONCATENATE("          ", "4183", " - ", "NON-TAXABLE SALES-COMPUTER EQU")</f>
        <v xml:space="preserve">          4183 - NON-TAXABLE SALES-COMPUTER EQU</v>
      </c>
      <c r="C93" s="11"/>
      <c r="D93" s="2">
        <f>--1895.54</f>
        <v>1895.54</v>
      </c>
      <c r="E93" s="2"/>
      <c r="F93" s="19"/>
      <c r="G93" s="2"/>
      <c r="H93" s="2">
        <f>--111.99</f>
        <v>111.99</v>
      </c>
      <c r="I93" s="2"/>
      <c r="J93" s="19"/>
      <c r="K93" s="2"/>
      <c r="L93" s="2">
        <f t="shared" si="0"/>
        <v>1783.55</v>
      </c>
      <c r="M93" s="2"/>
      <c r="N93" s="19">
        <f t="shared" si="1"/>
        <v>15.92597553352978</v>
      </c>
      <c r="O93" s="11"/>
      <c r="P93" s="2">
        <f>--11427.56</f>
        <v>11427.56</v>
      </c>
      <c r="Q93" s="2"/>
      <c r="R93" s="19"/>
      <c r="S93" s="2"/>
      <c r="T93" s="2">
        <f>--9758.94</f>
        <v>9758.94</v>
      </c>
      <c r="U93" s="2"/>
      <c r="V93" s="19"/>
      <c r="W93" s="2"/>
      <c r="X93" s="2">
        <f t="shared" si="2"/>
        <v>1668.619999999999</v>
      </c>
      <c r="Y93" s="2"/>
      <c r="Z93" s="19">
        <f t="shared" si="3"/>
        <v>0.1709837338891313</v>
      </c>
    </row>
    <row r="94" spans="1:26" s="24" customFormat="1" hidden="1" outlineLevel="1" x14ac:dyDescent="0.25">
      <c r="A94" s="44"/>
      <c r="B94" s="11" t="str">
        <f>CONCATENATE("          ", "4184", " - ", "NON-TAXABLE SALES-SOFTWARE LIC")</f>
        <v xml:space="preserve">          4184 - NON-TAXABLE SALES-SOFTWARE LIC</v>
      </c>
      <c r="C94" s="11"/>
      <c r="D94" s="2">
        <f>0</f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--2728</f>
        <v>2728</v>
      </c>
      <c r="Q94" s="2"/>
      <c r="R94" s="19"/>
      <c r="S94" s="2"/>
      <c r="T94" s="2">
        <f>--3840</f>
        <v>3840</v>
      </c>
      <c r="U94" s="2"/>
      <c r="V94" s="19"/>
      <c r="W94" s="2"/>
      <c r="X94" s="2">
        <f t="shared" si="2"/>
        <v>-1112</v>
      </c>
      <c r="Y94" s="2"/>
      <c r="Z94" s="19">
        <f t="shared" si="3"/>
        <v>-0.28958333333333336</v>
      </c>
    </row>
    <row r="95" spans="1:26" s="24" customFormat="1" hidden="1" outlineLevel="1" x14ac:dyDescent="0.25">
      <c r="A95" s="44"/>
      <c r="B95" s="11" t="str">
        <f>CONCATENATE("          ", "4185", " - ", "NON-TAXABLE SALES-SOFTWARE")</f>
        <v xml:space="preserve">          4185 - NON-TAXABLE SALES-SOFTWARE</v>
      </c>
      <c r="C95" s="11"/>
      <c r="D95" s="2">
        <f>--4176.74</f>
        <v>4176.74</v>
      </c>
      <c r="E95" s="2"/>
      <c r="F95" s="19"/>
      <c r="G95" s="2"/>
      <c r="H95" s="2">
        <f>--786.98</f>
        <v>786.98</v>
      </c>
      <c r="I95" s="2"/>
      <c r="J95" s="19"/>
      <c r="K95" s="2"/>
      <c r="L95" s="2">
        <f t="shared" si="0"/>
        <v>3389.7599999999998</v>
      </c>
      <c r="M95" s="2"/>
      <c r="N95" s="19">
        <f t="shared" si="1"/>
        <v>4.3073013291316169</v>
      </c>
      <c r="O95" s="11"/>
      <c r="P95" s="2">
        <f>--20524.35</f>
        <v>20524.349999999999</v>
      </c>
      <c r="Q95" s="2"/>
      <c r="R95" s="19"/>
      <c r="S95" s="2"/>
      <c r="T95" s="2">
        <f>--6566.76</f>
        <v>6566.76</v>
      </c>
      <c r="U95" s="2"/>
      <c r="V95" s="19"/>
      <c r="W95" s="2"/>
      <c r="X95" s="2">
        <f t="shared" si="2"/>
        <v>13957.589999999998</v>
      </c>
      <c r="Y95" s="2"/>
      <c r="Z95" s="19">
        <f t="shared" si="3"/>
        <v>2.1254911097710285</v>
      </c>
    </row>
    <row r="96" spans="1:26" s="24" customFormat="1" hidden="1" outlineLevel="1" x14ac:dyDescent="0.25">
      <c r="A96" s="44"/>
      <c r="B96" s="11" t="str">
        <f>CONCATENATE("          ", "4186", " - ", "NON-TAXABLE SALES-COMPUTER SUP")</f>
        <v xml:space="preserve">          4186 - NON-TAXABLE SALES-COMPUTER SUP</v>
      </c>
      <c r="C96" s="11"/>
      <c r="D96" s="2">
        <f>--85.95</f>
        <v>85.95</v>
      </c>
      <c r="E96" s="2"/>
      <c r="F96" s="19"/>
      <c r="G96" s="2"/>
      <c r="H96" s="2">
        <f>--139.93</f>
        <v>139.93</v>
      </c>
      <c r="I96" s="2"/>
      <c r="J96" s="19"/>
      <c r="K96" s="2"/>
      <c r="L96" s="2">
        <f t="shared" si="0"/>
        <v>-53.980000000000004</v>
      </c>
      <c r="M96" s="2"/>
      <c r="N96" s="19">
        <f t="shared" si="1"/>
        <v>-0.38576431072679196</v>
      </c>
      <c r="O96" s="11"/>
      <c r="P96" s="2">
        <f>--2895.11</f>
        <v>2895.11</v>
      </c>
      <c r="Q96" s="2"/>
      <c r="R96" s="19"/>
      <c r="S96" s="2"/>
      <c r="T96" s="2">
        <f>--5990.67</f>
        <v>5990.67</v>
      </c>
      <c r="U96" s="2"/>
      <c r="V96" s="19"/>
      <c r="W96" s="2"/>
      <c r="X96" s="2">
        <f t="shared" si="2"/>
        <v>-3095.56</v>
      </c>
      <c r="Y96" s="2"/>
      <c r="Z96" s="19">
        <f t="shared" si="3"/>
        <v>-0.5167301820998319</v>
      </c>
    </row>
    <row r="97" spans="1:26" s="24" customFormat="1" hidden="1" outlineLevel="1" x14ac:dyDescent="0.25">
      <c r="A97" s="44"/>
      <c r="B97" s="11" t="str">
        <f>CONCATENATE("          ", "4188", " - ", "NON-TAXABLE SALES-MUSIC")</f>
        <v xml:space="preserve">          4188 - NON-TAXABLE SALES-MUSIC</v>
      </c>
      <c r="C97" s="11"/>
      <c r="D97" s="2">
        <f>--123.98</f>
        <v>123.98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123.98</v>
      </c>
      <c r="M97" s="2"/>
      <c r="N97" s="19">
        <f t="shared" si="1"/>
        <v>0</v>
      </c>
      <c r="O97" s="11"/>
      <c r="P97" s="2">
        <f>--343.94</f>
        <v>343.94</v>
      </c>
      <c r="Q97" s="2"/>
      <c r="R97" s="19"/>
      <c r="S97" s="2"/>
      <c r="T97" s="2">
        <f>--199.98</f>
        <v>199.98</v>
      </c>
      <c r="U97" s="2"/>
      <c r="V97" s="19"/>
      <c r="W97" s="2"/>
      <c r="X97" s="2">
        <f t="shared" si="2"/>
        <v>143.96</v>
      </c>
      <c r="Y97" s="2"/>
      <c r="Z97" s="19">
        <f t="shared" si="3"/>
        <v>0.71987198719871992</v>
      </c>
    </row>
    <row r="98" spans="1:26" s="24" customFormat="1" hidden="1" outlineLevel="1" x14ac:dyDescent="0.25">
      <c r="A98" s="44"/>
      <c r="B98" s="11" t="str">
        <f>CONCATENATE("          ", "4192", " - ", "NON-TAXABLE SALES-GRAD MERCH")</f>
        <v xml:space="preserve">          4192 - NON-TAXABLE SALES-GRAD MERCH</v>
      </c>
      <c r="C98" s="11"/>
      <c r="D98" s="2">
        <f>--119.4</f>
        <v>119.4</v>
      </c>
      <c r="E98" s="2"/>
      <c r="F98" s="19"/>
      <c r="G98" s="2"/>
      <c r="H98" s="2">
        <f>-0.75</f>
        <v>-0.75</v>
      </c>
      <c r="I98" s="2"/>
      <c r="J98" s="19"/>
      <c r="K98" s="2"/>
      <c r="L98" s="2">
        <f t="shared" si="0"/>
        <v>120.15</v>
      </c>
      <c r="M98" s="2"/>
      <c r="N98" s="19">
        <f t="shared" si="1"/>
        <v>-160.20000000000002</v>
      </c>
      <c r="O98" s="11"/>
      <c r="P98" s="2">
        <f>--119.4</f>
        <v>119.4</v>
      </c>
      <c r="Q98" s="2"/>
      <c r="R98" s="19"/>
      <c r="S98" s="2"/>
      <c r="T98" s="2">
        <f>--531.25</f>
        <v>531.25</v>
      </c>
      <c r="U98" s="2"/>
      <c r="V98" s="19"/>
      <c r="W98" s="2"/>
      <c r="X98" s="2">
        <f t="shared" si="2"/>
        <v>-411.85</v>
      </c>
      <c r="Y98" s="2"/>
      <c r="Z98" s="19">
        <f t="shared" si="3"/>
        <v>-0.7752470588235294</v>
      </c>
    </row>
    <row r="99" spans="1:26" s="24" customFormat="1" hidden="1" outlineLevel="1" x14ac:dyDescent="0.25">
      <c r="A99" s="44"/>
      <c r="B99" s="11" t="str">
        <f>CONCATENATE("          ", "4201", " - ", "SALES RETURN TAXABLE-NEW TEXT")</f>
        <v xml:space="preserve">          4201 - SALES RETURN TAXABLE-NEW TEXT</v>
      </c>
      <c r="C99" s="11"/>
      <c r="D99" s="2">
        <f>-228.6</f>
        <v>-228.6</v>
      </c>
      <c r="E99" s="2"/>
      <c r="F99" s="19"/>
      <c r="G99" s="2"/>
      <c r="H99" s="2">
        <f>-3052.25</f>
        <v>-3052.25</v>
      </c>
      <c r="I99" s="2"/>
      <c r="J99" s="19"/>
      <c r="K99" s="2"/>
      <c r="L99" s="2">
        <f t="shared" si="0"/>
        <v>2823.65</v>
      </c>
      <c r="M99" s="2"/>
      <c r="N99" s="19">
        <f t="shared" si="1"/>
        <v>-0.92510443115734298</v>
      </c>
      <c r="O99" s="11"/>
      <c r="P99" s="2">
        <f>-121451.61</f>
        <v>-121451.61</v>
      </c>
      <c r="Q99" s="2"/>
      <c r="R99" s="19"/>
      <c r="S99" s="2"/>
      <c r="T99" s="2">
        <f>-178747.85</f>
        <v>-178747.85</v>
      </c>
      <c r="U99" s="2"/>
      <c r="V99" s="19"/>
      <c r="W99" s="2"/>
      <c r="X99" s="2">
        <f t="shared" si="2"/>
        <v>57296.240000000005</v>
      </c>
      <c r="Y99" s="2"/>
      <c r="Z99" s="19">
        <f t="shared" si="3"/>
        <v>-0.32054226106775552</v>
      </c>
    </row>
    <row r="100" spans="1:26" s="24" customFormat="1" hidden="1" outlineLevel="1" x14ac:dyDescent="0.25">
      <c r="A100" s="44"/>
      <c r="B100" s="11" t="str">
        <f>CONCATENATE("          ", "4202", " - ", "SALES RETURN TAXABLE-USED TEXT")</f>
        <v xml:space="preserve">          4202 - SALES RETURN TAXABLE-USED TEXT</v>
      </c>
      <c r="C100" s="11"/>
      <c r="D100" s="2">
        <f>-60.4</f>
        <v>-60.4</v>
      </c>
      <c r="E100" s="2"/>
      <c r="F100" s="19"/>
      <c r="G100" s="2"/>
      <c r="H100" s="2">
        <f>-1655.5</f>
        <v>-1655.5</v>
      </c>
      <c r="I100" s="2"/>
      <c r="J100" s="19"/>
      <c r="K100" s="2"/>
      <c r="L100" s="2">
        <f t="shared" si="0"/>
        <v>1595.1</v>
      </c>
      <c r="M100" s="2"/>
      <c r="N100" s="19">
        <f t="shared" si="1"/>
        <v>-0.96351555421322854</v>
      </c>
      <c r="O100" s="11"/>
      <c r="P100" s="2">
        <f>-45613.11</f>
        <v>-45613.11</v>
      </c>
      <c r="Q100" s="2"/>
      <c r="R100" s="19"/>
      <c r="S100" s="2"/>
      <c r="T100" s="2">
        <f>-47295.45</f>
        <v>-47295.45</v>
      </c>
      <c r="U100" s="2"/>
      <c r="V100" s="19"/>
      <c r="W100" s="2"/>
      <c r="X100" s="2">
        <f t="shared" si="2"/>
        <v>1682.3399999999965</v>
      </c>
      <c r="Y100" s="2"/>
      <c r="Z100" s="19">
        <f t="shared" si="3"/>
        <v>-3.5570863582014688E-2</v>
      </c>
    </row>
    <row r="101" spans="1:26" s="24" customFormat="1" hidden="1" outlineLevel="1" x14ac:dyDescent="0.25">
      <c r="A101" s="44"/>
      <c r="B101" s="11" t="str">
        <f>CONCATENATE("          ", "4203", " - ", "SALES RETURN TAXABLE-RENTAL TE")</f>
        <v xml:space="preserve">          4203 - SALES RETURN TAXABLE-RENTAL TE</v>
      </c>
      <c r="C101" s="11"/>
      <c r="D101" s="2">
        <f t="shared" ref="D101:D106" si="11"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-144.99</f>
        <v>-144.99</v>
      </c>
      <c r="Q101" s="2"/>
      <c r="R101" s="19"/>
      <c r="S101" s="2"/>
      <c r="T101" s="2">
        <f>-1699.5</f>
        <v>-1699.5</v>
      </c>
      <c r="U101" s="2"/>
      <c r="V101" s="19"/>
      <c r="W101" s="2"/>
      <c r="X101" s="2">
        <f t="shared" si="2"/>
        <v>1554.51</v>
      </c>
      <c r="Y101" s="2"/>
      <c r="Z101" s="19">
        <f t="shared" si="3"/>
        <v>-0.9146866725507502</v>
      </c>
    </row>
    <row r="102" spans="1:26" s="24" customFormat="1" hidden="1" outlineLevel="1" x14ac:dyDescent="0.25">
      <c r="A102" s="44"/>
      <c r="B102" s="11" t="str">
        <f>CONCATENATE("          ", "4204", " - ", "SALES RETURN TAXABLE-DIGITAL T")</f>
        <v xml:space="preserve">          4204 - SALES RETURN TAXABLE-DIGITAL T</v>
      </c>
      <c r="C102" s="11"/>
      <c r="D102" s="2">
        <f t="shared" si="11"/>
        <v>0</v>
      </c>
      <c r="E102" s="2"/>
      <c r="F102" s="19"/>
      <c r="G102" s="2"/>
      <c r="H102" s="2">
        <f>-43.25</f>
        <v>-43.25</v>
      </c>
      <c r="I102" s="2"/>
      <c r="J102" s="19"/>
      <c r="K102" s="2"/>
      <c r="L102" s="2">
        <f t="shared" si="0"/>
        <v>43.25</v>
      </c>
      <c r="M102" s="2"/>
      <c r="N102" s="19">
        <f t="shared" si="1"/>
        <v>-1</v>
      </c>
      <c r="O102" s="11"/>
      <c r="P102" s="2">
        <f>-17255.33</f>
        <v>-17255.330000000002</v>
      </c>
      <c r="Q102" s="2"/>
      <c r="R102" s="19"/>
      <c r="S102" s="2"/>
      <c r="T102" s="2">
        <f>-27102.9</f>
        <v>-27102.9</v>
      </c>
      <c r="U102" s="2"/>
      <c r="V102" s="19"/>
      <c r="W102" s="2"/>
      <c r="X102" s="2">
        <f t="shared" si="2"/>
        <v>9847.57</v>
      </c>
      <c r="Y102" s="2"/>
      <c r="Z102" s="19">
        <f t="shared" si="3"/>
        <v>-0.36334008537831741</v>
      </c>
    </row>
    <row r="103" spans="1:26" s="24" customFormat="1" hidden="1" outlineLevel="1" x14ac:dyDescent="0.25">
      <c r="A103" s="44"/>
      <c r="B103" s="11" t="str">
        <f>CONCATENATE("          ", "4213", " - ", "NON-TAXABLE SALES-TRADE BOOKS")</f>
        <v xml:space="preserve">          4213 - NON-TAXABLE SALES-TRADE BOOKS</v>
      </c>
      <c r="C103" s="11"/>
      <c r="D103" s="2">
        <f t="shared" si="11"/>
        <v>0</v>
      </c>
      <c r="E103" s="2"/>
      <c r="F103" s="19"/>
      <c r="G103" s="2"/>
      <c r="H103" s="2">
        <f t="shared" ref="H103:H104" si="12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-2768.67</f>
        <v>-2768.67</v>
      </c>
      <c r="Q103" s="2"/>
      <c r="R103" s="19"/>
      <c r="S103" s="2"/>
      <c r="T103" s="2">
        <f>-1548.35</f>
        <v>-1548.35</v>
      </c>
      <c r="U103" s="2"/>
      <c r="V103" s="19"/>
      <c r="W103" s="2"/>
      <c r="X103" s="2">
        <f t="shared" si="2"/>
        <v>-1220.3200000000002</v>
      </c>
      <c r="Y103" s="2"/>
      <c r="Z103" s="19">
        <f t="shared" si="3"/>
        <v>0.7881422159072563</v>
      </c>
    </row>
    <row r="104" spans="1:26" s="24" customFormat="1" hidden="1" outlineLevel="1" x14ac:dyDescent="0.25">
      <c r="A104" s="44"/>
      <c r="B104" s="11" t="str">
        <f>CONCATENATE("          ", "4214", " - ", "SALES RETURN TAXABLE-REMAINDER")</f>
        <v xml:space="preserve">          4214 - SALES RETURN TAXABLE-REMAINDER</v>
      </c>
      <c r="C104" s="11"/>
      <c r="D104" s="2">
        <f t="shared" si="11"/>
        <v>0</v>
      </c>
      <c r="E104" s="2"/>
      <c r="F104" s="19"/>
      <c r="G104" s="2"/>
      <c r="H104" s="2">
        <f t="shared" si="12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-11.94</f>
        <v>-11.94</v>
      </c>
      <c r="Q104" s="2"/>
      <c r="R104" s="19"/>
      <c r="S104" s="2"/>
      <c r="T104" s="2">
        <f>-19.84</f>
        <v>-19.84</v>
      </c>
      <c r="U104" s="2"/>
      <c r="V104" s="19"/>
      <c r="W104" s="2"/>
      <c r="X104" s="2">
        <f t="shared" si="2"/>
        <v>7.9</v>
      </c>
      <c r="Y104" s="2"/>
      <c r="Z104" s="19">
        <f t="shared" si="3"/>
        <v>-0.39818548387096775</v>
      </c>
    </row>
    <row r="105" spans="1:26" s="24" customFormat="1" hidden="1" outlineLevel="1" x14ac:dyDescent="0.25">
      <c r="A105" s="44"/>
      <c r="B105" s="11" t="str">
        <f>CONCATENATE("          ", "4217", " - ", "NON-TAXABLE SALES-DORM/HOUSEWA")</f>
        <v xml:space="preserve">          4217 - NON-TAXABLE SALES-DORM/HOUSEWA</v>
      </c>
      <c r="C105" s="11"/>
      <c r="D105" s="2">
        <f t="shared" si="11"/>
        <v>0</v>
      </c>
      <c r="E105" s="2"/>
      <c r="F105" s="19"/>
      <c r="G105" s="2"/>
      <c r="H105" s="2">
        <f>-1.49</f>
        <v>-1.49</v>
      </c>
      <c r="I105" s="2"/>
      <c r="J105" s="19"/>
      <c r="K105" s="2"/>
      <c r="L105" s="2">
        <f t="shared" si="0"/>
        <v>1.49</v>
      </c>
      <c r="M105" s="2"/>
      <c r="N105" s="19">
        <f t="shared" si="1"/>
        <v>-1</v>
      </c>
      <c r="O105" s="11"/>
      <c r="P105" s="2">
        <f>-2.98</f>
        <v>-2.98</v>
      </c>
      <c r="Q105" s="2"/>
      <c r="R105" s="19"/>
      <c r="S105" s="2"/>
      <c r="T105" s="2">
        <f>-2.99</f>
        <v>-2.99</v>
      </c>
      <c r="U105" s="2"/>
      <c r="V105" s="19"/>
      <c r="W105" s="2"/>
      <c r="X105" s="2">
        <f t="shared" si="2"/>
        <v>1.0000000000000231E-2</v>
      </c>
      <c r="Y105" s="2"/>
      <c r="Z105" s="19">
        <f t="shared" si="3"/>
        <v>-3.3444816053512477E-3</v>
      </c>
    </row>
    <row r="106" spans="1:26" s="24" customFormat="1" hidden="1" outlineLevel="1" x14ac:dyDescent="0.25">
      <c r="A106" s="44"/>
      <c r="B106" s="11" t="str">
        <f>CONCATENATE("          ", "4218", " - ", "SALES RETURN TAXABLE-STUDY GUI")</f>
        <v xml:space="preserve">          4218 - SALES RETURN TAXABLE-STUDY GUI</v>
      </c>
      <c r="C106" s="11"/>
      <c r="D106" s="2">
        <f t="shared" si="11"/>
        <v>0</v>
      </c>
      <c r="E106" s="2"/>
      <c r="F106" s="19"/>
      <c r="G106" s="2"/>
      <c r="H106" s="2">
        <f t="shared" ref="H106:H107" si="13"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-39.25</f>
        <v>-39.25</v>
      </c>
      <c r="Q106" s="2"/>
      <c r="R106" s="19"/>
      <c r="S106" s="2"/>
      <c r="T106" s="2">
        <f>-67.6</f>
        <v>-67.599999999999994</v>
      </c>
      <c r="U106" s="2"/>
      <c r="V106" s="19"/>
      <c r="W106" s="2"/>
      <c r="X106" s="2">
        <f t="shared" si="2"/>
        <v>28.349999999999994</v>
      </c>
      <c r="Y106" s="2"/>
      <c r="Z106" s="19">
        <f t="shared" si="3"/>
        <v>-0.41937869822485202</v>
      </c>
    </row>
    <row r="107" spans="1:26" s="24" customFormat="1" hidden="1" outlineLevel="1" x14ac:dyDescent="0.25">
      <c r="A107" s="44"/>
      <c r="B107" s="11" t="str">
        <f>CONCATENATE("          ", "4225", " - ", "SALES RETURN TAXABLE-TEST FORM")</f>
        <v xml:space="preserve">          4225 - SALES RETURN TAXABLE-TEST FORM</v>
      </c>
      <c r="C107" s="11"/>
      <c r="D107" s="2">
        <f>-29.5</f>
        <v>-29.5</v>
      </c>
      <c r="E107" s="2"/>
      <c r="F107" s="19"/>
      <c r="G107" s="2"/>
      <c r="H107" s="2">
        <f t="shared" si="13"/>
        <v>0</v>
      </c>
      <c r="I107" s="2"/>
      <c r="J107" s="19"/>
      <c r="K107" s="2"/>
      <c r="L107" s="2">
        <f t="shared" si="0"/>
        <v>-29.5</v>
      </c>
      <c r="M107" s="2"/>
      <c r="N107" s="19">
        <f t="shared" si="1"/>
        <v>0</v>
      </c>
      <c r="O107" s="11"/>
      <c r="P107" s="2">
        <f>-205.91</f>
        <v>-205.91</v>
      </c>
      <c r="Q107" s="2"/>
      <c r="R107" s="19"/>
      <c r="S107" s="2"/>
      <c r="T107" s="2">
        <f>-187.82</f>
        <v>-187.82</v>
      </c>
      <c r="U107" s="2"/>
      <c r="V107" s="19"/>
      <c r="W107" s="2"/>
      <c r="X107" s="2">
        <f t="shared" si="2"/>
        <v>-18.090000000000003</v>
      </c>
      <c r="Y107" s="2"/>
      <c r="Z107" s="19">
        <f t="shared" si="3"/>
        <v>9.6315621339580465E-2</v>
      </c>
    </row>
    <row r="108" spans="1:26" s="24" customFormat="1" hidden="1" outlineLevel="1" x14ac:dyDescent="0.25">
      <c r="A108" s="44"/>
      <c r="B108" s="11" t="str">
        <f>CONCATENATE("          ", "4226", " - ", "SALES RETURN TAXABLE-WRITING I")</f>
        <v xml:space="preserve">          4226 - SALES RETURN TAXABLE-WRITING I</v>
      </c>
      <c r="C108" s="11"/>
      <c r="D108" s="2">
        <f>-159.4</f>
        <v>-159.4</v>
      </c>
      <c r="E108" s="2"/>
      <c r="F108" s="19"/>
      <c r="G108" s="2"/>
      <c r="H108" s="2">
        <f>-51.46</f>
        <v>-51.46</v>
      </c>
      <c r="I108" s="2"/>
      <c r="J108" s="19"/>
      <c r="K108" s="2"/>
      <c r="L108" s="2">
        <f t="shared" si="0"/>
        <v>-107.94</v>
      </c>
      <c r="M108" s="2"/>
      <c r="N108" s="19">
        <f t="shared" si="1"/>
        <v>2.0975514963078119</v>
      </c>
      <c r="O108" s="11"/>
      <c r="P108" s="2">
        <f>-924.44</f>
        <v>-924.44</v>
      </c>
      <c r="Q108" s="2"/>
      <c r="R108" s="19"/>
      <c r="S108" s="2"/>
      <c r="T108" s="2">
        <f>-721.91</f>
        <v>-721.91</v>
      </c>
      <c r="U108" s="2"/>
      <c r="V108" s="19"/>
      <c r="W108" s="2"/>
      <c r="X108" s="2">
        <f t="shared" si="2"/>
        <v>-202.53000000000009</v>
      </c>
      <c r="Y108" s="2"/>
      <c r="Z108" s="19">
        <f t="shared" si="3"/>
        <v>0.28054743666107979</v>
      </c>
    </row>
    <row r="109" spans="1:26" s="24" customFormat="1" hidden="1" outlineLevel="1" x14ac:dyDescent="0.25">
      <c r="A109" s="44"/>
      <c r="B109" s="11" t="str">
        <f>CONCATENATE("          ", "4227", " - ", "SALES RETURN TAXABLE-SCHOOL SU")</f>
        <v xml:space="preserve">          4227 - SALES RETURN TAXABLE-SCHOOL SU</v>
      </c>
      <c r="C109" s="11"/>
      <c r="D109" s="2">
        <f>-53.42</f>
        <v>-53.42</v>
      </c>
      <c r="E109" s="2"/>
      <c r="F109" s="19"/>
      <c r="G109" s="2"/>
      <c r="H109" s="2">
        <f>-315.64</f>
        <v>-315.64</v>
      </c>
      <c r="I109" s="2"/>
      <c r="J109" s="19"/>
      <c r="K109" s="2"/>
      <c r="L109" s="2">
        <f t="shared" si="0"/>
        <v>262.21999999999997</v>
      </c>
      <c r="M109" s="2"/>
      <c r="N109" s="19">
        <f t="shared" si="1"/>
        <v>-0.83075655810416926</v>
      </c>
      <c r="O109" s="11"/>
      <c r="P109" s="2">
        <f>-8647.03</f>
        <v>-8647.0300000000007</v>
      </c>
      <c r="Q109" s="2"/>
      <c r="R109" s="19"/>
      <c r="S109" s="2"/>
      <c r="T109" s="2">
        <f>-6807.47</f>
        <v>-6807.47</v>
      </c>
      <c r="U109" s="2"/>
      <c r="V109" s="19"/>
      <c r="W109" s="2"/>
      <c r="X109" s="2">
        <f t="shared" si="2"/>
        <v>-1839.5600000000004</v>
      </c>
      <c r="Y109" s="2"/>
      <c r="Z109" s="19">
        <f t="shared" si="3"/>
        <v>0.27022667745873286</v>
      </c>
    </row>
    <row r="110" spans="1:26" s="24" customFormat="1" hidden="1" outlineLevel="1" x14ac:dyDescent="0.25">
      <c r="A110" s="44"/>
      <c r="B110" s="11" t="str">
        <f>CONCATENATE("          ", "4228", " - ", "SALES RETURN TAXABLE-ART/TECH")</f>
        <v xml:space="preserve">          4228 - SALES RETURN TAXABLE-ART/TECH</v>
      </c>
      <c r="C110" s="11"/>
      <c r="D110" s="2">
        <f t="shared" ref="D110:D112" si="14">0</f>
        <v>0</v>
      </c>
      <c r="E110" s="2"/>
      <c r="F110" s="19"/>
      <c r="G110" s="2"/>
      <c r="H110" s="2">
        <f>-267.27</f>
        <v>-267.27</v>
      </c>
      <c r="I110" s="2"/>
      <c r="J110" s="19"/>
      <c r="K110" s="2"/>
      <c r="L110" s="2">
        <f t="shared" si="0"/>
        <v>267.27</v>
      </c>
      <c r="M110" s="2"/>
      <c r="N110" s="19">
        <f t="shared" si="1"/>
        <v>-1</v>
      </c>
      <c r="O110" s="11"/>
      <c r="P110" s="2">
        <f>-4739.1</f>
        <v>-4739.1000000000004</v>
      </c>
      <c r="Q110" s="2"/>
      <c r="R110" s="19"/>
      <c r="S110" s="2"/>
      <c r="T110" s="2">
        <f>-8325.28</f>
        <v>-8325.2800000000007</v>
      </c>
      <c r="U110" s="2"/>
      <c r="V110" s="19"/>
      <c r="W110" s="2"/>
      <c r="X110" s="2">
        <f t="shared" si="2"/>
        <v>3586.1800000000003</v>
      </c>
      <c r="Y110" s="2"/>
      <c r="Z110" s="19">
        <f t="shared" si="3"/>
        <v>-0.43075788441950302</v>
      </c>
    </row>
    <row r="111" spans="1:26" s="24" customFormat="1" hidden="1" outlineLevel="1" x14ac:dyDescent="0.25">
      <c r="A111" s="44"/>
      <c r="B111" s="11" t="str">
        <f>CONCATENATE("          ", "4233", " - ", "SALES RETURN TAXABLE-CANDY")</f>
        <v xml:space="preserve">          4233 - SALES RETURN TAXABLE-CANDY</v>
      </c>
      <c r="C111" s="11"/>
      <c r="D111" s="2">
        <f t="shared" si="14"/>
        <v>0</v>
      </c>
      <c r="E111" s="2"/>
      <c r="F111" s="19"/>
      <c r="G111" s="2"/>
      <c r="H111" s="2">
        <f t="shared" ref="H111:H112" si="15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-8.25</f>
        <v>-8.25</v>
      </c>
      <c r="Q111" s="2"/>
      <c r="R111" s="19"/>
      <c r="S111" s="2"/>
      <c r="T111" s="2">
        <f>-5.27</f>
        <v>-5.27</v>
      </c>
      <c r="U111" s="2"/>
      <c r="V111" s="19"/>
      <c r="W111" s="2"/>
      <c r="X111" s="2">
        <f t="shared" si="2"/>
        <v>-2.9800000000000004</v>
      </c>
      <c r="Y111" s="2"/>
      <c r="Z111" s="19">
        <f t="shared" si="3"/>
        <v>0.5654648956356737</v>
      </c>
    </row>
    <row r="112" spans="1:26" s="24" customFormat="1" hidden="1" outlineLevel="1" x14ac:dyDescent="0.25">
      <c r="A112" s="44"/>
      <c r="B112" s="11" t="str">
        <f>CONCATENATE("          ", "4234", " - ", "SALES RETURN TAXABLE-SODA")</f>
        <v xml:space="preserve">          4234 - SALES RETURN TAXABLE-SODA</v>
      </c>
      <c r="C112" s="11"/>
      <c r="D112" s="2">
        <f t="shared" si="14"/>
        <v>0</v>
      </c>
      <c r="E112" s="2"/>
      <c r="F112" s="19"/>
      <c r="G112" s="2"/>
      <c r="H112" s="2">
        <f t="shared" si="15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0</f>
        <v>0</v>
      </c>
      <c r="Q112" s="2"/>
      <c r="R112" s="19"/>
      <c r="S112" s="2"/>
      <c r="T112" s="2">
        <f>-5.28</f>
        <v>-5.28</v>
      </c>
      <c r="U112" s="2"/>
      <c r="V112" s="19"/>
      <c r="W112" s="2"/>
      <c r="X112" s="2">
        <f t="shared" si="2"/>
        <v>5.28</v>
      </c>
      <c r="Y112" s="2"/>
      <c r="Z112" s="19">
        <f t="shared" si="3"/>
        <v>-1</v>
      </c>
    </row>
    <row r="113" spans="1:26" s="24" customFormat="1" hidden="1" outlineLevel="1" x14ac:dyDescent="0.25">
      <c r="A113" s="44"/>
      <c r="B113" s="11" t="str">
        <f>CONCATENATE("          ", "4240", " - ", "SALES RETURN TAXABLE-LOGO CLOT")</f>
        <v xml:space="preserve">          4240 - SALES RETURN TAXABLE-LOGO CLOT</v>
      </c>
      <c r="C113" s="11"/>
      <c r="D113" s="2">
        <f>-3229.58</f>
        <v>-3229.58</v>
      </c>
      <c r="E113" s="2"/>
      <c r="F113" s="19"/>
      <c r="G113" s="2"/>
      <c r="H113" s="2">
        <f>-9632.91</f>
        <v>-9632.91</v>
      </c>
      <c r="I113" s="2"/>
      <c r="J113" s="19"/>
      <c r="K113" s="2"/>
      <c r="L113" s="2">
        <f t="shared" si="0"/>
        <v>6403.33</v>
      </c>
      <c r="M113" s="2"/>
      <c r="N113" s="19">
        <f t="shared" si="1"/>
        <v>-0.66473474785916198</v>
      </c>
      <c r="O113" s="11"/>
      <c r="P113" s="2">
        <f>-77684.77</f>
        <v>-77684.77</v>
      </c>
      <c r="Q113" s="2"/>
      <c r="R113" s="19"/>
      <c r="S113" s="2"/>
      <c r="T113" s="2">
        <f>-93504.03</f>
        <v>-93504.03</v>
      </c>
      <c r="U113" s="2"/>
      <c r="V113" s="19"/>
      <c r="W113" s="2"/>
      <c r="X113" s="2">
        <f t="shared" si="2"/>
        <v>15819.259999999995</v>
      </c>
      <c r="Y113" s="2"/>
      <c r="Z113" s="19">
        <f t="shared" si="3"/>
        <v>-0.16918265448024</v>
      </c>
    </row>
    <row r="114" spans="1:26" s="24" customFormat="1" hidden="1" outlineLevel="1" x14ac:dyDescent="0.25">
      <c r="A114" s="44"/>
      <c r="B114" s="11" t="str">
        <f>CONCATENATE("          ", "4241", " - ", "SALES RETURN TAXABLE-LOGO GIFT")</f>
        <v xml:space="preserve">          4241 - SALES RETURN TAXABLE-LOGO GIFT</v>
      </c>
      <c r="C114" s="11"/>
      <c r="D114" s="2">
        <f>-1133.39</f>
        <v>-1133.3900000000001</v>
      </c>
      <c r="E114" s="2"/>
      <c r="F114" s="19"/>
      <c r="G114" s="2"/>
      <c r="H114" s="2">
        <f>-4520.99</f>
        <v>-4520.99</v>
      </c>
      <c r="I114" s="2"/>
      <c r="J114" s="19"/>
      <c r="K114" s="2"/>
      <c r="L114" s="2">
        <f t="shared" si="0"/>
        <v>3387.5999999999995</v>
      </c>
      <c r="M114" s="2"/>
      <c r="N114" s="19">
        <f t="shared" si="1"/>
        <v>-0.74930490888057699</v>
      </c>
      <c r="O114" s="11"/>
      <c r="P114" s="2">
        <f>-7465.27</f>
        <v>-7465.27</v>
      </c>
      <c r="Q114" s="2"/>
      <c r="R114" s="19"/>
      <c r="S114" s="2"/>
      <c r="T114" s="2">
        <f>-15308.04</f>
        <v>-15308.04</v>
      </c>
      <c r="U114" s="2"/>
      <c r="V114" s="19"/>
      <c r="W114" s="2"/>
      <c r="X114" s="2">
        <f t="shared" si="2"/>
        <v>7842.77</v>
      </c>
      <c r="Y114" s="2"/>
      <c r="Z114" s="19">
        <f t="shared" si="3"/>
        <v>-0.51233012194898886</v>
      </c>
    </row>
    <row r="115" spans="1:26" s="24" customFormat="1" hidden="1" outlineLevel="1" x14ac:dyDescent="0.25">
      <c r="A115" s="44"/>
      <c r="B115" s="11" t="str">
        <f>CONCATENATE("          ", "4242", " - ", "SALES RETURN TAXABLE-EVERYDAY")</f>
        <v xml:space="preserve">          4242 - SALES RETURN TAXABLE-EVERYDAY</v>
      </c>
      <c r="C115" s="11"/>
      <c r="D115" s="2">
        <f t="shared" ref="D115:D116" si="16">0</f>
        <v>0</v>
      </c>
      <c r="E115" s="2"/>
      <c r="F115" s="19"/>
      <c r="G115" s="2"/>
      <c r="H115" s="2">
        <f>-769.19</f>
        <v>-769.19</v>
      </c>
      <c r="I115" s="2"/>
      <c r="J115" s="19"/>
      <c r="K115" s="2"/>
      <c r="L115" s="2">
        <f t="shared" si="0"/>
        <v>769.19</v>
      </c>
      <c r="M115" s="2"/>
      <c r="N115" s="19">
        <f t="shared" si="1"/>
        <v>-1</v>
      </c>
      <c r="O115" s="11"/>
      <c r="P115" s="2">
        <f>-4181.41</f>
        <v>-4181.41</v>
      </c>
      <c r="Q115" s="2"/>
      <c r="R115" s="19"/>
      <c r="S115" s="2"/>
      <c r="T115" s="2">
        <f>-5008.37</f>
        <v>-5008.37</v>
      </c>
      <c r="U115" s="2"/>
      <c r="V115" s="19"/>
      <c r="W115" s="2"/>
      <c r="X115" s="2">
        <f t="shared" si="2"/>
        <v>826.96</v>
      </c>
      <c r="Y115" s="2"/>
      <c r="Z115" s="19">
        <f t="shared" si="3"/>
        <v>-0.16511559649147328</v>
      </c>
    </row>
    <row r="116" spans="1:26" s="24" customFormat="1" hidden="1" outlineLevel="1" x14ac:dyDescent="0.25">
      <c r="A116" s="44"/>
      <c r="B116" s="11" t="str">
        <f>CONCATENATE("          ", "4243", " - ", "SALES RETURN TAXABLE-CARDS")</f>
        <v xml:space="preserve">          4243 - SALES RETURN TAXABLE-CARDS</v>
      </c>
      <c r="C116" s="11"/>
      <c r="D116" s="2">
        <f t="shared" si="16"/>
        <v>0</v>
      </c>
      <c r="E116" s="2"/>
      <c r="F116" s="19"/>
      <c r="G116" s="2"/>
      <c r="H116" s="2">
        <f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-3006.31</f>
        <v>-3006.31</v>
      </c>
      <c r="Q116" s="2"/>
      <c r="R116" s="19"/>
      <c r="S116" s="2"/>
      <c r="T116" s="2">
        <f>-25.94</f>
        <v>-25.94</v>
      </c>
      <c r="U116" s="2"/>
      <c r="V116" s="19"/>
      <c r="W116" s="2"/>
      <c r="X116" s="2">
        <f t="shared" si="2"/>
        <v>-2980.37</v>
      </c>
      <c r="Y116" s="2"/>
      <c r="Z116" s="19">
        <f t="shared" si="3"/>
        <v>114.89475713184271</v>
      </c>
    </row>
    <row r="117" spans="1:26" s="24" customFormat="1" hidden="1" outlineLevel="1" x14ac:dyDescent="0.25">
      <c r="A117" s="44"/>
      <c r="B117" s="11" t="str">
        <f>CONCATENATE("          ", "4244", " - ", "SALES RETURN TAXABLE-ACCESSORI")</f>
        <v xml:space="preserve">          4244 - SALES RETURN TAXABLE-ACCESSORI</v>
      </c>
      <c r="C117" s="11"/>
      <c r="D117" s="2">
        <f>-255.71</f>
        <v>-255.71</v>
      </c>
      <c r="E117" s="2"/>
      <c r="F117" s="19"/>
      <c r="G117" s="2"/>
      <c r="H117" s="2">
        <f>-146.8</f>
        <v>-146.80000000000001</v>
      </c>
      <c r="I117" s="2"/>
      <c r="J117" s="19"/>
      <c r="K117" s="2"/>
      <c r="L117" s="2">
        <f t="shared" si="0"/>
        <v>-108.91</v>
      </c>
      <c r="M117" s="2"/>
      <c r="N117" s="19">
        <f t="shared" si="1"/>
        <v>0.74189373297002714</v>
      </c>
      <c r="O117" s="11"/>
      <c r="P117" s="2">
        <f>-2726.41</f>
        <v>-2726.41</v>
      </c>
      <c r="Q117" s="2"/>
      <c r="R117" s="19"/>
      <c r="S117" s="2"/>
      <c r="T117" s="2">
        <f>-3976.02</f>
        <v>-3976.02</v>
      </c>
      <c r="U117" s="2"/>
      <c r="V117" s="19"/>
      <c r="W117" s="2"/>
      <c r="X117" s="2">
        <f t="shared" si="2"/>
        <v>1249.6100000000001</v>
      </c>
      <c r="Y117" s="2"/>
      <c r="Z117" s="19">
        <f t="shared" si="3"/>
        <v>-0.31428664845750276</v>
      </c>
    </row>
    <row r="118" spans="1:26" s="24" customFormat="1" hidden="1" outlineLevel="1" x14ac:dyDescent="0.25">
      <c r="A118" s="44"/>
      <c r="B118" s="11" t="str">
        <f>CONCATENATE("          ", "4245", " - ", "SALES RETURN TAXABLE-SPECIAL O")</f>
        <v xml:space="preserve">          4245 - SALES RETURN TAXABLE-SPECIAL O</v>
      </c>
      <c r="C118" s="11"/>
      <c r="D118" s="2">
        <f>-175</f>
        <v>-175</v>
      </c>
      <c r="E118" s="2"/>
      <c r="F118" s="19"/>
      <c r="G118" s="2"/>
      <c r="H118" s="2">
        <f>-1158.8</f>
        <v>-1158.8</v>
      </c>
      <c r="I118" s="2"/>
      <c r="J118" s="19"/>
      <c r="K118" s="2"/>
      <c r="L118" s="2">
        <f t="shared" si="0"/>
        <v>983.8</v>
      </c>
      <c r="M118" s="2"/>
      <c r="N118" s="19">
        <f t="shared" si="1"/>
        <v>-0.84898170521228855</v>
      </c>
      <c r="O118" s="11"/>
      <c r="P118" s="2">
        <f>-1910.03</f>
        <v>-1910.03</v>
      </c>
      <c r="Q118" s="2"/>
      <c r="R118" s="19"/>
      <c r="S118" s="2"/>
      <c r="T118" s="2">
        <f>-1910.72</f>
        <v>-1910.72</v>
      </c>
      <c r="U118" s="2"/>
      <c r="V118" s="19"/>
      <c r="W118" s="2"/>
      <c r="X118" s="2">
        <f t="shared" si="2"/>
        <v>0.69000000000005457</v>
      </c>
      <c r="Y118" s="2"/>
      <c r="Z118" s="19">
        <f t="shared" si="3"/>
        <v>-3.6112041534084249E-4</v>
      </c>
    </row>
    <row r="119" spans="1:26" s="24" customFormat="1" hidden="1" outlineLevel="1" x14ac:dyDescent="0.25">
      <c r="A119" s="44"/>
      <c r="B119" s="11" t="str">
        <f>CONCATENATE("          ", "4281", " - ", "SALES RETURN TAXABLE-ELECTRONI")</f>
        <v xml:space="preserve">          4281 - SALES RETURN TAXABLE-ELECTRONI</v>
      </c>
      <c r="C119" s="11"/>
      <c r="D119" s="2">
        <f>-159</f>
        <v>-159</v>
      </c>
      <c r="E119" s="2"/>
      <c r="F119" s="19"/>
      <c r="G119" s="2"/>
      <c r="H119" s="2">
        <f>-335.94</f>
        <v>-335.94</v>
      </c>
      <c r="I119" s="2"/>
      <c r="J119" s="19"/>
      <c r="K119" s="2"/>
      <c r="L119" s="2">
        <f t="shared" si="0"/>
        <v>176.94</v>
      </c>
      <c r="M119" s="2"/>
      <c r="N119" s="19">
        <f t="shared" si="1"/>
        <v>-0.52670119664225756</v>
      </c>
      <c r="O119" s="11"/>
      <c r="P119" s="2">
        <f>-7995.67</f>
        <v>-7995.67</v>
      </c>
      <c r="Q119" s="2"/>
      <c r="R119" s="19"/>
      <c r="S119" s="2"/>
      <c r="T119" s="2">
        <f>-7467.68</f>
        <v>-7467.68</v>
      </c>
      <c r="U119" s="2"/>
      <c r="V119" s="19"/>
      <c r="W119" s="2"/>
      <c r="X119" s="2">
        <f t="shared" si="2"/>
        <v>-527.98999999999978</v>
      </c>
      <c r="Y119" s="2"/>
      <c r="Z119" s="19">
        <f t="shared" si="3"/>
        <v>7.0703350973796375E-2</v>
      </c>
    </row>
    <row r="120" spans="1:26" s="24" customFormat="1" hidden="1" outlineLevel="1" x14ac:dyDescent="0.25">
      <c r="A120" s="44"/>
      <c r="B120" s="11" t="str">
        <f>CONCATENATE("          ", "4282", " - ", "SALES RETURN TAXABLE-COMPUTER")</f>
        <v xml:space="preserve">          4282 - SALES RETURN TAXABLE-COMPUTER</v>
      </c>
      <c r="C120" s="11"/>
      <c r="D120" s="2">
        <f>-183</f>
        <v>-183</v>
      </c>
      <c r="E120" s="2"/>
      <c r="F120" s="19"/>
      <c r="G120" s="2"/>
      <c r="H120" s="2">
        <f>-5989.01</f>
        <v>-5989.01</v>
      </c>
      <c r="I120" s="2"/>
      <c r="J120" s="19"/>
      <c r="K120" s="2"/>
      <c r="L120" s="2">
        <f t="shared" si="0"/>
        <v>5806.01</v>
      </c>
      <c r="M120" s="2"/>
      <c r="N120" s="19">
        <f t="shared" si="1"/>
        <v>-0.96944403165130799</v>
      </c>
      <c r="O120" s="11"/>
      <c r="P120" s="2">
        <f>-215628.8</f>
        <v>-215628.79999999999</v>
      </c>
      <c r="Q120" s="2"/>
      <c r="R120" s="19"/>
      <c r="S120" s="2"/>
      <c r="T120" s="2">
        <f>-72352.83</f>
        <v>-72352.83</v>
      </c>
      <c r="U120" s="2"/>
      <c r="V120" s="19"/>
      <c r="W120" s="2"/>
      <c r="X120" s="2">
        <f t="shared" si="2"/>
        <v>-143275.96999999997</v>
      </c>
      <c r="Y120" s="2"/>
      <c r="Z120" s="19">
        <f t="shared" si="3"/>
        <v>1.9802400265476827</v>
      </c>
    </row>
    <row r="121" spans="1:26" s="24" customFormat="1" hidden="1" outlineLevel="1" x14ac:dyDescent="0.25">
      <c r="A121" s="44"/>
      <c r="B121" s="11" t="str">
        <f>CONCATENATE("          ", "4283", " - ", "SALES RETURN TAXABLE-COMPUTER")</f>
        <v xml:space="preserve">          4283 - SALES RETURN TAXABLE-COMPUTER</v>
      </c>
      <c r="C121" s="11"/>
      <c r="D121" s="2">
        <f>-119</f>
        <v>-119</v>
      </c>
      <c r="E121" s="2"/>
      <c r="F121" s="19"/>
      <c r="G121" s="2"/>
      <c r="H121" s="2">
        <f>-182.97</f>
        <v>-182.97</v>
      </c>
      <c r="I121" s="2"/>
      <c r="J121" s="19"/>
      <c r="K121" s="2"/>
      <c r="L121" s="2">
        <f t="shared" si="0"/>
        <v>63.97</v>
      </c>
      <c r="M121" s="2"/>
      <c r="N121" s="19">
        <f t="shared" si="1"/>
        <v>-0.34962015630977755</v>
      </c>
      <c r="O121" s="11"/>
      <c r="P121" s="2">
        <f>-6708.02</f>
        <v>-6708.02</v>
      </c>
      <c r="Q121" s="2"/>
      <c r="R121" s="19"/>
      <c r="S121" s="2"/>
      <c r="T121" s="2">
        <f>-7498.73</f>
        <v>-7498.73</v>
      </c>
      <c r="U121" s="2"/>
      <c r="V121" s="19"/>
      <c r="W121" s="2"/>
      <c r="X121" s="2">
        <f t="shared" si="2"/>
        <v>790.70999999999913</v>
      </c>
      <c r="Y121" s="2"/>
      <c r="Z121" s="19">
        <f t="shared" si="3"/>
        <v>-0.10544585549819759</v>
      </c>
    </row>
    <row r="122" spans="1:26" s="24" customFormat="1" hidden="1" outlineLevel="1" x14ac:dyDescent="0.25">
      <c r="A122" s="44"/>
      <c r="B122" s="11" t="str">
        <f>CONCATENATE("          ", "4284", " - ", "SALES RETURN TAXABLE-SOFTWARE")</f>
        <v xml:space="preserve">          4284 - SALES RETURN TAXABLE-SOFTWARE</v>
      </c>
      <c r="C122" s="11"/>
      <c r="D122" s="2">
        <f t="shared" ref="D122:D124" si="17">0</f>
        <v>0</v>
      </c>
      <c r="E122" s="2"/>
      <c r="F122" s="19"/>
      <c r="G122" s="2"/>
      <c r="H122" s="2">
        <f t="shared" ref="H122:H123" si="18">0</f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-129</f>
        <v>-129</v>
      </c>
      <c r="Q122" s="2"/>
      <c r="R122" s="19"/>
      <c r="S122" s="2"/>
      <c r="T122" s="2">
        <f>0</f>
        <v>0</v>
      </c>
      <c r="U122" s="2"/>
      <c r="V122" s="19"/>
      <c r="W122" s="2"/>
      <c r="X122" s="2">
        <f t="shared" si="2"/>
        <v>-129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"4285", " - ", "SALES RETURN TAXABLE-SOFTWARE")</f>
        <v xml:space="preserve">          4285 - SALES RETURN TAXABLE-SOFTWARE</v>
      </c>
      <c r="C123" s="11"/>
      <c r="D123" s="2">
        <f t="shared" si="17"/>
        <v>0</v>
      </c>
      <c r="E123" s="2"/>
      <c r="F123" s="19"/>
      <c r="G123" s="2"/>
      <c r="H123" s="2">
        <f t="shared" si="18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-805.97</f>
        <v>-805.97</v>
      </c>
      <c r="Q123" s="2"/>
      <c r="R123" s="19"/>
      <c r="S123" s="2"/>
      <c r="T123" s="2">
        <f>-725.94</f>
        <v>-725.94</v>
      </c>
      <c r="U123" s="2"/>
      <c r="V123" s="19"/>
      <c r="W123" s="2"/>
      <c r="X123" s="2">
        <f t="shared" si="2"/>
        <v>-80.029999999999973</v>
      </c>
      <c r="Y123" s="2"/>
      <c r="Z123" s="19">
        <f t="shared" si="3"/>
        <v>0.11024327079372946</v>
      </c>
    </row>
    <row r="124" spans="1:26" s="24" customFormat="1" hidden="1" outlineLevel="1" x14ac:dyDescent="0.25">
      <c r="A124" s="44"/>
      <c r="B124" s="11" t="str">
        <f>CONCATENATE("          ", "4286", " - ", "SALES RETURN TAXABLE-COMPUTER")</f>
        <v xml:space="preserve">          4286 - SALES RETURN TAXABLE-COMPUTER</v>
      </c>
      <c r="C124" s="11"/>
      <c r="D124" s="2">
        <f t="shared" si="17"/>
        <v>0</v>
      </c>
      <c r="E124" s="2"/>
      <c r="F124" s="19"/>
      <c r="G124" s="2"/>
      <c r="H124" s="2">
        <f>-742.63</f>
        <v>-742.63</v>
      </c>
      <c r="I124" s="2"/>
      <c r="J124" s="19"/>
      <c r="K124" s="2"/>
      <c r="L124" s="2">
        <f t="shared" si="0"/>
        <v>742.63</v>
      </c>
      <c r="M124" s="2"/>
      <c r="N124" s="19">
        <f t="shared" si="1"/>
        <v>-1</v>
      </c>
      <c r="O124" s="11"/>
      <c r="P124" s="2">
        <f>-3660.86</f>
        <v>-3660.86</v>
      </c>
      <c r="Q124" s="2"/>
      <c r="R124" s="19"/>
      <c r="S124" s="2"/>
      <c r="T124" s="2">
        <f>-5533.86</f>
        <v>-5533.86</v>
      </c>
      <c r="U124" s="2"/>
      <c r="V124" s="19"/>
      <c r="W124" s="2"/>
      <c r="X124" s="2">
        <f t="shared" si="2"/>
        <v>1872.9999999999995</v>
      </c>
      <c r="Y124" s="2"/>
      <c r="Z124" s="19">
        <f t="shared" si="3"/>
        <v>-0.33846176086854379</v>
      </c>
    </row>
    <row r="125" spans="1:26" s="24" customFormat="1" hidden="1" outlineLevel="1" x14ac:dyDescent="0.25">
      <c r="A125" s="44"/>
      <c r="B125" s="11" t="str">
        <f>CONCATENATE("          ", "4288", " - ", "TAXABLE SALES RETURN-MUSIC")</f>
        <v xml:space="preserve">          4288 - TAXABLE SALES RETURN-MUSIC</v>
      </c>
      <c r="C125" s="11"/>
      <c r="D125" s="2">
        <f>-149</f>
        <v>-149</v>
      </c>
      <c r="E125" s="2"/>
      <c r="F125" s="19"/>
      <c r="G125" s="2"/>
      <c r="H125" s="2">
        <f>-47.99</f>
        <v>-47.99</v>
      </c>
      <c r="I125" s="2"/>
      <c r="J125" s="19"/>
      <c r="K125" s="2"/>
      <c r="L125" s="2">
        <f t="shared" si="0"/>
        <v>-101.00999999999999</v>
      </c>
      <c r="M125" s="2"/>
      <c r="N125" s="19">
        <f t="shared" si="1"/>
        <v>2.1048135028130859</v>
      </c>
      <c r="O125" s="11"/>
      <c r="P125" s="2">
        <f>-152.99</f>
        <v>-152.99</v>
      </c>
      <c r="Q125" s="2"/>
      <c r="R125" s="19"/>
      <c r="S125" s="2"/>
      <c r="T125" s="2">
        <f>-64.98</f>
        <v>-64.98</v>
      </c>
      <c r="U125" s="2"/>
      <c r="V125" s="19"/>
      <c r="W125" s="2"/>
      <c r="X125" s="2">
        <f t="shared" si="2"/>
        <v>-88.01</v>
      </c>
      <c r="Y125" s="2"/>
      <c r="Z125" s="19">
        <f t="shared" si="3"/>
        <v>1.3544167436134196</v>
      </c>
    </row>
    <row r="126" spans="1:26" s="24" customFormat="1" hidden="1" outlineLevel="1" x14ac:dyDescent="0.25">
      <c r="A126" s="44"/>
      <c r="B126" s="11" t="str">
        <f>CONCATENATE("          ", "4292", " - ", "SALES RETURN TAXABLE-GRAD MERC")</f>
        <v xml:space="preserve">          4292 - SALES RETURN TAXABLE-GRAD MERC</v>
      </c>
      <c r="C126" s="11"/>
      <c r="D126" s="2">
        <f>-64.89</f>
        <v>-64.89</v>
      </c>
      <c r="E126" s="2"/>
      <c r="F126" s="19"/>
      <c r="G126" s="2"/>
      <c r="H126" s="2">
        <f>-4549.35</f>
        <v>-4549.3500000000004</v>
      </c>
      <c r="I126" s="2"/>
      <c r="J126" s="19"/>
      <c r="K126" s="2"/>
      <c r="L126" s="2">
        <f t="shared" si="0"/>
        <v>4484.46</v>
      </c>
      <c r="M126" s="2"/>
      <c r="N126" s="19">
        <f t="shared" si="1"/>
        <v>-0.98573642388473071</v>
      </c>
      <c r="O126" s="11"/>
      <c r="P126" s="2">
        <f>-578.84</f>
        <v>-578.84</v>
      </c>
      <c r="Q126" s="2"/>
      <c r="R126" s="19"/>
      <c r="S126" s="2"/>
      <c r="T126" s="2">
        <f>-8512.31</f>
        <v>-8512.31</v>
      </c>
      <c r="U126" s="2"/>
      <c r="V126" s="19"/>
      <c r="W126" s="2"/>
      <c r="X126" s="2">
        <f t="shared" si="2"/>
        <v>7933.4699999999993</v>
      </c>
      <c r="Y126" s="2"/>
      <c r="Z126" s="19">
        <f t="shared" si="3"/>
        <v>-0.93199965696738019</v>
      </c>
    </row>
    <row r="127" spans="1:26" s="24" customFormat="1" hidden="1" outlineLevel="1" x14ac:dyDescent="0.25">
      <c r="A127" s="44"/>
      <c r="B127" s="11" t="str">
        <f>CONCATENATE("          ", "4295", " - ", "SALES RETURN TAXABLE-CUSTOMER")</f>
        <v xml:space="preserve">          4295 - SALES RETURN TAXABLE-CUSTOMER</v>
      </c>
      <c r="C127" s="11"/>
      <c r="D127" s="2">
        <f>0</f>
        <v>0</v>
      </c>
      <c r="E127" s="2"/>
      <c r="F127" s="19"/>
      <c r="G127" s="2"/>
      <c r="H127" s="2">
        <f>0</f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--0.99</f>
        <v>0.99</v>
      </c>
      <c r="Q127" s="2"/>
      <c r="R127" s="19"/>
      <c r="S127" s="2"/>
      <c r="T127" s="2">
        <f>-126.72</f>
        <v>-126.72</v>
      </c>
      <c r="U127" s="2"/>
      <c r="V127" s="19"/>
      <c r="W127" s="2"/>
      <c r="X127" s="2">
        <f t="shared" si="2"/>
        <v>127.71</v>
      </c>
      <c r="Y127" s="2"/>
      <c r="Z127" s="19">
        <f t="shared" si="3"/>
        <v>-1.0078125</v>
      </c>
    </row>
    <row r="128" spans="1:26" s="24" customFormat="1" hidden="1" outlineLevel="1" x14ac:dyDescent="0.25">
      <c r="A128" s="44"/>
      <c r="B128" s="11" t="str">
        <f>CONCATENATE("          ", "4301", " - ", "SALES RETURN NON TAXABLE-NEW T")</f>
        <v xml:space="preserve">          4301 - SALES RETURN NON TAXABLE-NEW T</v>
      </c>
      <c r="C128" s="11"/>
      <c r="D128" s="2">
        <f>-5710.44</f>
        <v>-5710.44</v>
      </c>
      <c r="E128" s="2"/>
      <c r="F128" s="19"/>
      <c r="G128" s="2"/>
      <c r="H128" s="2">
        <f>-1917.11</f>
        <v>-1917.11</v>
      </c>
      <c r="I128" s="2"/>
      <c r="J128" s="19"/>
      <c r="K128" s="2"/>
      <c r="L128" s="2">
        <f t="shared" si="0"/>
        <v>-3793.33</v>
      </c>
      <c r="M128" s="2"/>
      <c r="N128" s="19">
        <f t="shared" si="1"/>
        <v>1.9786710204422282</v>
      </c>
      <c r="O128" s="11"/>
      <c r="P128" s="2">
        <f>-21289.87</f>
        <v>-21289.87</v>
      </c>
      <c r="Q128" s="2"/>
      <c r="R128" s="19"/>
      <c r="S128" s="2"/>
      <c r="T128" s="2">
        <f>-51488.2</f>
        <v>-51488.2</v>
      </c>
      <c r="U128" s="2"/>
      <c r="V128" s="19"/>
      <c r="W128" s="2"/>
      <c r="X128" s="2">
        <f t="shared" si="2"/>
        <v>30198.329999999998</v>
      </c>
      <c r="Y128" s="2"/>
      <c r="Z128" s="19">
        <f t="shared" si="3"/>
        <v>-0.58650972455824835</v>
      </c>
    </row>
    <row r="129" spans="1:26" s="24" customFormat="1" hidden="1" outlineLevel="1" x14ac:dyDescent="0.25">
      <c r="A129" s="44"/>
      <c r="B129" s="11" t="str">
        <f>CONCATENATE("          ", "4302", " - ", "SALES RETURN NON TAXABLE-TEXT")</f>
        <v xml:space="preserve">          4302 - SALES RETURN NON TAXABLE-TEXT</v>
      </c>
      <c r="C129" s="11"/>
      <c r="D129" s="2">
        <f>-67.5</f>
        <v>-67.5</v>
      </c>
      <c r="E129" s="2"/>
      <c r="F129" s="19"/>
      <c r="G129" s="2"/>
      <c r="H129" s="2">
        <f>-1539.55</f>
        <v>-1539.55</v>
      </c>
      <c r="I129" s="2"/>
      <c r="J129" s="19"/>
      <c r="K129" s="2"/>
      <c r="L129" s="2">
        <f t="shared" si="0"/>
        <v>1472.05</v>
      </c>
      <c r="M129" s="2"/>
      <c r="N129" s="19">
        <f t="shared" si="1"/>
        <v>-0.95615601961612162</v>
      </c>
      <c r="O129" s="11"/>
      <c r="P129" s="2">
        <f>-1379.87</f>
        <v>-1379.87</v>
      </c>
      <c r="Q129" s="2"/>
      <c r="R129" s="19"/>
      <c r="S129" s="2"/>
      <c r="T129" s="2">
        <f>-6328.25</f>
        <v>-6328.25</v>
      </c>
      <c r="U129" s="2"/>
      <c r="V129" s="19"/>
      <c r="W129" s="2"/>
      <c r="X129" s="2">
        <f t="shared" si="2"/>
        <v>4948.38</v>
      </c>
      <c r="Y129" s="2"/>
      <c r="Z129" s="19">
        <f t="shared" si="3"/>
        <v>-0.78195077628096232</v>
      </c>
    </row>
    <row r="130" spans="1:26" s="24" customFormat="1" hidden="1" outlineLevel="1" x14ac:dyDescent="0.25">
      <c r="A130" s="44"/>
      <c r="B130" s="11" t="str">
        <f>CONCATENATE("          ", "4303", " - ", "SALES RETURN NON-TAXABLE-RENTA")</f>
        <v xml:space="preserve">          4303 - SALES RETURN NON-TAXABLE-RENTA</v>
      </c>
      <c r="C130" s="11"/>
      <c r="D130" s="2">
        <f>0</f>
        <v>0</v>
      </c>
      <c r="E130" s="2"/>
      <c r="F130" s="19"/>
      <c r="G130" s="2"/>
      <c r="H130" s="2">
        <f>0</f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-184.99</f>
        <v>-184.99</v>
      </c>
      <c r="Q130" s="2"/>
      <c r="R130" s="19"/>
      <c r="S130" s="2"/>
      <c r="T130" s="2">
        <f>-509.85</f>
        <v>-509.85</v>
      </c>
      <c r="U130" s="2"/>
      <c r="V130" s="19"/>
      <c r="W130" s="2"/>
      <c r="X130" s="2">
        <f t="shared" si="2"/>
        <v>324.86</v>
      </c>
      <c r="Y130" s="2"/>
      <c r="Z130" s="19">
        <f t="shared" si="3"/>
        <v>-0.63716779444934779</v>
      </c>
    </row>
    <row r="131" spans="1:26" s="24" customFormat="1" hidden="1" outlineLevel="1" x14ac:dyDescent="0.25">
      <c r="A131" s="44"/>
      <c r="B131" s="11" t="str">
        <f>CONCATENATE("          ", "4304", " - ", "SALES RETURN NON TAXABLE-DIGIT")</f>
        <v xml:space="preserve">          4304 - SALES RETURN NON TAXABLE-DIGIT</v>
      </c>
      <c r="C131" s="11"/>
      <c r="D131" s="2">
        <f>-438.2</f>
        <v>-438.2</v>
      </c>
      <c r="E131" s="2"/>
      <c r="F131" s="19"/>
      <c r="G131" s="2"/>
      <c r="H131" s="2">
        <f>-379.96</f>
        <v>-379.96</v>
      </c>
      <c r="I131" s="2"/>
      <c r="J131" s="19"/>
      <c r="K131" s="2"/>
      <c r="L131" s="2">
        <f t="shared" si="0"/>
        <v>-58.240000000000009</v>
      </c>
      <c r="M131" s="2"/>
      <c r="N131" s="19">
        <f t="shared" si="1"/>
        <v>0.15327929255711131</v>
      </c>
      <c r="O131" s="11"/>
      <c r="P131" s="2">
        <f>-19474.33</f>
        <v>-19474.330000000002</v>
      </c>
      <c r="Q131" s="2"/>
      <c r="R131" s="19"/>
      <c r="S131" s="2"/>
      <c r="T131" s="2">
        <f>-6047.96</f>
        <v>-6047.96</v>
      </c>
      <c r="U131" s="2"/>
      <c r="V131" s="19"/>
      <c r="W131" s="2"/>
      <c r="X131" s="2">
        <f t="shared" si="2"/>
        <v>-13426.370000000003</v>
      </c>
      <c r="Y131" s="2"/>
      <c r="Z131" s="19">
        <f t="shared" si="3"/>
        <v>2.2199832670851003</v>
      </c>
    </row>
    <row r="132" spans="1:26" s="24" customFormat="1" hidden="1" outlineLevel="1" x14ac:dyDescent="0.25">
      <c r="A132" s="44"/>
      <c r="B132" s="11" t="str">
        <f>CONCATENATE("          ", "4311", " - ", "SALES RETURN NON TAXABLE-NO VA")</f>
        <v xml:space="preserve">          4311 - SALES RETURN NON TAXABLE-NO VA</v>
      </c>
      <c r="C132" s="11"/>
      <c r="D132" s="2">
        <f t="shared" ref="D132:D138" si="19">0</f>
        <v>0</v>
      </c>
      <c r="E132" s="2"/>
      <c r="F132" s="19"/>
      <c r="G132" s="2"/>
      <c r="H132" s="2">
        <f>-361.71</f>
        <v>-361.71</v>
      </c>
      <c r="I132" s="2"/>
      <c r="J132" s="19"/>
      <c r="K132" s="2"/>
      <c r="L132" s="2">
        <f t="shared" si="0"/>
        <v>361.71</v>
      </c>
      <c r="M132" s="2"/>
      <c r="N132" s="19">
        <f t="shared" si="1"/>
        <v>-1</v>
      </c>
      <c r="O132" s="11"/>
      <c r="P132" s="2">
        <f>-941.28</f>
        <v>-941.28</v>
      </c>
      <c r="Q132" s="2"/>
      <c r="R132" s="19"/>
      <c r="S132" s="2"/>
      <c r="T132" s="2">
        <f>-2110.54</f>
        <v>-2110.54</v>
      </c>
      <c r="U132" s="2"/>
      <c r="V132" s="19"/>
      <c r="W132" s="2"/>
      <c r="X132" s="2">
        <f t="shared" si="2"/>
        <v>1169.26</v>
      </c>
      <c r="Y132" s="2"/>
      <c r="Z132" s="19">
        <f t="shared" si="3"/>
        <v>-0.55400987425019188</v>
      </c>
    </row>
    <row r="133" spans="1:26" s="24" customFormat="1" hidden="1" outlineLevel="1" x14ac:dyDescent="0.25">
      <c r="A133" s="44"/>
      <c r="B133" s="11" t="str">
        <f>CONCATENATE("          ", "4313", " - ", "SALES RETURN NON TAXABLE-TRADE")</f>
        <v xml:space="preserve">          4313 - SALES RETURN NON TAXABLE-TRADE</v>
      </c>
      <c r="C133" s="11"/>
      <c r="D133" s="2">
        <f t="shared" si="19"/>
        <v>0</v>
      </c>
      <c r="E133" s="2"/>
      <c r="F133" s="19"/>
      <c r="G133" s="2"/>
      <c r="H133" s="2">
        <f t="shared" ref="H133:H134" si="20">0</f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-2481.44</f>
        <v>-2481.44</v>
      </c>
      <c r="Q133" s="2"/>
      <c r="R133" s="19"/>
      <c r="S133" s="2"/>
      <c r="T133" s="2">
        <f>0</f>
        <v>0</v>
      </c>
      <c r="U133" s="2"/>
      <c r="V133" s="19"/>
      <c r="W133" s="2"/>
      <c r="X133" s="2">
        <f t="shared" si="2"/>
        <v>-2481.44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"4318", " - ", "SALES RETURN NON TAXABLE-STUDY")</f>
        <v xml:space="preserve">          4318 - SALES RETURN NON TAXABLE-STUDY</v>
      </c>
      <c r="C134" s="11"/>
      <c r="D134" s="2">
        <f t="shared" si="19"/>
        <v>0</v>
      </c>
      <c r="E134" s="2"/>
      <c r="F134" s="19"/>
      <c r="G134" s="2"/>
      <c r="H134" s="2">
        <f t="shared" si="20"/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 t="shared" ref="P134:P135" si="21">0</f>
        <v>0</v>
      </c>
      <c r="Q134" s="2"/>
      <c r="R134" s="19"/>
      <c r="S134" s="2"/>
      <c r="T134" s="2">
        <f>-5.04</f>
        <v>-5.04</v>
      </c>
      <c r="U134" s="2"/>
      <c r="V134" s="19"/>
      <c r="W134" s="2"/>
      <c r="X134" s="2">
        <f t="shared" si="2"/>
        <v>5.04</v>
      </c>
      <c r="Y134" s="2"/>
      <c r="Z134" s="19">
        <f t="shared" si="3"/>
        <v>-1</v>
      </c>
    </row>
    <row r="135" spans="1:26" s="24" customFormat="1" hidden="1" outlineLevel="1" x14ac:dyDescent="0.25">
      <c r="A135" s="44"/>
      <c r="B135" s="11" t="str">
        <f>CONCATENATE("          ", "4326", " - ", "SALES RETURN NON TAXABLE-WRITI")</f>
        <v xml:space="preserve">          4326 - SALES RETURN NON TAXABLE-WRITI</v>
      </c>
      <c r="C135" s="11"/>
      <c r="D135" s="2">
        <f t="shared" si="19"/>
        <v>0</v>
      </c>
      <c r="E135" s="2"/>
      <c r="F135" s="19"/>
      <c r="G135" s="2"/>
      <c r="H135" s="2">
        <f>-9.68</f>
        <v>-9.68</v>
      </c>
      <c r="I135" s="2"/>
      <c r="J135" s="19"/>
      <c r="K135" s="2"/>
      <c r="L135" s="2">
        <f t="shared" si="0"/>
        <v>9.68</v>
      </c>
      <c r="M135" s="2"/>
      <c r="N135" s="19">
        <f t="shared" si="1"/>
        <v>-1</v>
      </c>
      <c r="O135" s="11"/>
      <c r="P135" s="2">
        <f t="shared" si="21"/>
        <v>0</v>
      </c>
      <c r="Q135" s="2"/>
      <c r="R135" s="19"/>
      <c r="S135" s="2"/>
      <c r="T135" s="2">
        <f>-28.23</f>
        <v>-28.23</v>
      </c>
      <c r="U135" s="2"/>
      <c r="V135" s="19"/>
      <c r="W135" s="2"/>
      <c r="X135" s="2">
        <f t="shared" si="2"/>
        <v>28.23</v>
      </c>
      <c r="Y135" s="2"/>
      <c r="Z135" s="19">
        <f t="shared" si="3"/>
        <v>-1</v>
      </c>
    </row>
    <row r="136" spans="1:26" s="24" customFormat="1" hidden="1" outlineLevel="1" x14ac:dyDescent="0.25">
      <c r="A136" s="44"/>
      <c r="B136" s="11" t="str">
        <f>CONCATENATE("          ", "4327", " - ", "SALES RETURN NON TAXABLE-SCHOO")</f>
        <v xml:space="preserve">          4327 - SALES RETURN NON TAXABLE-SCHOO</v>
      </c>
      <c r="C136" s="11"/>
      <c r="D136" s="2">
        <f t="shared" si="19"/>
        <v>0</v>
      </c>
      <c r="E136" s="2"/>
      <c r="F136" s="19"/>
      <c r="G136" s="2"/>
      <c r="H136" s="2">
        <f t="shared" ref="H136:H138" si="22">0</f>
        <v>0</v>
      </c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-21.87</f>
        <v>-21.87</v>
      </c>
      <c r="Q136" s="2"/>
      <c r="R136" s="19"/>
      <c r="S136" s="2"/>
      <c r="T136" s="2">
        <f>-4.99</f>
        <v>-4.99</v>
      </c>
      <c r="U136" s="2"/>
      <c r="V136" s="19"/>
      <c r="W136" s="2"/>
      <c r="X136" s="2">
        <f t="shared" si="2"/>
        <v>-16.880000000000003</v>
      </c>
      <c r="Y136" s="2"/>
      <c r="Z136" s="19">
        <f t="shared" si="3"/>
        <v>3.3827655310621245</v>
      </c>
    </row>
    <row r="137" spans="1:26" s="24" customFormat="1" hidden="1" outlineLevel="1" x14ac:dyDescent="0.25">
      <c r="A137" s="44"/>
      <c r="B137" s="11" t="str">
        <f>CONCATENATE("          ", "4331", " - ", "SALES RETURN NON TAXABLE-FOOD")</f>
        <v xml:space="preserve">          4331 - SALES RETURN NON TAXABLE-FOOD</v>
      </c>
      <c r="C137" s="11"/>
      <c r="D137" s="2">
        <f t="shared" si="19"/>
        <v>0</v>
      </c>
      <c r="E137" s="2"/>
      <c r="F137" s="19"/>
      <c r="G137" s="2"/>
      <c r="H137" s="2">
        <f t="shared" si="22"/>
        <v>0</v>
      </c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-12.57</f>
        <v>-12.57</v>
      </c>
      <c r="Q137" s="2"/>
      <c r="R137" s="19"/>
      <c r="S137" s="2"/>
      <c r="T137" s="2">
        <f t="shared" ref="T137:T138" si="23">0</f>
        <v>0</v>
      </c>
      <c r="U137" s="2"/>
      <c r="V137" s="19"/>
      <c r="W137" s="2"/>
      <c r="X137" s="2">
        <f t="shared" si="2"/>
        <v>-12.57</v>
      </c>
      <c r="Y137" s="2"/>
      <c r="Z137" s="19">
        <f t="shared" si="3"/>
        <v>0</v>
      </c>
    </row>
    <row r="138" spans="1:26" s="24" customFormat="1" hidden="1" outlineLevel="1" x14ac:dyDescent="0.25">
      <c r="A138" s="44"/>
      <c r="B138" s="11" t="str">
        <f>CONCATENATE("          ", "4332", " - ", "SALES RETURN NON TAXABLE-JUICE")</f>
        <v xml:space="preserve">          4332 - SALES RETURN NON TAXABLE-JUICE</v>
      </c>
      <c r="C138" s="11"/>
      <c r="D138" s="2">
        <f t="shared" si="19"/>
        <v>0</v>
      </c>
      <c r="E138" s="2"/>
      <c r="F138" s="19"/>
      <c r="G138" s="2"/>
      <c r="H138" s="2">
        <f t="shared" si="22"/>
        <v>0</v>
      </c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-2.79</f>
        <v>-2.79</v>
      </c>
      <c r="Q138" s="2"/>
      <c r="R138" s="19"/>
      <c r="S138" s="2"/>
      <c r="T138" s="2">
        <f t="shared" si="23"/>
        <v>0</v>
      </c>
      <c r="U138" s="2"/>
      <c r="V138" s="19"/>
      <c r="W138" s="2"/>
      <c r="X138" s="2">
        <f t="shared" si="2"/>
        <v>-2.79</v>
      </c>
      <c r="Y138" s="2"/>
      <c r="Z138" s="19">
        <f t="shared" si="3"/>
        <v>0</v>
      </c>
    </row>
    <row r="139" spans="1:26" s="24" customFormat="1" hidden="1" outlineLevel="1" x14ac:dyDescent="0.25">
      <c r="A139" s="44"/>
      <c r="B139" s="11" t="str">
        <f>CONCATENATE("          ", "4340", " - ", "SALES RETURN NON TAXABLE-LOGO")</f>
        <v xml:space="preserve">          4340 - SALES RETURN NON TAXABLE-LOGO</v>
      </c>
      <c r="C139" s="11"/>
      <c r="D139" s="2">
        <f>-598.43</f>
        <v>-598.42999999999995</v>
      </c>
      <c r="E139" s="2"/>
      <c r="F139" s="19"/>
      <c r="G139" s="2"/>
      <c r="H139" s="2">
        <f>-96.85</f>
        <v>-96.85</v>
      </c>
      <c r="I139" s="2"/>
      <c r="J139" s="19"/>
      <c r="K139" s="2"/>
      <c r="L139" s="2">
        <f t="shared" si="0"/>
        <v>-501.57999999999993</v>
      </c>
      <c r="M139" s="2"/>
      <c r="N139" s="19">
        <f t="shared" si="1"/>
        <v>5.1789364997418685</v>
      </c>
      <c r="O139" s="11"/>
      <c r="P139" s="2">
        <f>-1618.83</f>
        <v>-1618.83</v>
      </c>
      <c r="Q139" s="2"/>
      <c r="R139" s="19"/>
      <c r="S139" s="2"/>
      <c r="T139" s="2">
        <f>-1035.87</f>
        <v>-1035.8699999999999</v>
      </c>
      <c r="U139" s="2"/>
      <c r="V139" s="19"/>
      <c r="W139" s="2"/>
      <c r="X139" s="2">
        <f t="shared" si="2"/>
        <v>-582.96</v>
      </c>
      <c r="Y139" s="2"/>
      <c r="Z139" s="19">
        <f t="shared" si="3"/>
        <v>0.56277332097657051</v>
      </c>
    </row>
    <row r="140" spans="1:26" s="24" customFormat="1" hidden="1" outlineLevel="1" x14ac:dyDescent="0.25">
      <c r="A140" s="44"/>
      <c r="B140" s="11" t="str">
        <f>CONCATENATE("          ", "4341", " - ", "SALES RETURN NON TAXABLE-LOGO")</f>
        <v xml:space="preserve">          4341 - SALES RETURN NON TAXABLE-LOGO</v>
      </c>
      <c r="C140" s="11"/>
      <c r="D140" s="2">
        <f>-39.95</f>
        <v>-39.950000000000003</v>
      </c>
      <c r="E140" s="2"/>
      <c r="F140" s="19"/>
      <c r="G140" s="2"/>
      <c r="H140" s="2">
        <f>-34.9</f>
        <v>-34.9</v>
      </c>
      <c r="I140" s="2"/>
      <c r="J140" s="19"/>
      <c r="K140" s="2"/>
      <c r="L140" s="2">
        <f t="shared" si="0"/>
        <v>-5.0500000000000043</v>
      </c>
      <c r="M140" s="2"/>
      <c r="N140" s="19">
        <f t="shared" si="1"/>
        <v>0.14469914040114626</v>
      </c>
      <c r="O140" s="11"/>
      <c r="P140" s="2">
        <f>-285.45</f>
        <v>-285.45</v>
      </c>
      <c r="Q140" s="2"/>
      <c r="R140" s="19"/>
      <c r="S140" s="2"/>
      <c r="T140" s="2">
        <f>-292.85</f>
        <v>-292.85000000000002</v>
      </c>
      <c r="U140" s="2"/>
      <c r="V140" s="19"/>
      <c r="W140" s="2"/>
      <c r="X140" s="2">
        <f t="shared" si="2"/>
        <v>7.4000000000000341</v>
      </c>
      <c r="Y140" s="2"/>
      <c r="Z140" s="19">
        <f t="shared" si="3"/>
        <v>-2.5268908997780549E-2</v>
      </c>
    </row>
    <row r="141" spans="1:26" s="24" customFormat="1" hidden="1" outlineLevel="1" x14ac:dyDescent="0.25">
      <c r="A141" s="44"/>
      <c r="B141" s="11" t="str">
        <f>CONCATENATE("          ", "4342", " - ", "SALES RETURN NON TAXABLE-EVERY")</f>
        <v xml:space="preserve">          4342 - SALES RETURN NON TAXABLE-EVERY</v>
      </c>
      <c r="C141" s="11"/>
      <c r="D141" s="2">
        <f t="shared" ref="D141:D146" si="24">0</f>
        <v>0</v>
      </c>
      <c r="E141" s="2"/>
      <c r="F141" s="19"/>
      <c r="G141" s="2"/>
      <c r="H141" s="2">
        <f t="shared" ref="H141:H143" si="25">0</f>
        <v>0</v>
      </c>
      <c r="I141" s="2"/>
      <c r="J141" s="19"/>
      <c r="K141" s="2"/>
      <c r="L141" s="2">
        <f t="shared" si="0"/>
        <v>0</v>
      </c>
      <c r="M141" s="2"/>
      <c r="N141" s="19">
        <f t="shared" si="1"/>
        <v>0</v>
      </c>
      <c r="O141" s="11"/>
      <c r="P141" s="2">
        <f>-149.22</f>
        <v>-149.22</v>
      </c>
      <c r="Q141" s="2"/>
      <c r="R141" s="19"/>
      <c r="S141" s="2"/>
      <c r="T141" s="2">
        <f>-103.6</f>
        <v>-103.6</v>
      </c>
      <c r="U141" s="2"/>
      <c r="V141" s="19"/>
      <c r="W141" s="2"/>
      <c r="X141" s="2">
        <f t="shared" si="2"/>
        <v>-45.620000000000005</v>
      </c>
      <c r="Y141" s="2"/>
      <c r="Z141" s="19">
        <f t="shared" si="3"/>
        <v>0.44034749034749043</v>
      </c>
    </row>
    <row r="142" spans="1:26" s="24" customFormat="1" hidden="1" outlineLevel="1" x14ac:dyDescent="0.25">
      <c r="A142" s="44"/>
      <c r="B142" s="11" t="str">
        <f>CONCATENATE("          ", "4346", " - ", "SALES RETURN NON TAXABLE-COIN-")</f>
        <v xml:space="preserve">          4346 - SALES RETURN NON TAXABLE-COIN-</v>
      </c>
      <c r="C142" s="11"/>
      <c r="D142" s="2">
        <f t="shared" si="24"/>
        <v>0</v>
      </c>
      <c r="E142" s="2"/>
      <c r="F142" s="19"/>
      <c r="G142" s="2"/>
      <c r="H142" s="2">
        <f t="shared" si="25"/>
        <v>0</v>
      </c>
      <c r="I142" s="2"/>
      <c r="J142" s="19"/>
      <c r="K142" s="2"/>
      <c r="L142" s="2">
        <f t="shared" si="0"/>
        <v>0</v>
      </c>
      <c r="M142" s="2"/>
      <c r="N142" s="19">
        <f t="shared" si="1"/>
        <v>0</v>
      </c>
      <c r="O142" s="11"/>
      <c r="P142" s="2">
        <f>-8.15</f>
        <v>-8.15</v>
      </c>
      <c r="Q142" s="2"/>
      <c r="R142" s="19"/>
      <c r="S142" s="2"/>
      <c r="T142" s="2">
        <f t="shared" ref="T142:T143" si="26">0</f>
        <v>0</v>
      </c>
      <c r="U142" s="2"/>
      <c r="V142" s="19"/>
      <c r="W142" s="2"/>
      <c r="X142" s="2">
        <f t="shared" si="2"/>
        <v>-8.15</v>
      </c>
      <c r="Y142" s="2"/>
      <c r="Z142" s="19">
        <f t="shared" si="3"/>
        <v>0</v>
      </c>
    </row>
    <row r="143" spans="1:26" s="24" customFormat="1" hidden="1" outlineLevel="1" x14ac:dyDescent="0.25">
      <c r="A143" s="44"/>
      <c r="B143" s="11" t="str">
        <f>CONCATENATE("          ", "4347", " - ", "SALES RETURN NON TAXABLE-MISC")</f>
        <v xml:space="preserve">          4347 - SALES RETURN NON TAXABLE-MISC</v>
      </c>
      <c r="C143" s="11"/>
      <c r="D143" s="2">
        <f t="shared" si="24"/>
        <v>0</v>
      </c>
      <c r="E143" s="2"/>
      <c r="F143" s="19"/>
      <c r="G143" s="2"/>
      <c r="H143" s="2">
        <f t="shared" si="25"/>
        <v>0</v>
      </c>
      <c r="I143" s="2"/>
      <c r="J143" s="19"/>
      <c r="K143" s="2"/>
      <c r="L143" s="2">
        <f t="shared" si="0"/>
        <v>0</v>
      </c>
      <c r="M143" s="2"/>
      <c r="N143" s="19">
        <f t="shared" si="1"/>
        <v>0</v>
      </c>
      <c r="O143" s="11"/>
      <c r="P143" s="2">
        <f>-84</f>
        <v>-84</v>
      </c>
      <c r="Q143" s="2"/>
      <c r="R143" s="19"/>
      <c r="S143" s="2"/>
      <c r="T143" s="2">
        <f t="shared" si="26"/>
        <v>0</v>
      </c>
      <c r="U143" s="2"/>
      <c r="V143" s="19"/>
      <c r="W143" s="2"/>
      <c r="X143" s="2">
        <f t="shared" si="2"/>
        <v>-84</v>
      </c>
      <c r="Y143" s="2"/>
      <c r="Z143" s="19">
        <f t="shared" si="3"/>
        <v>0</v>
      </c>
    </row>
    <row r="144" spans="1:26" s="24" customFormat="1" hidden="1" outlineLevel="1" x14ac:dyDescent="0.25">
      <c r="A144" s="44"/>
      <c r="B144" s="11" t="str">
        <f>CONCATENATE("          ", "4381", " - ", "SALES RETURN NON TAXABLE-ELECT")</f>
        <v xml:space="preserve">          4381 - SALES RETURN NON TAXABLE-ELECT</v>
      </c>
      <c r="C144" s="11"/>
      <c r="D144" s="2">
        <f t="shared" si="24"/>
        <v>0</v>
      </c>
      <c r="E144" s="2"/>
      <c r="F144" s="19"/>
      <c r="G144" s="2"/>
      <c r="H144" s="2">
        <f>-29.97</f>
        <v>-29.97</v>
      </c>
      <c r="I144" s="2"/>
      <c r="J144" s="19"/>
      <c r="K144" s="2"/>
      <c r="L144" s="2">
        <f t="shared" si="0"/>
        <v>29.97</v>
      </c>
      <c r="M144" s="2"/>
      <c r="N144" s="19">
        <f t="shared" si="1"/>
        <v>-1</v>
      </c>
      <c r="O144" s="11"/>
      <c r="P144" s="2">
        <f>-1279.84</f>
        <v>-1279.8399999999999</v>
      </c>
      <c r="Q144" s="2"/>
      <c r="R144" s="19"/>
      <c r="S144" s="2"/>
      <c r="T144" s="2">
        <f>-247.82</f>
        <v>-247.82</v>
      </c>
      <c r="U144" s="2"/>
      <c r="V144" s="19"/>
      <c r="W144" s="2"/>
      <c r="X144" s="2">
        <f t="shared" si="2"/>
        <v>-1032.02</v>
      </c>
      <c r="Y144" s="2"/>
      <c r="Z144" s="19">
        <f t="shared" si="3"/>
        <v>4.1643935114195791</v>
      </c>
    </row>
    <row r="145" spans="1:26" s="24" customFormat="1" hidden="1" outlineLevel="1" x14ac:dyDescent="0.25">
      <c r="A145" s="44"/>
      <c r="B145" s="11" t="str">
        <f>CONCATENATE("          ", "4383", " - ", "SALES RETURN NON TAXABLE-COMPU")</f>
        <v xml:space="preserve">          4383 - SALES RETURN NON TAXABLE-COMPU</v>
      </c>
      <c r="C145" s="11"/>
      <c r="D145" s="2">
        <f t="shared" si="24"/>
        <v>0</v>
      </c>
      <c r="E145" s="2"/>
      <c r="F145" s="19"/>
      <c r="G145" s="2"/>
      <c r="H145" s="2">
        <f t="shared" ref="H145:H146" si="27">0</f>
        <v>0</v>
      </c>
      <c r="I145" s="2"/>
      <c r="J145" s="19"/>
      <c r="K145" s="2"/>
      <c r="L145" s="2">
        <f t="shared" si="0"/>
        <v>0</v>
      </c>
      <c r="M145" s="2"/>
      <c r="N145" s="19">
        <f t="shared" si="1"/>
        <v>0</v>
      </c>
      <c r="O145" s="11"/>
      <c r="P145" s="2">
        <f>-49.98</f>
        <v>-49.98</v>
      </c>
      <c r="Q145" s="2"/>
      <c r="R145" s="19"/>
      <c r="S145" s="2"/>
      <c r="T145" s="2">
        <f>-153.92</f>
        <v>-153.91999999999999</v>
      </c>
      <c r="U145" s="2"/>
      <c r="V145" s="19"/>
      <c r="W145" s="2"/>
      <c r="X145" s="2">
        <f t="shared" si="2"/>
        <v>103.94</v>
      </c>
      <c r="Y145" s="2"/>
      <c r="Z145" s="19">
        <f t="shared" si="3"/>
        <v>-0.67528586278586278</v>
      </c>
    </row>
    <row r="146" spans="1:26" s="24" customFormat="1" hidden="1" outlineLevel="1" x14ac:dyDescent="0.25">
      <c r="A146" s="44"/>
      <c r="B146" s="11" t="str">
        <f>CONCATENATE("          ", "4386", " - ", "SALES RETURN NON TAXABLE-COMPU")</f>
        <v xml:space="preserve">          4386 - SALES RETURN NON TAXABLE-COMPU</v>
      </c>
      <c r="C146" s="11"/>
      <c r="D146" s="2">
        <f t="shared" si="24"/>
        <v>0</v>
      </c>
      <c r="E146" s="2"/>
      <c r="F146" s="19"/>
      <c r="G146" s="2"/>
      <c r="H146" s="2">
        <f t="shared" si="27"/>
        <v>0</v>
      </c>
      <c r="I146" s="2"/>
      <c r="J146" s="19"/>
      <c r="K146" s="2"/>
      <c r="L146" s="2">
        <f t="shared" si="0"/>
        <v>0</v>
      </c>
      <c r="M146" s="2"/>
      <c r="N146" s="19">
        <f t="shared" si="1"/>
        <v>0</v>
      </c>
      <c r="O146" s="11"/>
      <c r="P146" s="2">
        <f>-104.96</f>
        <v>-104.96</v>
      </c>
      <c r="Q146" s="2"/>
      <c r="R146" s="19"/>
      <c r="S146" s="2"/>
      <c r="T146" s="2">
        <f>-209.95</f>
        <v>-209.95</v>
      </c>
      <c r="U146" s="2"/>
      <c r="V146" s="19"/>
      <c r="W146" s="2"/>
      <c r="X146" s="2">
        <f t="shared" si="2"/>
        <v>104.99</v>
      </c>
      <c r="Y146" s="2"/>
      <c r="Z146" s="19">
        <f t="shared" si="3"/>
        <v>-0.50007144558228145</v>
      </c>
    </row>
    <row r="147" spans="1:26" x14ac:dyDescent="0.25">
      <c r="A147" s="9"/>
      <c r="B147" s="10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collapsed="1" x14ac:dyDescent="0.25">
      <c r="A148" s="10"/>
      <c r="B148" s="28" t="s">
        <v>8</v>
      </c>
      <c r="C148" s="10"/>
      <c r="D148" s="4">
        <f>SUM(OSRRefD16x_0)</f>
        <v>286328.75</v>
      </c>
      <c r="E148" s="4"/>
      <c r="F148" s="12">
        <f t="shared" ref="F148:F209" si="28">IF(D$12=0,0,D148/D$12)</f>
        <v>0.5656519459021575</v>
      </c>
      <c r="G148" s="4"/>
      <c r="H148" s="4">
        <f>SUM(OSRRefH16x_0)</f>
        <v>1170502.3299999998</v>
      </c>
      <c r="I148" s="4"/>
      <c r="J148" s="12">
        <f t="shared" ref="J148:J209" si="29">IF(H$12=0,0,H148/H$12)</f>
        <v>0.43737965544222301</v>
      </c>
      <c r="K148" s="4"/>
      <c r="L148" s="4">
        <f t="shared" ref="L148:L209" si="30">+D148-H148</f>
        <v>-884173.57999999984</v>
      </c>
      <c r="M148" s="4"/>
      <c r="N148" s="12">
        <f t="shared" ref="N148:N209" si="31">IF(H148=0,0,L148/H148)</f>
        <v>-0.75537959843275149</v>
      </c>
      <c r="O148" s="10"/>
      <c r="P148" s="4">
        <f>SUM(OSRRefP16x_0)</f>
        <v>12441243.380000003</v>
      </c>
      <c r="Q148" s="4"/>
      <c r="R148" s="12">
        <f t="shared" ref="R148:R209" si="32">IF(P$12=0,0,P148/P$12)</f>
        <v>0.44354054504310447</v>
      </c>
      <c r="S148" s="4"/>
      <c r="T148" s="4">
        <f>SUM(OSRRefT16x_0)</f>
        <v>14991974.879999995</v>
      </c>
      <c r="U148" s="4"/>
      <c r="V148" s="12">
        <f t="shared" ref="V148:V209" si="33">IF(T$12=0,0,T148/T$12)</f>
        <v>0.42887397219498785</v>
      </c>
      <c r="W148" s="4"/>
      <c r="X148" s="4">
        <f t="shared" ref="X148:X209" si="34">+P148-T148</f>
        <v>-2550731.4999999925</v>
      </c>
      <c r="Y148" s="4"/>
      <c r="Z148" s="12">
        <f t="shared" ref="Z148:Z209" si="35">IF(T148=0,0,X148/T148)</f>
        <v>-0.17013979281694164</v>
      </c>
    </row>
    <row r="149" spans="1:26" s="24" customFormat="1" hidden="1" outlineLevel="1" x14ac:dyDescent="0.25">
      <c r="A149" s="44"/>
      <c r="B149" s="11" t="str">
        <f>CONCATENATE("          ", "5000", " - ", "PURCHASES @ COST")</f>
        <v xml:space="preserve">          5000 - PURCHASES @ COST</v>
      </c>
      <c r="C149" s="11"/>
      <c r="D149" s="2"/>
      <c r="E149" s="2"/>
      <c r="F149" s="19">
        <f t="shared" si="28"/>
        <v>0</v>
      </c>
      <c r="G149" s="2"/>
      <c r="H149" s="2"/>
      <c r="I149" s="2"/>
      <c r="J149" s="19">
        <f t="shared" si="29"/>
        <v>0</v>
      </c>
      <c r="K149" s="2"/>
      <c r="L149" s="2">
        <f t="shared" si="30"/>
        <v>0</v>
      </c>
      <c r="M149" s="2"/>
      <c r="N149" s="19">
        <f t="shared" si="31"/>
        <v>0</v>
      </c>
      <c r="O149" s="11"/>
      <c r="P149" s="2"/>
      <c r="Q149" s="2"/>
      <c r="R149" s="19">
        <f t="shared" si="32"/>
        <v>0</v>
      </c>
      <c r="S149" s="2"/>
      <c r="T149" s="2">
        <v>1020</v>
      </c>
      <c r="U149" s="2"/>
      <c r="V149" s="19">
        <f t="shared" si="33"/>
        <v>2.9179041129695898E-5</v>
      </c>
      <c r="W149" s="2"/>
      <c r="X149" s="2">
        <f t="shared" si="34"/>
        <v>-1020</v>
      </c>
      <c r="Y149" s="2"/>
      <c r="Z149" s="19">
        <f t="shared" si="35"/>
        <v>-1</v>
      </c>
    </row>
    <row r="150" spans="1:26" s="24" customFormat="1" hidden="1" outlineLevel="1" x14ac:dyDescent="0.25">
      <c r="A150" s="44"/>
      <c r="B150" s="11" t="str">
        <f>CONCATENATE("          ", "5001", " - ", "PURCHASES @ COST-NEW TEXT")</f>
        <v xml:space="preserve">          5001 - PURCHASES @ COST-NEW TEXT</v>
      </c>
      <c r="C150" s="11"/>
      <c r="D150" s="2">
        <v>71528.210000000006</v>
      </c>
      <c r="E150" s="2"/>
      <c r="F150" s="19">
        <f t="shared" si="28"/>
        <v>0.14130635213333681</v>
      </c>
      <c r="G150" s="2"/>
      <c r="H150" s="2">
        <v>70445.34</v>
      </c>
      <c r="I150" s="2"/>
      <c r="J150" s="19">
        <f t="shared" si="29"/>
        <v>2.6323192826715906E-2</v>
      </c>
      <c r="K150" s="2"/>
      <c r="L150" s="2">
        <f t="shared" si="30"/>
        <v>1082.8700000000099</v>
      </c>
      <c r="M150" s="2"/>
      <c r="N150" s="19">
        <f t="shared" si="31"/>
        <v>1.5371776188460584E-2</v>
      </c>
      <c r="O150" s="11"/>
      <c r="P150" s="2">
        <v>1641280.46</v>
      </c>
      <c r="Q150" s="2"/>
      <c r="R150" s="19">
        <f t="shared" si="32"/>
        <v>5.8512996455583929E-2</v>
      </c>
      <c r="S150" s="2"/>
      <c r="T150" s="2">
        <v>2396173.7599999998</v>
      </c>
      <c r="U150" s="2"/>
      <c r="V150" s="19">
        <f t="shared" si="33"/>
        <v>6.8547110487194182E-2</v>
      </c>
      <c r="W150" s="2"/>
      <c r="X150" s="2">
        <f t="shared" si="34"/>
        <v>-754893.29999999981</v>
      </c>
      <c r="Y150" s="2"/>
      <c r="Z150" s="19">
        <f t="shared" si="35"/>
        <v>-0.3150411345794889</v>
      </c>
    </row>
    <row r="151" spans="1:26" s="24" customFormat="1" hidden="1" outlineLevel="1" x14ac:dyDescent="0.25">
      <c r="A151" s="44"/>
      <c r="B151" s="11" t="str">
        <f>CONCATENATE("          ", "5002", " - ", "PURCHASES @ COST-USED TEXT")</f>
        <v xml:space="preserve">          5002 - PURCHASES @ COST-USED TEXT</v>
      </c>
      <c r="C151" s="11"/>
      <c r="D151" s="2">
        <v>14738.6</v>
      </c>
      <c r="E151" s="2"/>
      <c r="F151" s="19">
        <f t="shared" si="28"/>
        <v>2.9116593321046311E-2</v>
      </c>
      <c r="G151" s="2"/>
      <c r="H151" s="2">
        <v>25018.82</v>
      </c>
      <c r="I151" s="2"/>
      <c r="J151" s="19">
        <f t="shared" si="29"/>
        <v>9.3487407847970706E-3</v>
      </c>
      <c r="K151" s="2"/>
      <c r="L151" s="2">
        <f t="shared" si="30"/>
        <v>-10280.219999999999</v>
      </c>
      <c r="M151" s="2"/>
      <c r="N151" s="19">
        <f t="shared" si="31"/>
        <v>-0.41089947487531386</v>
      </c>
      <c r="O151" s="11"/>
      <c r="P151" s="2">
        <v>610321.38</v>
      </c>
      <c r="Q151" s="2"/>
      <c r="R151" s="19">
        <f t="shared" si="32"/>
        <v>2.1758458481073426E-2</v>
      </c>
      <c r="S151" s="2"/>
      <c r="T151" s="2">
        <v>433062.37</v>
      </c>
      <c r="U151" s="2"/>
      <c r="V151" s="19">
        <f t="shared" si="33"/>
        <v>1.2388573241130964E-2</v>
      </c>
      <c r="W151" s="2"/>
      <c r="X151" s="2">
        <f t="shared" si="34"/>
        <v>177259.01</v>
      </c>
      <c r="Y151" s="2"/>
      <c r="Z151" s="19">
        <f t="shared" si="35"/>
        <v>0.40931519863986338</v>
      </c>
    </row>
    <row r="152" spans="1:26" s="24" customFormat="1" hidden="1" outlineLevel="1" x14ac:dyDescent="0.25">
      <c r="A152" s="44"/>
      <c r="B152" s="11" t="str">
        <f>CONCATENATE("          ", "5003", " - ", "PURCHASES @ COST-RENTAL TEXT")</f>
        <v xml:space="preserve">          5003 - PURCHASES @ COST-RENTAL TEXT</v>
      </c>
      <c r="C152" s="11"/>
      <c r="D152" s="2"/>
      <c r="E152" s="2"/>
      <c r="F152" s="19">
        <f t="shared" si="28"/>
        <v>0</v>
      </c>
      <c r="G152" s="2"/>
      <c r="H152" s="2"/>
      <c r="I152" s="2"/>
      <c r="J152" s="19">
        <f t="shared" si="29"/>
        <v>0</v>
      </c>
      <c r="K152" s="2"/>
      <c r="L152" s="2">
        <f t="shared" si="30"/>
        <v>0</v>
      </c>
      <c r="M152" s="2"/>
      <c r="N152" s="19">
        <f t="shared" si="31"/>
        <v>0</v>
      </c>
      <c r="O152" s="11"/>
      <c r="P152" s="2">
        <v>-78.400000000000006</v>
      </c>
      <c r="Q152" s="2"/>
      <c r="R152" s="19">
        <f t="shared" si="32"/>
        <v>-2.7950243934042696E-6</v>
      </c>
      <c r="S152" s="2"/>
      <c r="T152" s="2">
        <v>15629.58</v>
      </c>
      <c r="U152" s="2"/>
      <c r="V152" s="19">
        <f t="shared" si="33"/>
        <v>4.4711388005869846E-4</v>
      </c>
      <c r="W152" s="2"/>
      <c r="X152" s="2">
        <f t="shared" si="34"/>
        <v>-15707.98</v>
      </c>
      <c r="Y152" s="2"/>
      <c r="Z152" s="19">
        <f t="shared" si="35"/>
        <v>-1.0050161296720705</v>
      </c>
    </row>
    <row r="153" spans="1:26" s="24" customFormat="1" hidden="1" outlineLevel="1" x14ac:dyDescent="0.25">
      <c r="A153" s="44"/>
      <c r="B153" s="11" t="str">
        <f>CONCATENATE("          ", "5004", " - ", "PURCHASES @ COST-DIGITAL TEXT")</f>
        <v xml:space="preserve">          5004 - PURCHASES @ COST-DIGITAL TEXT</v>
      </c>
      <c r="C153" s="11"/>
      <c r="D153" s="2">
        <v>-46518.259999999995</v>
      </c>
      <c r="E153" s="2"/>
      <c r="F153" s="19">
        <f t="shared" si="28"/>
        <v>-9.1898366087870997E-2</v>
      </c>
      <c r="G153" s="2"/>
      <c r="H153" s="2">
        <v>17888.12</v>
      </c>
      <c r="I153" s="2"/>
      <c r="J153" s="19">
        <f t="shared" si="29"/>
        <v>6.6842239964692244E-3</v>
      </c>
      <c r="K153" s="2"/>
      <c r="L153" s="2">
        <f t="shared" si="30"/>
        <v>-64406.37999999999</v>
      </c>
      <c r="M153" s="2"/>
      <c r="N153" s="19">
        <f t="shared" si="31"/>
        <v>-3.6005114008626951</v>
      </c>
      <c r="O153" s="11"/>
      <c r="P153" s="2">
        <v>446269.65</v>
      </c>
      <c r="Q153" s="2"/>
      <c r="R153" s="19">
        <f t="shared" si="32"/>
        <v>1.5909879563596758E-2</v>
      </c>
      <c r="S153" s="2"/>
      <c r="T153" s="2">
        <v>501578.98</v>
      </c>
      <c r="U153" s="2"/>
      <c r="V153" s="19">
        <f t="shared" si="33"/>
        <v>1.4348621261971485E-2</v>
      </c>
      <c r="W153" s="2"/>
      <c r="X153" s="2">
        <f t="shared" si="34"/>
        <v>-55309.329999999958</v>
      </c>
      <c r="Y153" s="2"/>
      <c r="Z153" s="19">
        <f t="shared" si="35"/>
        <v>-0.11027043039164033</v>
      </c>
    </row>
    <row r="154" spans="1:26" s="24" customFormat="1" hidden="1" outlineLevel="1" x14ac:dyDescent="0.25">
      <c r="A154" s="44"/>
      <c r="B154" s="11" t="str">
        <f>CONCATENATE("          ", "5011", " - ", "PURCHASES @ COST-NO VALUE TEXT")</f>
        <v xml:space="preserve">          5011 - PURCHASES @ COST-NO VALUE TEXT</v>
      </c>
      <c r="C154" s="11"/>
      <c r="D154" s="2"/>
      <c r="E154" s="2"/>
      <c r="F154" s="19">
        <f t="shared" si="28"/>
        <v>0</v>
      </c>
      <c r="G154" s="2"/>
      <c r="H154" s="2">
        <v>237</v>
      </c>
      <c r="I154" s="2"/>
      <c r="J154" s="19">
        <f t="shared" si="29"/>
        <v>8.8559395127224455E-5</v>
      </c>
      <c r="K154" s="2"/>
      <c r="L154" s="2">
        <f t="shared" si="30"/>
        <v>-237</v>
      </c>
      <c r="M154" s="2"/>
      <c r="N154" s="19">
        <f t="shared" si="31"/>
        <v>-1</v>
      </c>
      <c r="O154" s="11"/>
      <c r="P154" s="2">
        <v>6363</v>
      </c>
      <c r="Q154" s="2"/>
      <c r="R154" s="19">
        <f t="shared" si="32"/>
        <v>2.268461762146858E-4</v>
      </c>
      <c r="S154" s="2"/>
      <c r="T154" s="2">
        <v>3744</v>
      </c>
      <c r="U154" s="2"/>
      <c r="V154" s="19">
        <f t="shared" si="33"/>
        <v>1.0710424508782494E-4</v>
      </c>
      <c r="W154" s="2"/>
      <c r="X154" s="2">
        <f t="shared" si="34"/>
        <v>2619</v>
      </c>
      <c r="Y154" s="2"/>
      <c r="Z154" s="19">
        <f t="shared" si="35"/>
        <v>0.69951923076923073</v>
      </c>
    </row>
    <row r="155" spans="1:26" s="24" customFormat="1" hidden="1" outlineLevel="1" x14ac:dyDescent="0.25">
      <c r="A155" s="44"/>
      <c r="B155" s="11" t="str">
        <f>CONCATENATE("          ", "5013", " - ", "PURCHASES @ COST-TRADE BOOKS")</f>
        <v xml:space="preserve">          5013 - PURCHASES @ COST-TRADE BOOKS</v>
      </c>
      <c r="C155" s="11"/>
      <c r="D155" s="2"/>
      <c r="E155" s="2"/>
      <c r="F155" s="19">
        <f t="shared" si="28"/>
        <v>0</v>
      </c>
      <c r="G155" s="2"/>
      <c r="H155" s="2">
        <v>-265.93</v>
      </c>
      <c r="I155" s="2"/>
      <c r="J155" s="19">
        <f t="shared" si="29"/>
        <v>-9.9369620026087767E-5</v>
      </c>
      <c r="K155" s="2"/>
      <c r="L155" s="2">
        <f t="shared" si="30"/>
        <v>265.93</v>
      </c>
      <c r="M155" s="2"/>
      <c r="N155" s="19">
        <f t="shared" si="31"/>
        <v>-1</v>
      </c>
      <c r="O155" s="11"/>
      <c r="P155" s="2">
        <v>3197.85</v>
      </c>
      <c r="Q155" s="2"/>
      <c r="R155" s="19">
        <f t="shared" si="32"/>
        <v>1.1400597903632452E-4</v>
      </c>
      <c r="S155" s="2"/>
      <c r="T155" s="2">
        <v>5875.74</v>
      </c>
      <c r="U155" s="2"/>
      <c r="V155" s="19">
        <f t="shared" si="33"/>
        <v>1.6808672463470526E-4</v>
      </c>
      <c r="W155" s="2"/>
      <c r="X155" s="2">
        <f t="shared" si="34"/>
        <v>-2677.89</v>
      </c>
      <c r="Y155" s="2"/>
      <c r="Z155" s="19">
        <f t="shared" si="35"/>
        <v>-0.45575365826261882</v>
      </c>
    </row>
    <row r="156" spans="1:26" s="24" customFormat="1" hidden="1" outlineLevel="1" x14ac:dyDescent="0.25">
      <c r="A156" s="44"/>
      <c r="B156" s="11" t="str">
        <f>CONCATENATE("          ", "5014", " - ", "PURCHASES @ COST-REMAINDERS")</f>
        <v xml:space="preserve">          5014 - PURCHASES @ COST-REMAINDERS</v>
      </c>
      <c r="C156" s="11"/>
      <c r="D156" s="2"/>
      <c r="E156" s="2"/>
      <c r="F156" s="19">
        <f t="shared" si="28"/>
        <v>0</v>
      </c>
      <c r="G156" s="2"/>
      <c r="H156" s="2">
        <v>76.91</v>
      </c>
      <c r="I156" s="2"/>
      <c r="J156" s="19">
        <f t="shared" si="29"/>
        <v>2.8738831557952879E-5</v>
      </c>
      <c r="K156" s="2"/>
      <c r="L156" s="2">
        <f t="shared" si="30"/>
        <v>-76.91</v>
      </c>
      <c r="M156" s="2"/>
      <c r="N156" s="19">
        <f t="shared" si="31"/>
        <v>-1</v>
      </c>
      <c r="O156" s="11"/>
      <c r="P156" s="2">
        <v>615.07000000000005</v>
      </c>
      <c r="Q156" s="2"/>
      <c r="R156" s="19">
        <f t="shared" si="32"/>
        <v>2.1927750684326074E-5</v>
      </c>
      <c r="S156" s="2"/>
      <c r="T156" s="2">
        <v>1199.07</v>
      </c>
      <c r="U156" s="2"/>
      <c r="V156" s="19">
        <f t="shared" si="33"/>
        <v>3.4301679262141627E-5</v>
      </c>
      <c r="W156" s="2"/>
      <c r="X156" s="2">
        <f t="shared" si="34"/>
        <v>-583.99999999999989</v>
      </c>
      <c r="Y156" s="2"/>
      <c r="Z156" s="19">
        <f t="shared" si="35"/>
        <v>-0.48704412586421136</v>
      </c>
    </row>
    <row r="157" spans="1:26" s="24" customFormat="1" hidden="1" outlineLevel="1" x14ac:dyDescent="0.25">
      <c r="A157" s="44"/>
      <c r="B157" s="11" t="str">
        <f>CONCATENATE("          ", "5017", " - ", "PURCHASES @ COST-DORM/HOUSEWAR")</f>
        <v xml:space="preserve">          5017 - PURCHASES @ COST-DORM/HOUSEWAR</v>
      </c>
      <c r="C157" s="11"/>
      <c r="D157" s="2"/>
      <c r="E157" s="2"/>
      <c r="F157" s="19">
        <f t="shared" si="28"/>
        <v>0</v>
      </c>
      <c r="G157" s="2"/>
      <c r="H157" s="2"/>
      <c r="I157" s="2"/>
      <c r="J157" s="19">
        <f t="shared" si="29"/>
        <v>0</v>
      </c>
      <c r="K157" s="2"/>
      <c r="L157" s="2">
        <f t="shared" si="30"/>
        <v>0</v>
      </c>
      <c r="M157" s="2"/>
      <c r="N157" s="19">
        <f t="shared" si="31"/>
        <v>0</v>
      </c>
      <c r="O157" s="11"/>
      <c r="P157" s="2">
        <v>14.46</v>
      </c>
      <c r="Q157" s="2"/>
      <c r="R157" s="19">
        <f t="shared" si="32"/>
        <v>5.1551087664063446E-7</v>
      </c>
      <c r="S157" s="2"/>
      <c r="T157" s="2">
        <v>239.9</v>
      </c>
      <c r="U157" s="2"/>
      <c r="V157" s="19">
        <f t="shared" si="33"/>
        <v>6.8627960460922021E-6</v>
      </c>
      <c r="W157" s="2"/>
      <c r="X157" s="2">
        <f t="shared" si="34"/>
        <v>-225.44</v>
      </c>
      <c r="Y157" s="2"/>
      <c r="Z157" s="19">
        <f t="shared" si="35"/>
        <v>-0.93972488536890364</v>
      </c>
    </row>
    <row r="158" spans="1:26" s="24" customFormat="1" hidden="1" outlineLevel="1" x14ac:dyDescent="0.25">
      <c r="A158" s="44"/>
      <c r="B158" s="11" t="str">
        <f>CONCATENATE("          ", "5018", " - ", "PURCHASES @ COST-STUDY GUIDES")</f>
        <v xml:space="preserve">          5018 - PURCHASES @ COST-STUDY GUIDES</v>
      </c>
      <c r="C158" s="11"/>
      <c r="D158" s="2"/>
      <c r="E158" s="2"/>
      <c r="F158" s="19">
        <f t="shared" si="28"/>
        <v>0</v>
      </c>
      <c r="G158" s="2"/>
      <c r="H158" s="2">
        <v>289.08</v>
      </c>
      <c r="I158" s="2"/>
      <c r="J158" s="19">
        <f t="shared" si="29"/>
        <v>1.0802004195518162E-4</v>
      </c>
      <c r="K158" s="2"/>
      <c r="L158" s="2">
        <f t="shared" si="30"/>
        <v>-289.08</v>
      </c>
      <c r="M158" s="2"/>
      <c r="N158" s="19">
        <f t="shared" si="31"/>
        <v>-1</v>
      </c>
      <c r="O158" s="11"/>
      <c r="P158" s="2">
        <v>-205.14</v>
      </c>
      <c r="Q158" s="2"/>
      <c r="R158" s="19">
        <f t="shared" si="32"/>
        <v>-7.3134094905988748E-6</v>
      </c>
      <c r="S158" s="2"/>
      <c r="T158" s="2">
        <v>2683</v>
      </c>
      <c r="U158" s="2"/>
      <c r="V158" s="19">
        <f t="shared" si="33"/>
        <v>7.6752320932327547E-5</v>
      </c>
      <c r="W158" s="2"/>
      <c r="X158" s="2">
        <f t="shared" si="34"/>
        <v>-2888.14</v>
      </c>
      <c r="Y158" s="2"/>
      <c r="Z158" s="19">
        <f t="shared" si="35"/>
        <v>-1.0764591874767051</v>
      </c>
    </row>
    <row r="159" spans="1:26" s="24" customFormat="1" hidden="1" outlineLevel="1" x14ac:dyDescent="0.25">
      <c r="A159" s="44"/>
      <c r="B159" s="11" t="str">
        <f>CONCATENATE("          ", "5025", " - ", "PURCHASES @ COST-TEST FORMS")</f>
        <v xml:space="preserve">          5025 - PURCHASES @ COST-TEST FORMS</v>
      </c>
      <c r="C159" s="11"/>
      <c r="D159" s="2"/>
      <c r="E159" s="2"/>
      <c r="F159" s="19">
        <f t="shared" si="28"/>
        <v>0</v>
      </c>
      <c r="G159" s="2"/>
      <c r="H159" s="2">
        <v>1711.75</v>
      </c>
      <c r="I159" s="2"/>
      <c r="J159" s="19">
        <f t="shared" si="29"/>
        <v>6.396267705022214E-4</v>
      </c>
      <c r="K159" s="2"/>
      <c r="L159" s="2">
        <f t="shared" si="30"/>
        <v>-1711.75</v>
      </c>
      <c r="M159" s="2"/>
      <c r="N159" s="19">
        <f t="shared" si="31"/>
        <v>-1</v>
      </c>
      <c r="O159" s="11"/>
      <c r="P159" s="2">
        <v>26400.390000000003</v>
      </c>
      <c r="Q159" s="2"/>
      <c r="R159" s="19">
        <f t="shared" si="32"/>
        <v>9.4119558731359883E-4</v>
      </c>
      <c r="S159" s="2"/>
      <c r="T159" s="2">
        <v>21282.6</v>
      </c>
      <c r="U159" s="2"/>
      <c r="V159" s="19">
        <f t="shared" si="33"/>
        <v>6.0882927524202532E-4</v>
      </c>
      <c r="W159" s="2"/>
      <c r="X159" s="2">
        <f t="shared" si="34"/>
        <v>5117.7900000000045</v>
      </c>
      <c r="Y159" s="2"/>
      <c r="Z159" s="19">
        <f t="shared" si="35"/>
        <v>0.24046826985424735</v>
      </c>
    </row>
    <row r="160" spans="1:26" s="24" customFormat="1" hidden="1" outlineLevel="1" x14ac:dyDescent="0.25">
      <c r="A160" s="44"/>
      <c r="B160" s="11" t="str">
        <f>CONCATENATE("          ", "5026", " - ", "PURCHASES @ COST-WRITING INSTR")</f>
        <v xml:space="preserve">          5026 - PURCHASES @ COST-WRITING INSTR</v>
      </c>
      <c r="C160" s="11"/>
      <c r="D160" s="2">
        <v>-7248</v>
      </c>
      <c r="E160" s="2"/>
      <c r="F160" s="19">
        <f t="shared" si="28"/>
        <v>-1.431866448583608E-2</v>
      </c>
      <c r="G160" s="2"/>
      <c r="H160" s="2">
        <v>4449.1499999999996</v>
      </c>
      <c r="I160" s="2"/>
      <c r="J160" s="19">
        <f t="shared" si="29"/>
        <v>1.6625064676383573E-3</v>
      </c>
      <c r="K160" s="2"/>
      <c r="L160" s="2">
        <f t="shared" si="30"/>
        <v>-11697.15</v>
      </c>
      <c r="M160" s="2"/>
      <c r="N160" s="19">
        <f t="shared" si="31"/>
        <v>-2.6290752166144098</v>
      </c>
      <c r="O160" s="11"/>
      <c r="P160" s="2">
        <v>44186.57</v>
      </c>
      <c r="Q160" s="2"/>
      <c r="R160" s="19">
        <f t="shared" si="32"/>
        <v>1.5752875128936898E-3</v>
      </c>
      <c r="S160" s="2"/>
      <c r="T160" s="2">
        <v>54078.76</v>
      </c>
      <c r="U160" s="2"/>
      <c r="V160" s="19">
        <f t="shared" si="33"/>
        <v>1.5470258453754444E-3</v>
      </c>
      <c r="W160" s="2"/>
      <c r="X160" s="2">
        <f t="shared" si="34"/>
        <v>-9892.1900000000023</v>
      </c>
      <c r="Y160" s="2"/>
      <c r="Z160" s="19">
        <f t="shared" si="35"/>
        <v>-0.18292190871240394</v>
      </c>
    </row>
    <row r="161" spans="1:26" s="24" customFormat="1" hidden="1" outlineLevel="1" x14ac:dyDescent="0.25">
      <c r="A161" s="44"/>
      <c r="B161" s="11" t="str">
        <f>CONCATENATE("          ", "5027", " - ", "PURCHASES @ COST-SCHOOL SUPPLI")</f>
        <v xml:space="preserve">          5027 - PURCHASES @ COST-SCHOOL SUPPLI</v>
      </c>
      <c r="C161" s="11"/>
      <c r="D161" s="2">
        <v>-2393.63</v>
      </c>
      <c r="E161" s="2"/>
      <c r="F161" s="19">
        <f t="shared" si="28"/>
        <v>-4.7286954847174144E-3</v>
      </c>
      <c r="G161" s="2"/>
      <c r="H161" s="2">
        <v>12828.83</v>
      </c>
      <c r="I161" s="2"/>
      <c r="J161" s="19">
        <f t="shared" si="29"/>
        <v>4.7937275316033371E-3</v>
      </c>
      <c r="K161" s="2"/>
      <c r="L161" s="2">
        <f t="shared" si="30"/>
        <v>-15222.46</v>
      </c>
      <c r="M161" s="2"/>
      <c r="N161" s="19">
        <f t="shared" si="31"/>
        <v>-1.1865820967305669</v>
      </c>
      <c r="O161" s="11"/>
      <c r="P161" s="2">
        <v>141214.54</v>
      </c>
      <c r="Q161" s="2"/>
      <c r="R161" s="19">
        <f t="shared" si="32"/>
        <v>5.0344143367775885E-3</v>
      </c>
      <c r="S161" s="2"/>
      <c r="T161" s="2">
        <v>156195.15</v>
      </c>
      <c r="U161" s="2"/>
      <c r="V161" s="19">
        <f t="shared" si="33"/>
        <v>4.4682595157931569E-3</v>
      </c>
      <c r="W161" s="2"/>
      <c r="X161" s="2">
        <f t="shared" si="34"/>
        <v>-14980.609999999986</v>
      </c>
      <c r="Y161" s="2"/>
      <c r="Z161" s="19">
        <f t="shared" si="35"/>
        <v>-9.5909572096188556E-2</v>
      </c>
    </row>
    <row r="162" spans="1:26" s="24" customFormat="1" hidden="1" outlineLevel="1" x14ac:dyDescent="0.25">
      <c r="A162" s="44"/>
      <c r="B162" s="11" t="str">
        <f>CONCATENATE("          ", "5028", " - ", "PURCHASES @ COST-ART/TECH")</f>
        <v xml:space="preserve">          5028 - PURCHASES @ COST-ART/TECH</v>
      </c>
      <c r="C162" s="11"/>
      <c r="D162" s="2">
        <v>-60.3</v>
      </c>
      <c r="E162" s="2"/>
      <c r="F162" s="19">
        <f t="shared" si="28"/>
        <v>-1.1912465073067268E-4</v>
      </c>
      <c r="G162" s="2"/>
      <c r="H162" s="2">
        <v>1484.71</v>
      </c>
      <c r="I162" s="2"/>
      <c r="J162" s="19">
        <f t="shared" si="29"/>
        <v>5.5478911198034359E-4</v>
      </c>
      <c r="K162" s="2"/>
      <c r="L162" s="2">
        <f t="shared" si="30"/>
        <v>-1545.01</v>
      </c>
      <c r="M162" s="2"/>
      <c r="N162" s="19">
        <f t="shared" si="31"/>
        <v>-1.0406139919580255</v>
      </c>
      <c r="O162" s="11"/>
      <c r="P162" s="2">
        <v>159627.69</v>
      </c>
      <c r="Q162" s="2"/>
      <c r="R162" s="19">
        <f t="shared" si="32"/>
        <v>5.6908582578160047E-3</v>
      </c>
      <c r="S162" s="2"/>
      <c r="T162" s="2">
        <v>177482.59</v>
      </c>
      <c r="U162" s="2"/>
      <c r="V162" s="19">
        <f t="shared" si="33"/>
        <v>5.077227248446033E-3</v>
      </c>
      <c r="W162" s="2"/>
      <c r="X162" s="2">
        <f t="shared" si="34"/>
        <v>-17854.899999999994</v>
      </c>
      <c r="Y162" s="2"/>
      <c r="Z162" s="19">
        <f t="shared" si="35"/>
        <v>-0.10060085330059694</v>
      </c>
    </row>
    <row r="163" spans="1:26" s="24" customFormat="1" hidden="1" outlineLevel="1" x14ac:dyDescent="0.25">
      <c r="A163" s="44"/>
      <c r="B163" s="11" t="str">
        <f>CONCATENATE("          ", "5031", " - ", "PURCHASES @ COST-FOOD")</f>
        <v xml:space="preserve">          5031 - PURCHASES @ COST-FOOD</v>
      </c>
      <c r="C163" s="11"/>
      <c r="D163" s="2"/>
      <c r="E163" s="2"/>
      <c r="F163" s="19">
        <f t="shared" si="28"/>
        <v>0</v>
      </c>
      <c r="G163" s="2"/>
      <c r="H163" s="2">
        <v>1464.39</v>
      </c>
      <c r="I163" s="2"/>
      <c r="J163" s="19">
        <f t="shared" si="29"/>
        <v>5.471961714361022E-4</v>
      </c>
      <c r="K163" s="2"/>
      <c r="L163" s="2">
        <f t="shared" si="30"/>
        <v>-1464.39</v>
      </c>
      <c r="M163" s="2"/>
      <c r="N163" s="19">
        <f t="shared" si="31"/>
        <v>-1</v>
      </c>
      <c r="O163" s="11"/>
      <c r="P163" s="2">
        <v>33239.879999999997</v>
      </c>
      <c r="Q163" s="2"/>
      <c r="R163" s="19">
        <f t="shared" si="32"/>
        <v>1.1850290233906978E-3</v>
      </c>
      <c r="S163" s="2"/>
      <c r="T163" s="2">
        <v>39293.68</v>
      </c>
      <c r="U163" s="2"/>
      <c r="V163" s="19">
        <f t="shared" si="33"/>
        <v>1.1240704949579501E-3</v>
      </c>
      <c r="W163" s="2"/>
      <c r="X163" s="2">
        <f t="shared" si="34"/>
        <v>-6053.8000000000029</v>
      </c>
      <c r="Y163" s="2"/>
      <c r="Z163" s="19">
        <f t="shared" si="35"/>
        <v>-0.15406548839406242</v>
      </c>
    </row>
    <row r="164" spans="1:26" s="24" customFormat="1" hidden="1" outlineLevel="1" x14ac:dyDescent="0.25">
      <c r="A164" s="44"/>
      <c r="B164" s="11" t="str">
        <f>CONCATENATE("          ", "5032", " - ", "PURCHASES @ COST-JUICE")</f>
        <v xml:space="preserve">          5032 - PURCHASES @ COST-JUICE</v>
      </c>
      <c r="C164" s="11"/>
      <c r="D164" s="2"/>
      <c r="E164" s="2"/>
      <c r="F164" s="19">
        <f t="shared" si="28"/>
        <v>0</v>
      </c>
      <c r="G164" s="2"/>
      <c r="H164" s="2">
        <v>203.26</v>
      </c>
      <c r="I164" s="2"/>
      <c r="J164" s="19">
        <f t="shared" si="29"/>
        <v>7.5951825542445742E-5</v>
      </c>
      <c r="K164" s="2"/>
      <c r="L164" s="2">
        <f t="shared" si="30"/>
        <v>-203.26</v>
      </c>
      <c r="M164" s="2"/>
      <c r="N164" s="19">
        <f t="shared" si="31"/>
        <v>-1</v>
      </c>
      <c r="O164" s="11"/>
      <c r="P164" s="2">
        <v>7802.45</v>
      </c>
      <c r="Q164" s="2"/>
      <c r="R164" s="19">
        <f t="shared" si="32"/>
        <v>2.7816375099894315E-4</v>
      </c>
      <c r="S164" s="2"/>
      <c r="T164" s="2">
        <v>9569.02</v>
      </c>
      <c r="U164" s="2"/>
      <c r="V164" s="19">
        <f t="shared" si="33"/>
        <v>2.7374002759890457E-4</v>
      </c>
      <c r="W164" s="2"/>
      <c r="X164" s="2">
        <f t="shared" si="34"/>
        <v>-1766.5700000000006</v>
      </c>
      <c r="Y164" s="2"/>
      <c r="Z164" s="19">
        <f t="shared" si="35"/>
        <v>-0.18461347138996476</v>
      </c>
    </row>
    <row r="165" spans="1:26" s="24" customFormat="1" hidden="1" outlineLevel="1" x14ac:dyDescent="0.25">
      <c r="A165" s="44"/>
      <c r="B165" s="11" t="str">
        <f>CONCATENATE("          ", "5033", " - ", "PURCHASES @ COST-CANDY")</f>
        <v xml:space="preserve">          5033 - PURCHASES @ COST-CANDY</v>
      </c>
      <c r="C165" s="11"/>
      <c r="D165" s="2"/>
      <c r="E165" s="2"/>
      <c r="F165" s="19">
        <f t="shared" si="28"/>
        <v>0</v>
      </c>
      <c r="G165" s="2"/>
      <c r="H165" s="2">
        <v>316.45</v>
      </c>
      <c r="I165" s="2"/>
      <c r="J165" s="19">
        <f t="shared" si="29"/>
        <v>1.1824734425320751E-4</v>
      </c>
      <c r="K165" s="2"/>
      <c r="L165" s="2">
        <f t="shared" si="30"/>
        <v>-316.45</v>
      </c>
      <c r="M165" s="2"/>
      <c r="N165" s="19">
        <f t="shared" si="31"/>
        <v>-1</v>
      </c>
      <c r="O165" s="11"/>
      <c r="P165" s="2">
        <v>9998.41</v>
      </c>
      <c r="Q165" s="2"/>
      <c r="R165" s="19">
        <f t="shared" si="32"/>
        <v>3.5645152863848447E-4</v>
      </c>
      <c r="S165" s="2"/>
      <c r="T165" s="2">
        <v>9492.2800000000007</v>
      </c>
      <c r="U165" s="2"/>
      <c r="V165" s="19">
        <f t="shared" si="33"/>
        <v>2.7154473385744099E-4</v>
      </c>
      <c r="W165" s="2"/>
      <c r="X165" s="2">
        <f t="shared" si="34"/>
        <v>506.1299999999992</v>
      </c>
      <c r="Y165" s="2"/>
      <c r="Z165" s="19">
        <f t="shared" si="35"/>
        <v>5.3320171760630655E-2</v>
      </c>
    </row>
    <row r="166" spans="1:26" s="24" customFormat="1" hidden="1" outlineLevel="1" x14ac:dyDescent="0.25">
      <c r="A166" s="44"/>
      <c r="B166" s="11" t="str">
        <f>CONCATENATE("          ", "5034", " - ", "PURCHASES @ COST-SODA")</f>
        <v xml:space="preserve">          5034 - PURCHASES @ COST-SODA</v>
      </c>
      <c r="C166" s="11"/>
      <c r="D166" s="2"/>
      <c r="E166" s="2"/>
      <c r="F166" s="19">
        <f t="shared" si="28"/>
        <v>0</v>
      </c>
      <c r="G166" s="2"/>
      <c r="H166" s="2">
        <v>56.97</v>
      </c>
      <c r="I166" s="2"/>
      <c r="J166" s="19">
        <f t="shared" si="29"/>
        <v>2.1287884980582182E-5</v>
      </c>
      <c r="K166" s="2"/>
      <c r="L166" s="2">
        <f t="shared" si="30"/>
        <v>-56.97</v>
      </c>
      <c r="M166" s="2"/>
      <c r="N166" s="19">
        <f t="shared" si="31"/>
        <v>-1</v>
      </c>
      <c r="O166" s="11"/>
      <c r="P166" s="2">
        <v>4033.88</v>
      </c>
      <c r="Q166" s="2"/>
      <c r="R166" s="19">
        <f t="shared" si="32"/>
        <v>1.4381113520491856E-4</v>
      </c>
      <c r="S166" s="2"/>
      <c r="T166" s="2">
        <v>3856.23</v>
      </c>
      <c r="U166" s="2"/>
      <c r="V166" s="19">
        <f t="shared" si="33"/>
        <v>1.1031479781918354E-4</v>
      </c>
      <c r="W166" s="2"/>
      <c r="X166" s="2">
        <f t="shared" si="34"/>
        <v>177.65000000000009</v>
      </c>
      <c r="Y166" s="2"/>
      <c r="Z166" s="19">
        <f t="shared" si="35"/>
        <v>4.6068310240831092E-2</v>
      </c>
    </row>
    <row r="167" spans="1:26" s="24" customFormat="1" hidden="1" outlineLevel="1" x14ac:dyDescent="0.25">
      <c r="A167" s="44"/>
      <c r="B167" s="11" t="str">
        <f>CONCATENATE("          ", "5035", " - ", "PURCHASES @ COST-HEALTH &amp; BEAU")</f>
        <v xml:space="preserve">          5035 - PURCHASES @ COST-HEALTH &amp; BEAU</v>
      </c>
      <c r="C167" s="11"/>
      <c r="D167" s="2"/>
      <c r="E167" s="2"/>
      <c r="F167" s="19">
        <f t="shared" si="28"/>
        <v>0</v>
      </c>
      <c r="G167" s="2"/>
      <c r="H167" s="2">
        <v>21.22</v>
      </c>
      <c r="I167" s="2"/>
      <c r="J167" s="19">
        <f t="shared" si="29"/>
        <v>7.9292420447244849E-6</v>
      </c>
      <c r="K167" s="2"/>
      <c r="L167" s="2">
        <f t="shared" si="30"/>
        <v>-21.22</v>
      </c>
      <c r="M167" s="2"/>
      <c r="N167" s="19">
        <f t="shared" si="31"/>
        <v>-1</v>
      </c>
      <c r="O167" s="11"/>
      <c r="P167" s="2">
        <v>1117.6500000000001</v>
      </c>
      <c r="Q167" s="2"/>
      <c r="R167" s="19">
        <f t="shared" si="32"/>
        <v>3.9845140475615842E-5</v>
      </c>
      <c r="S167" s="2"/>
      <c r="T167" s="2">
        <v>1219.07</v>
      </c>
      <c r="U167" s="2"/>
      <c r="V167" s="19">
        <f t="shared" si="33"/>
        <v>3.4873817323508213E-5</v>
      </c>
      <c r="W167" s="2"/>
      <c r="X167" s="2">
        <f t="shared" si="34"/>
        <v>-101.41999999999985</v>
      </c>
      <c r="Y167" s="2"/>
      <c r="Z167" s="19">
        <f t="shared" si="35"/>
        <v>-8.3194566349758303E-2</v>
      </c>
    </row>
    <row r="168" spans="1:26" s="24" customFormat="1" hidden="1" outlineLevel="1" x14ac:dyDescent="0.25">
      <c r="A168" s="44"/>
      <c r="B168" s="11" t="str">
        <f>CONCATENATE("          ", "5037", " - ", "PURCHASES @ COST-WATER")</f>
        <v xml:space="preserve">          5037 - PURCHASES @ COST-WATER</v>
      </c>
      <c r="C168" s="11"/>
      <c r="D168" s="2"/>
      <c r="E168" s="2"/>
      <c r="F168" s="19">
        <f t="shared" si="28"/>
        <v>0</v>
      </c>
      <c r="G168" s="2"/>
      <c r="H168" s="2">
        <v>23.2</v>
      </c>
      <c r="I168" s="2"/>
      <c r="J168" s="19">
        <f t="shared" si="29"/>
        <v>8.6691053457873721E-6</v>
      </c>
      <c r="K168" s="2"/>
      <c r="L168" s="2">
        <f t="shared" si="30"/>
        <v>-23.2</v>
      </c>
      <c r="M168" s="2"/>
      <c r="N168" s="19">
        <f t="shared" si="31"/>
        <v>-1</v>
      </c>
      <c r="O168" s="11"/>
      <c r="P168" s="2">
        <v>5693.57</v>
      </c>
      <c r="Q168" s="2"/>
      <c r="R168" s="19">
        <f t="shared" si="32"/>
        <v>2.0298044688207584E-4</v>
      </c>
      <c r="S168" s="2"/>
      <c r="T168" s="2">
        <v>5872.03</v>
      </c>
      <c r="U168" s="2"/>
      <c r="V168" s="19">
        <f t="shared" si="33"/>
        <v>1.6798059302432176E-4</v>
      </c>
      <c r="W168" s="2"/>
      <c r="X168" s="2">
        <f t="shared" si="34"/>
        <v>-178.46000000000004</v>
      </c>
      <c r="Y168" s="2"/>
      <c r="Z168" s="19">
        <f t="shared" si="35"/>
        <v>-3.0391534103197709E-2</v>
      </c>
    </row>
    <row r="169" spans="1:26" s="24" customFormat="1" hidden="1" outlineLevel="1" x14ac:dyDescent="0.25">
      <c r="A169" s="44"/>
      <c r="B169" s="11" t="str">
        <f>CONCATENATE("          ", "5040", " - ", "PURCHASES @ COST-LOGO CLOTHING")</f>
        <v xml:space="preserve">          5040 - PURCHASES @ COST-LOGO CLOTHING</v>
      </c>
      <c r="C169" s="11"/>
      <c r="D169" s="2">
        <v>1557.89</v>
      </c>
      <c r="E169" s="2"/>
      <c r="F169" s="19">
        <f t="shared" si="28"/>
        <v>3.0776633851875238E-3</v>
      </c>
      <c r="G169" s="2"/>
      <c r="H169" s="2">
        <v>35297.950000000004</v>
      </c>
      <c r="I169" s="2"/>
      <c r="J169" s="19">
        <f t="shared" si="29"/>
        <v>1.31897261655317E-2</v>
      </c>
      <c r="K169" s="2"/>
      <c r="L169" s="2">
        <f t="shared" si="30"/>
        <v>-33740.060000000005</v>
      </c>
      <c r="M169" s="2"/>
      <c r="N169" s="19">
        <f t="shared" si="31"/>
        <v>-0.95586457570482142</v>
      </c>
      <c r="O169" s="11"/>
      <c r="P169" s="2">
        <v>976469.33000000007</v>
      </c>
      <c r="Q169" s="2"/>
      <c r="R169" s="19">
        <f t="shared" si="32"/>
        <v>3.4811933632157191E-2</v>
      </c>
      <c r="S169" s="2"/>
      <c r="T169" s="2">
        <v>1040147.1000000001</v>
      </c>
      <c r="U169" s="2"/>
      <c r="V169" s="19">
        <f t="shared" si="33"/>
        <v>2.9755387266503838E-2</v>
      </c>
      <c r="W169" s="2"/>
      <c r="X169" s="2">
        <f t="shared" si="34"/>
        <v>-63677.770000000019</v>
      </c>
      <c r="Y169" s="2"/>
      <c r="Z169" s="19">
        <f t="shared" si="35"/>
        <v>-6.1219965906745319E-2</v>
      </c>
    </row>
    <row r="170" spans="1:26" s="24" customFormat="1" hidden="1" outlineLevel="1" x14ac:dyDescent="0.25">
      <c r="A170" s="44"/>
      <c r="B170" s="11" t="str">
        <f>CONCATENATE("          ", "5041", " - ", "PURCHASES @ COST-LOGO GIFTS")</f>
        <v xml:space="preserve">          5041 - PURCHASES @ COST-LOGO GIFTS</v>
      </c>
      <c r="C170" s="11"/>
      <c r="D170" s="2">
        <v>4290.8100000000004</v>
      </c>
      <c r="E170" s="2"/>
      <c r="F170" s="19">
        <f t="shared" si="28"/>
        <v>8.4766375224158818E-3</v>
      </c>
      <c r="G170" s="2"/>
      <c r="H170" s="2">
        <v>36471.08</v>
      </c>
      <c r="I170" s="2"/>
      <c r="J170" s="19">
        <f t="shared" si="29"/>
        <v>1.3628087698044782E-2</v>
      </c>
      <c r="K170" s="2"/>
      <c r="L170" s="2">
        <f t="shared" si="30"/>
        <v>-32180.27</v>
      </c>
      <c r="M170" s="2"/>
      <c r="N170" s="19">
        <f t="shared" si="31"/>
        <v>-0.8823503444372911</v>
      </c>
      <c r="O170" s="11"/>
      <c r="P170" s="2">
        <v>149750.84</v>
      </c>
      <c r="Q170" s="2"/>
      <c r="R170" s="19">
        <f t="shared" si="32"/>
        <v>5.3387404430201508E-3</v>
      </c>
      <c r="S170" s="2"/>
      <c r="T170" s="2">
        <v>281833.13</v>
      </c>
      <c r="U170" s="2"/>
      <c r="V170" s="19">
        <f t="shared" si="33"/>
        <v>8.0623730313538547E-3</v>
      </c>
      <c r="W170" s="2"/>
      <c r="X170" s="2">
        <f t="shared" si="34"/>
        <v>-132082.29</v>
      </c>
      <c r="Y170" s="2"/>
      <c r="Z170" s="19">
        <f t="shared" si="35"/>
        <v>-0.46865423522067828</v>
      </c>
    </row>
    <row r="171" spans="1:26" s="24" customFormat="1" hidden="1" outlineLevel="1" x14ac:dyDescent="0.25">
      <c r="A171" s="44"/>
      <c r="B171" s="11" t="str">
        <f>CONCATENATE("          ", "5042", " - ", "PURCHASES @ COST-EVERYDAY GIFT")</f>
        <v xml:space="preserve">          5042 - PURCHASES @ COST-EVERYDAY GIFT</v>
      </c>
      <c r="C171" s="11"/>
      <c r="D171" s="2">
        <v>10730.16</v>
      </c>
      <c r="E171" s="2"/>
      <c r="F171" s="19">
        <f t="shared" si="28"/>
        <v>2.1197787102557791E-2</v>
      </c>
      <c r="G171" s="2"/>
      <c r="H171" s="2">
        <v>12317.53</v>
      </c>
      <c r="I171" s="2"/>
      <c r="J171" s="19">
        <f t="shared" si="29"/>
        <v>4.6026709124955319E-3</v>
      </c>
      <c r="K171" s="2"/>
      <c r="L171" s="2">
        <f t="shared" si="30"/>
        <v>-1587.3700000000008</v>
      </c>
      <c r="M171" s="2"/>
      <c r="N171" s="19">
        <f t="shared" si="31"/>
        <v>-0.12887080445511404</v>
      </c>
      <c r="O171" s="11"/>
      <c r="P171" s="2">
        <v>126615.2</v>
      </c>
      <c r="Q171" s="2"/>
      <c r="R171" s="19">
        <f t="shared" si="32"/>
        <v>4.5139358746908191E-3</v>
      </c>
      <c r="S171" s="2"/>
      <c r="T171" s="2">
        <v>142481.70000000001</v>
      </c>
      <c r="U171" s="2"/>
      <c r="V171" s="19">
        <f t="shared" si="33"/>
        <v>4.0759601809107768E-3</v>
      </c>
      <c r="W171" s="2"/>
      <c r="X171" s="2">
        <f t="shared" si="34"/>
        <v>-15866.500000000015</v>
      </c>
      <c r="Y171" s="2"/>
      <c r="Z171" s="19">
        <f t="shared" si="35"/>
        <v>-0.11135816038129819</v>
      </c>
    </row>
    <row r="172" spans="1:26" s="24" customFormat="1" hidden="1" outlineLevel="1" x14ac:dyDescent="0.25">
      <c r="A172" s="44"/>
      <c r="B172" s="11" t="str">
        <f>CONCATENATE("          ", "5043", " - ", "PURCHASES @ COST-CARDS")</f>
        <v xml:space="preserve">          5043 - PURCHASES @ COST-CARDS</v>
      </c>
      <c r="C172" s="11"/>
      <c r="D172" s="2"/>
      <c r="E172" s="2"/>
      <c r="F172" s="19">
        <f t="shared" si="28"/>
        <v>0</v>
      </c>
      <c r="G172" s="2"/>
      <c r="H172" s="2">
        <v>-968.82</v>
      </c>
      <c r="I172" s="2"/>
      <c r="J172" s="19">
        <f t="shared" si="29"/>
        <v>-3.6201735522007429E-4</v>
      </c>
      <c r="K172" s="2"/>
      <c r="L172" s="2">
        <f t="shared" si="30"/>
        <v>968.82</v>
      </c>
      <c r="M172" s="2"/>
      <c r="N172" s="19">
        <f t="shared" si="31"/>
        <v>-1</v>
      </c>
      <c r="O172" s="11"/>
      <c r="P172" s="2">
        <v>30914.659999999996</v>
      </c>
      <c r="Q172" s="2"/>
      <c r="R172" s="19">
        <f t="shared" si="32"/>
        <v>1.1021330205841738E-3</v>
      </c>
      <c r="S172" s="2"/>
      <c r="T172" s="2">
        <v>3392.76</v>
      </c>
      <c r="U172" s="2"/>
      <c r="V172" s="19">
        <f t="shared" si="33"/>
        <v>9.7056356454104962E-5</v>
      </c>
      <c r="W172" s="2"/>
      <c r="X172" s="2">
        <f t="shared" si="34"/>
        <v>27521.899999999994</v>
      </c>
      <c r="Y172" s="2"/>
      <c r="Z172" s="19">
        <f t="shared" si="35"/>
        <v>8.1119501526780535</v>
      </c>
    </row>
    <row r="173" spans="1:26" s="24" customFormat="1" hidden="1" outlineLevel="1" x14ac:dyDescent="0.25">
      <c r="A173" s="44"/>
      <c r="B173" s="11" t="str">
        <f>CONCATENATE("          ", "5044", " - ", "PURCHASES @ COST-ACCESSORIES")</f>
        <v xml:space="preserve">          5044 - PURCHASES @ COST-ACCESSORIES</v>
      </c>
      <c r="C173" s="11"/>
      <c r="D173" s="2">
        <v>1395</v>
      </c>
      <c r="E173" s="2"/>
      <c r="F173" s="19">
        <f t="shared" si="28"/>
        <v>2.7558687855603384E-3</v>
      </c>
      <c r="G173" s="2"/>
      <c r="H173" s="2">
        <v>4064.02</v>
      </c>
      <c r="I173" s="2"/>
      <c r="J173" s="19">
        <f t="shared" si="29"/>
        <v>1.5185955822149483E-3</v>
      </c>
      <c r="K173" s="2"/>
      <c r="L173" s="2">
        <f t="shared" si="30"/>
        <v>-2669.02</v>
      </c>
      <c r="M173" s="2"/>
      <c r="N173" s="19">
        <f t="shared" si="31"/>
        <v>-0.65674381523712977</v>
      </c>
      <c r="O173" s="11"/>
      <c r="P173" s="2">
        <v>37869.03</v>
      </c>
      <c r="Q173" s="2"/>
      <c r="R173" s="19">
        <f t="shared" si="32"/>
        <v>1.3500620230173224E-3</v>
      </c>
      <c r="S173" s="2"/>
      <c r="T173" s="2">
        <v>38291.129999999997</v>
      </c>
      <c r="U173" s="2"/>
      <c r="V173" s="19">
        <f t="shared" si="33"/>
        <v>1.0953906442867966E-3</v>
      </c>
      <c r="W173" s="2"/>
      <c r="X173" s="2">
        <f t="shared" si="34"/>
        <v>-422.09999999999854</v>
      </c>
      <c r="Y173" s="2"/>
      <c r="Z173" s="19">
        <f t="shared" si="35"/>
        <v>-1.1023440676731101E-2</v>
      </c>
    </row>
    <row r="174" spans="1:26" s="24" customFormat="1" hidden="1" outlineLevel="1" x14ac:dyDescent="0.25">
      <c r="A174" s="44"/>
      <c r="B174" s="11" t="str">
        <f>CONCATENATE("          ", "5045", " - ", "PURCHASES @ COST-SPECIAL ORDER")</f>
        <v xml:space="preserve">          5045 - PURCHASES @ COST-SPECIAL ORDER</v>
      </c>
      <c r="C174" s="11"/>
      <c r="D174" s="2">
        <v>16919.25</v>
      </c>
      <c r="E174" s="2"/>
      <c r="F174" s="19">
        <f t="shared" si="28"/>
        <v>3.3424539749169715E-2</v>
      </c>
      <c r="G174" s="2"/>
      <c r="H174" s="2">
        <v>21957.99</v>
      </c>
      <c r="I174" s="2"/>
      <c r="J174" s="19">
        <f t="shared" si="29"/>
        <v>8.2050055384373152E-3</v>
      </c>
      <c r="K174" s="2"/>
      <c r="L174" s="2">
        <f t="shared" si="30"/>
        <v>-5038.7400000000016</v>
      </c>
      <c r="M174" s="2"/>
      <c r="N174" s="19">
        <f t="shared" si="31"/>
        <v>-0.22947182324065185</v>
      </c>
      <c r="O174" s="11"/>
      <c r="P174" s="2">
        <v>78842.399999999994</v>
      </c>
      <c r="Q174" s="2"/>
      <c r="R174" s="19">
        <f t="shared" si="32"/>
        <v>2.8107963167670505E-3</v>
      </c>
      <c r="S174" s="2"/>
      <c r="T174" s="2">
        <v>121594.93999999999</v>
      </c>
      <c r="U174" s="2"/>
      <c r="V174" s="19">
        <f t="shared" si="33"/>
        <v>3.4784546621793181E-3</v>
      </c>
      <c r="W174" s="2"/>
      <c r="X174" s="2">
        <f t="shared" si="34"/>
        <v>-42752.539999999994</v>
      </c>
      <c r="Y174" s="2"/>
      <c r="Z174" s="19">
        <f t="shared" si="35"/>
        <v>-0.35159801879913749</v>
      </c>
    </row>
    <row r="175" spans="1:26" s="24" customFormat="1" hidden="1" outlineLevel="1" x14ac:dyDescent="0.25">
      <c r="A175" s="44"/>
      <c r="B175" s="11" t="str">
        <f>CONCATENATE("          ", "5053", " - ", "PURCHASES @ COST-FOOD")</f>
        <v xml:space="preserve">          5053 - PURCHASES @ COST-FOOD</v>
      </c>
      <c r="C175" s="11"/>
      <c r="D175" s="2">
        <v>16470.769999999997</v>
      </c>
      <c r="E175" s="2"/>
      <c r="F175" s="19">
        <f t="shared" si="28"/>
        <v>3.2538552628776807E-2</v>
      </c>
      <c r="G175" s="2"/>
      <c r="H175" s="2">
        <v>345812.72000000003</v>
      </c>
      <c r="I175" s="2"/>
      <c r="J175" s="19">
        <f t="shared" si="29"/>
        <v>0.12921926291350311</v>
      </c>
      <c r="K175" s="2"/>
      <c r="L175" s="2">
        <f t="shared" si="30"/>
        <v>-329341.95</v>
      </c>
      <c r="M175" s="2"/>
      <c r="N175" s="19">
        <f t="shared" si="31"/>
        <v>-0.95237083818085111</v>
      </c>
      <c r="O175" s="11"/>
      <c r="P175" s="2">
        <v>4932103.71</v>
      </c>
      <c r="Q175" s="2"/>
      <c r="R175" s="19">
        <f t="shared" si="32"/>
        <v>0.17583354821747063</v>
      </c>
      <c r="S175" s="2"/>
      <c r="T175" s="2">
        <v>6131553.0099999998</v>
      </c>
      <c r="U175" s="2"/>
      <c r="V175" s="19">
        <f t="shared" si="33"/>
        <v>0.17540474261539282</v>
      </c>
      <c r="W175" s="2"/>
      <c r="X175" s="2">
        <f t="shared" si="34"/>
        <v>-1199449.2999999998</v>
      </c>
      <c r="Y175" s="2"/>
      <c r="Z175" s="19">
        <f t="shared" si="35"/>
        <v>-0.19561916826680095</v>
      </c>
    </row>
    <row r="176" spans="1:26" s="24" customFormat="1" hidden="1" outlineLevel="1" x14ac:dyDescent="0.25">
      <c r="A176" s="44"/>
      <c r="B176" s="11" t="str">
        <f>CONCATENATE("          ", "5059", " - ", "PURCHASES @ COST-FOOD")</f>
        <v xml:space="preserve">          5059 - PURCHASES @ COST-FOOD</v>
      </c>
      <c r="C176" s="11"/>
      <c r="D176" s="2">
        <v>25568</v>
      </c>
      <c r="E176" s="2"/>
      <c r="F176" s="19">
        <f t="shared" si="28"/>
        <v>5.0510432336348908E-2</v>
      </c>
      <c r="G176" s="2"/>
      <c r="H176" s="2">
        <v>67329.849999999991</v>
      </c>
      <c r="I176" s="2"/>
      <c r="J176" s="19">
        <f t="shared" si="29"/>
        <v>2.5159032869226806E-2</v>
      </c>
      <c r="K176" s="2"/>
      <c r="L176" s="2">
        <f t="shared" si="30"/>
        <v>-41761.849999999991</v>
      </c>
      <c r="M176" s="2"/>
      <c r="N176" s="19">
        <f t="shared" si="31"/>
        <v>-0.62025758263236885</v>
      </c>
      <c r="O176" s="11"/>
      <c r="P176" s="2">
        <v>140201.53</v>
      </c>
      <c r="Q176" s="2"/>
      <c r="R176" s="19">
        <f t="shared" si="32"/>
        <v>4.998299698247455E-3</v>
      </c>
      <c r="S176" s="2"/>
      <c r="T176" s="2">
        <v>19085.580000000002</v>
      </c>
      <c r="U176" s="2"/>
      <c r="V176" s="19">
        <f t="shared" si="33"/>
        <v>5.4597933706284458E-4</v>
      </c>
      <c r="W176" s="2"/>
      <c r="X176" s="2">
        <f t="shared" si="34"/>
        <v>121115.95</v>
      </c>
      <c r="Y176" s="2"/>
      <c r="Z176" s="19">
        <f t="shared" si="35"/>
        <v>6.3459402334118211</v>
      </c>
    </row>
    <row r="177" spans="1:26" s="24" customFormat="1" hidden="1" outlineLevel="1" x14ac:dyDescent="0.25">
      <c r="A177" s="44"/>
      <c r="B177" s="11" t="str">
        <f>CONCATENATE("          ", "5081", " - ", "PURCHASES @ COST-ELECTRONICS")</f>
        <v xml:space="preserve">          5081 - PURCHASES @ COST-ELECTRONICS</v>
      </c>
      <c r="C177" s="11"/>
      <c r="D177" s="2">
        <v>1637.44</v>
      </c>
      <c r="E177" s="2"/>
      <c r="F177" s="19">
        <f t="shared" si="28"/>
        <v>3.2348170496257493E-3</v>
      </c>
      <c r="G177" s="2"/>
      <c r="H177" s="2">
        <v>13679.91</v>
      </c>
      <c r="I177" s="2"/>
      <c r="J177" s="19">
        <f t="shared" si="29"/>
        <v>5.1117491771935407E-3</v>
      </c>
      <c r="K177" s="2"/>
      <c r="L177" s="2">
        <f t="shared" si="30"/>
        <v>-12042.47</v>
      </c>
      <c r="M177" s="2"/>
      <c r="N177" s="19">
        <f t="shared" si="31"/>
        <v>-0.88030330608900198</v>
      </c>
      <c r="O177" s="11"/>
      <c r="P177" s="2">
        <v>260469.61000000002</v>
      </c>
      <c r="Q177" s="2"/>
      <c r="R177" s="19">
        <f t="shared" si="32"/>
        <v>9.285955531766539E-3</v>
      </c>
      <c r="S177" s="2"/>
      <c r="T177" s="2">
        <v>209317.53</v>
      </c>
      <c r="U177" s="2"/>
      <c r="V177" s="19">
        <f t="shared" si="33"/>
        <v>5.9879262912121128E-3</v>
      </c>
      <c r="W177" s="2"/>
      <c r="X177" s="2">
        <f t="shared" si="34"/>
        <v>51152.080000000016</v>
      </c>
      <c r="Y177" s="2"/>
      <c r="Z177" s="19">
        <f t="shared" si="35"/>
        <v>0.24437551885883621</v>
      </c>
    </row>
    <row r="178" spans="1:26" s="24" customFormat="1" hidden="1" outlineLevel="1" x14ac:dyDescent="0.25">
      <c r="A178" s="44"/>
      <c r="B178" s="11" t="str">
        <f>CONCATENATE("          ", "5082", " - ", "PURCHASES @ COST-COMPUTER HARD")</f>
        <v xml:space="preserve">          5082 - PURCHASES @ COST-COMPUTER HARD</v>
      </c>
      <c r="C178" s="11"/>
      <c r="D178" s="2">
        <v>140818.03</v>
      </c>
      <c r="E178" s="2"/>
      <c r="F178" s="19">
        <f t="shared" si="28"/>
        <v>0.27819069055275936</v>
      </c>
      <c r="G178" s="2"/>
      <c r="H178" s="2">
        <v>302415.51</v>
      </c>
      <c r="I178" s="2"/>
      <c r="J178" s="19">
        <f t="shared" si="29"/>
        <v>0.1130030997581903</v>
      </c>
      <c r="K178" s="2"/>
      <c r="L178" s="2">
        <f t="shared" si="30"/>
        <v>-161597.48000000001</v>
      </c>
      <c r="M178" s="2"/>
      <c r="N178" s="19">
        <f t="shared" si="31"/>
        <v>-0.53435579411915746</v>
      </c>
      <c r="O178" s="11"/>
      <c r="P178" s="2">
        <v>1641649.9</v>
      </c>
      <c r="Q178" s="2"/>
      <c r="R178" s="19">
        <f t="shared" si="32"/>
        <v>5.8526167295021421E-2</v>
      </c>
      <c r="S178" s="2"/>
      <c r="T178" s="2">
        <v>1911385.3599999999</v>
      </c>
      <c r="U178" s="2"/>
      <c r="V178" s="19">
        <f t="shared" si="33"/>
        <v>5.4678815719743722E-2</v>
      </c>
      <c r="W178" s="2"/>
      <c r="X178" s="2">
        <f t="shared" si="34"/>
        <v>-269735.45999999996</v>
      </c>
      <c r="Y178" s="2"/>
      <c r="Z178" s="19">
        <f t="shared" si="35"/>
        <v>-0.14112039656932393</v>
      </c>
    </row>
    <row r="179" spans="1:26" s="24" customFormat="1" hidden="1" outlineLevel="1" x14ac:dyDescent="0.25">
      <c r="A179" s="44"/>
      <c r="B179" s="11" t="str">
        <f>CONCATENATE("          ", "5083", " - ", "PURCHASES @ COST-COMPUTER EQUI")</f>
        <v xml:space="preserve">          5083 - PURCHASES @ COST-COMPUTER EQUI</v>
      </c>
      <c r="C179" s="11"/>
      <c r="D179" s="2">
        <v>14533.49</v>
      </c>
      <c r="E179" s="2"/>
      <c r="F179" s="19">
        <f t="shared" si="28"/>
        <v>2.8711391710575858E-2</v>
      </c>
      <c r="G179" s="2"/>
      <c r="H179" s="2">
        <v>6442.11</v>
      </c>
      <c r="I179" s="2"/>
      <c r="J179" s="19">
        <f t="shared" si="29"/>
        <v>2.4072125103082021E-3</v>
      </c>
      <c r="K179" s="2"/>
      <c r="L179" s="2">
        <f t="shared" si="30"/>
        <v>8091.38</v>
      </c>
      <c r="M179" s="2"/>
      <c r="N179" s="19">
        <f t="shared" si="31"/>
        <v>1.2560139457413799</v>
      </c>
      <c r="O179" s="11"/>
      <c r="P179" s="2">
        <v>94945.82</v>
      </c>
      <c r="Q179" s="2"/>
      <c r="R179" s="19">
        <f t="shared" si="32"/>
        <v>3.3848964662215684E-3</v>
      </c>
      <c r="S179" s="2"/>
      <c r="T179" s="2">
        <v>108344.22</v>
      </c>
      <c r="U179" s="2"/>
      <c r="V179" s="19">
        <f t="shared" si="33"/>
        <v>3.0993925995537459E-3</v>
      </c>
      <c r="W179" s="2"/>
      <c r="X179" s="2">
        <f t="shared" si="34"/>
        <v>-13398.399999999994</v>
      </c>
      <c r="Y179" s="2"/>
      <c r="Z179" s="19">
        <f t="shared" si="35"/>
        <v>-0.12366511106914604</v>
      </c>
    </row>
    <row r="180" spans="1:26" s="24" customFormat="1" hidden="1" outlineLevel="1" x14ac:dyDescent="0.25">
      <c r="A180" s="44"/>
      <c r="B180" s="11" t="str">
        <f>CONCATENATE("          ", "5084", " - ", "PURCHASES @ COST-SOFTWARE LICE")</f>
        <v xml:space="preserve">          5084 - PURCHASES @ COST-SOFTWARE LICE</v>
      </c>
      <c r="C180" s="11"/>
      <c r="D180" s="2"/>
      <c r="E180" s="2"/>
      <c r="F180" s="19">
        <f t="shared" si="28"/>
        <v>0</v>
      </c>
      <c r="G180" s="2"/>
      <c r="H180" s="2"/>
      <c r="I180" s="2"/>
      <c r="J180" s="19">
        <f t="shared" si="29"/>
        <v>0</v>
      </c>
      <c r="K180" s="2"/>
      <c r="L180" s="2">
        <f t="shared" si="30"/>
        <v>0</v>
      </c>
      <c r="M180" s="2"/>
      <c r="N180" s="19">
        <f t="shared" si="31"/>
        <v>0</v>
      </c>
      <c r="O180" s="11"/>
      <c r="P180" s="2">
        <v>2728</v>
      </c>
      <c r="Q180" s="2"/>
      <c r="R180" s="19">
        <f t="shared" si="32"/>
        <v>9.7255440627638356E-5</v>
      </c>
      <c r="S180" s="2"/>
      <c r="T180" s="2">
        <v>5183</v>
      </c>
      <c r="U180" s="2"/>
      <c r="V180" s="19">
        <f t="shared" si="33"/>
        <v>1.4826957860315082E-4</v>
      </c>
      <c r="W180" s="2"/>
      <c r="X180" s="2">
        <f t="shared" si="34"/>
        <v>-2455</v>
      </c>
      <c r="Y180" s="2"/>
      <c r="Z180" s="19">
        <f t="shared" si="35"/>
        <v>-0.47366390121551227</v>
      </c>
    </row>
    <row r="181" spans="1:26" s="24" customFormat="1" hidden="1" outlineLevel="1" x14ac:dyDescent="0.25">
      <c r="A181" s="44"/>
      <c r="B181" s="11" t="str">
        <f>CONCATENATE("          ", "5085", " - ", "PURCHASES @ COST-SOFTWARE")</f>
        <v xml:space="preserve">          5085 - PURCHASES @ COST-SOFTWARE</v>
      </c>
      <c r="C181" s="11"/>
      <c r="D181" s="2">
        <v>3661.64</v>
      </c>
      <c r="E181" s="2"/>
      <c r="F181" s="19">
        <f t="shared" si="28"/>
        <v>7.2336913117986784E-3</v>
      </c>
      <c r="G181" s="2"/>
      <c r="H181" s="2">
        <v>1875</v>
      </c>
      <c r="I181" s="2"/>
      <c r="J181" s="19">
        <f t="shared" si="29"/>
        <v>7.0062812600652261E-4</v>
      </c>
      <c r="K181" s="2"/>
      <c r="L181" s="2">
        <f t="shared" si="30"/>
        <v>1786.6399999999999</v>
      </c>
      <c r="M181" s="2"/>
      <c r="N181" s="19">
        <f t="shared" si="31"/>
        <v>0.95287466666666665</v>
      </c>
      <c r="O181" s="11"/>
      <c r="P181" s="2">
        <v>15328.14</v>
      </c>
      <c r="Q181" s="2"/>
      <c r="R181" s="19">
        <f t="shared" si="32"/>
        <v>5.4646078068259845E-4</v>
      </c>
      <c r="S181" s="2"/>
      <c r="T181" s="2">
        <v>12735.37</v>
      </c>
      <c r="U181" s="2"/>
      <c r="V181" s="19">
        <f t="shared" si="33"/>
        <v>3.6431949512930907E-4</v>
      </c>
      <c r="W181" s="2"/>
      <c r="X181" s="2">
        <f t="shared" si="34"/>
        <v>2592.7699999999986</v>
      </c>
      <c r="Y181" s="2"/>
      <c r="Z181" s="19">
        <f t="shared" si="35"/>
        <v>0.20358811718858569</v>
      </c>
    </row>
    <row r="182" spans="1:26" s="24" customFormat="1" hidden="1" outlineLevel="1" x14ac:dyDescent="0.25">
      <c r="A182" s="44"/>
      <c r="B182" s="11" t="str">
        <f>CONCATENATE("          ", "5086", " - ", "PURCHASES @ COST-COMPUTER SUPP")</f>
        <v xml:space="preserve">          5086 - PURCHASES @ COST-COMPUTER SUPP</v>
      </c>
      <c r="C182" s="11"/>
      <c r="D182" s="2">
        <v>-67.5</v>
      </c>
      <c r="E182" s="2"/>
      <c r="F182" s="19">
        <f t="shared" si="28"/>
        <v>-1.3334848962388734E-4</v>
      </c>
      <c r="G182" s="2"/>
      <c r="H182" s="2">
        <v>4684</v>
      </c>
      <c r="I182" s="2"/>
      <c r="J182" s="19">
        <f t="shared" si="29"/>
        <v>1.750262475847761E-3</v>
      </c>
      <c r="K182" s="2"/>
      <c r="L182" s="2">
        <f t="shared" si="30"/>
        <v>-4751.5</v>
      </c>
      <c r="M182" s="2"/>
      <c r="N182" s="19">
        <f t="shared" si="31"/>
        <v>-1.0144107600341588</v>
      </c>
      <c r="O182" s="11"/>
      <c r="P182" s="2">
        <v>30309.27</v>
      </c>
      <c r="Q182" s="2"/>
      <c r="R182" s="19">
        <f t="shared" si="32"/>
        <v>1.0805503698504621E-3</v>
      </c>
      <c r="S182" s="2"/>
      <c r="T182" s="2">
        <v>61067.44</v>
      </c>
      <c r="U182" s="2"/>
      <c r="V182" s="19">
        <f t="shared" si="33"/>
        <v>1.7469503367110162E-3</v>
      </c>
      <c r="W182" s="2"/>
      <c r="X182" s="2">
        <f t="shared" si="34"/>
        <v>-30758.170000000002</v>
      </c>
      <c r="Y182" s="2"/>
      <c r="Z182" s="19">
        <f t="shared" si="35"/>
        <v>-0.50367544472144243</v>
      </c>
    </row>
    <row r="183" spans="1:26" s="24" customFormat="1" hidden="1" outlineLevel="1" x14ac:dyDescent="0.25">
      <c r="A183" s="44"/>
      <c r="B183" s="11" t="str">
        <f>CONCATENATE("          ", "5088", " - ", "PURCHASES @ COST-MUSIC")</f>
        <v xml:space="preserve">          5088 - PURCHASES @ COST-MUSIC</v>
      </c>
      <c r="C183" s="11"/>
      <c r="D183" s="2"/>
      <c r="E183" s="2"/>
      <c r="F183" s="19">
        <f t="shared" si="28"/>
        <v>0</v>
      </c>
      <c r="G183" s="2"/>
      <c r="H183" s="2">
        <v>1949</v>
      </c>
      <c r="I183" s="2"/>
      <c r="J183" s="19">
        <f t="shared" si="29"/>
        <v>7.2827958271291337E-4</v>
      </c>
      <c r="K183" s="2"/>
      <c r="L183" s="2">
        <f t="shared" si="30"/>
        <v>-1949</v>
      </c>
      <c r="M183" s="2"/>
      <c r="N183" s="19">
        <f t="shared" si="31"/>
        <v>-1</v>
      </c>
      <c r="O183" s="11"/>
      <c r="P183" s="2">
        <v>95.65</v>
      </c>
      <c r="Q183" s="2"/>
      <c r="R183" s="19">
        <f t="shared" si="32"/>
        <v>3.4100010615958977E-6</v>
      </c>
      <c r="S183" s="2"/>
      <c r="T183" s="2">
        <v>1949</v>
      </c>
      <c r="U183" s="2"/>
      <c r="V183" s="19">
        <f t="shared" si="33"/>
        <v>5.5754854080173828E-5</v>
      </c>
      <c r="W183" s="2"/>
      <c r="X183" s="2">
        <f t="shared" si="34"/>
        <v>-1853.35</v>
      </c>
      <c r="Y183" s="2"/>
      <c r="Z183" s="19">
        <f t="shared" si="35"/>
        <v>-0.95092355053873778</v>
      </c>
    </row>
    <row r="184" spans="1:26" s="24" customFormat="1" hidden="1" outlineLevel="1" x14ac:dyDescent="0.25">
      <c r="A184" s="44"/>
      <c r="B184" s="11" t="str">
        <f>CONCATENATE("          ", "5092", " - ", "PURCHASES @ COST-GRAD MERCH")</f>
        <v xml:space="preserve">          5092 - PURCHASES @ COST-GRAD MERCH</v>
      </c>
      <c r="C184" s="11"/>
      <c r="D184" s="2">
        <v>-3999.6</v>
      </c>
      <c r="E184" s="2"/>
      <c r="F184" s="19">
        <f t="shared" si="28"/>
        <v>-7.901342505180738E-3</v>
      </c>
      <c r="G184" s="2"/>
      <c r="H184" s="2">
        <v>-10772.4</v>
      </c>
      <c r="I184" s="2"/>
      <c r="J184" s="19">
        <f t="shared" si="29"/>
        <v>-4.0253047597827545E-3</v>
      </c>
      <c r="K184" s="2"/>
      <c r="L184" s="2">
        <f t="shared" si="30"/>
        <v>6772.7999999999993</v>
      </c>
      <c r="M184" s="2"/>
      <c r="N184" s="19">
        <f t="shared" si="31"/>
        <v>-0.62871783446585716</v>
      </c>
      <c r="O184" s="11"/>
      <c r="P184" s="2">
        <v>4485.88</v>
      </c>
      <c r="Q184" s="2"/>
      <c r="R184" s="19">
        <f t="shared" si="32"/>
        <v>1.5992530645260643E-4</v>
      </c>
      <c r="S184" s="2"/>
      <c r="T184" s="2">
        <v>24835.06</v>
      </c>
      <c r="U184" s="2"/>
      <c r="V184" s="19">
        <f t="shared" si="33"/>
        <v>7.104541541161426E-4</v>
      </c>
      <c r="W184" s="2"/>
      <c r="X184" s="2">
        <f t="shared" si="34"/>
        <v>-20349.18</v>
      </c>
      <c r="Y184" s="2"/>
      <c r="Z184" s="19">
        <f t="shared" si="35"/>
        <v>-0.81937309593775898</v>
      </c>
    </row>
    <row r="185" spans="1:26" s="24" customFormat="1" hidden="1" outlineLevel="1" x14ac:dyDescent="0.25">
      <c r="A185" s="44"/>
      <c r="B185" s="11" t="str">
        <f>CONCATENATE("          ", "5095", " - ", "PURCHASES @ COST-CUSTOMER SERV")</f>
        <v xml:space="preserve">          5095 - PURCHASES @ COST-CUSTOMER SERV</v>
      </c>
      <c r="C185" s="11"/>
      <c r="D185" s="2"/>
      <c r="E185" s="2"/>
      <c r="F185" s="19">
        <f t="shared" si="28"/>
        <v>0</v>
      </c>
      <c r="G185" s="2"/>
      <c r="H185" s="2">
        <v>0</v>
      </c>
      <c r="I185" s="2"/>
      <c r="J185" s="19">
        <f t="shared" si="29"/>
        <v>0</v>
      </c>
      <c r="K185" s="2"/>
      <c r="L185" s="2">
        <f t="shared" si="30"/>
        <v>0</v>
      </c>
      <c r="M185" s="2"/>
      <c r="N185" s="19">
        <f t="shared" si="31"/>
        <v>0</v>
      </c>
      <c r="O185" s="11"/>
      <c r="P185" s="2">
        <v>0</v>
      </c>
      <c r="Q185" s="2"/>
      <c r="R185" s="19">
        <f t="shared" si="32"/>
        <v>0</v>
      </c>
      <c r="S185" s="2"/>
      <c r="T185" s="2">
        <v>0</v>
      </c>
      <c r="U185" s="2"/>
      <c r="V185" s="19">
        <f t="shared" si="33"/>
        <v>0</v>
      </c>
      <c r="W185" s="2"/>
      <c r="X185" s="2">
        <f t="shared" si="34"/>
        <v>0</v>
      </c>
      <c r="Y185" s="2"/>
      <c r="Z185" s="19">
        <f t="shared" si="35"/>
        <v>0</v>
      </c>
    </row>
    <row r="186" spans="1:26" s="24" customFormat="1" hidden="1" outlineLevel="1" x14ac:dyDescent="0.25">
      <c r="A186" s="44"/>
      <c r="B186" s="11" t="str">
        <f>CONCATENATE("          ", "5200", " - ", "PURCHASES OFFSET")</f>
        <v xml:space="preserve">          5200 - PURCHASES OFFSET</v>
      </c>
      <c r="C186" s="11"/>
      <c r="D186" s="2">
        <v>-217306</v>
      </c>
      <c r="E186" s="2"/>
      <c r="F186" s="19">
        <f t="shared" si="28"/>
        <v>-0.42929521312901425</v>
      </c>
      <c r="G186" s="2"/>
      <c r="H186" s="2">
        <v>-562052</v>
      </c>
      <c r="I186" s="2"/>
      <c r="J186" s="19">
        <f t="shared" si="29"/>
        <v>-0.21002103438838296</v>
      </c>
      <c r="K186" s="2"/>
      <c r="L186" s="2">
        <f t="shared" si="30"/>
        <v>344746</v>
      </c>
      <c r="M186" s="2"/>
      <c r="N186" s="19">
        <f t="shared" si="31"/>
        <v>-0.61337029314013647</v>
      </c>
      <c r="O186" s="11"/>
      <c r="P186" s="2">
        <v>-5517897</v>
      </c>
      <c r="Q186" s="2"/>
      <c r="R186" s="19">
        <f t="shared" si="32"/>
        <v>-0.19671756014403366</v>
      </c>
      <c r="S186" s="2"/>
      <c r="T186" s="2">
        <v>-6439112</v>
      </c>
      <c r="U186" s="2"/>
      <c r="V186" s="19">
        <f t="shared" si="33"/>
        <v>-0.18420305283011609</v>
      </c>
      <c r="W186" s="2"/>
      <c r="X186" s="2">
        <f t="shared" si="34"/>
        <v>921215</v>
      </c>
      <c r="Y186" s="2"/>
      <c r="Z186" s="19">
        <f t="shared" si="35"/>
        <v>-0.143065534502273</v>
      </c>
    </row>
    <row r="187" spans="1:26" s="24" customFormat="1" hidden="1" outlineLevel="1" x14ac:dyDescent="0.25">
      <c r="A187" s="44"/>
      <c r="B187" s="11" t="str">
        <f>CONCATENATE("          ", "5300", " - ", "COG$ OFFSET")</f>
        <v xml:space="preserve">          5300 - COG$ OFFSET</v>
      </c>
      <c r="C187" s="11"/>
      <c r="D187" s="2">
        <v>237794.99999999997</v>
      </c>
      <c r="E187" s="2"/>
      <c r="F187" s="19">
        <f t="shared" si="28"/>
        <v>0.46977191244610794</v>
      </c>
      <c r="G187" s="2"/>
      <c r="H187" s="2">
        <v>747522</v>
      </c>
      <c r="I187" s="2"/>
      <c r="J187" s="19">
        <f t="shared" si="29"/>
        <v>0.27932530027127883</v>
      </c>
      <c r="K187" s="2"/>
      <c r="L187" s="2">
        <f t="shared" si="30"/>
        <v>-509727</v>
      </c>
      <c r="M187" s="2"/>
      <c r="N187" s="19">
        <f t="shared" si="31"/>
        <v>-0.68188896112756547</v>
      </c>
      <c r="O187" s="11"/>
      <c r="P187" s="2">
        <v>6157688.4699999997</v>
      </c>
      <c r="Q187" s="2"/>
      <c r="R187" s="19">
        <f t="shared" si="32"/>
        <v>0.21952665153870171</v>
      </c>
      <c r="S187" s="2"/>
      <c r="T187" s="2">
        <v>7342318</v>
      </c>
      <c r="U187" s="2"/>
      <c r="V187" s="19">
        <f t="shared" si="33"/>
        <v>0.21004097932284954</v>
      </c>
      <c r="W187" s="2"/>
      <c r="X187" s="2">
        <f t="shared" si="34"/>
        <v>-1184629.5300000003</v>
      </c>
      <c r="Y187" s="2"/>
      <c r="Z187" s="19">
        <f t="shared" si="35"/>
        <v>-0.16134271629204841</v>
      </c>
    </row>
    <row r="188" spans="1:26" s="24" customFormat="1" hidden="1" outlineLevel="1" x14ac:dyDescent="0.25">
      <c r="A188" s="44"/>
      <c r="B188" s="11" t="str">
        <f>CONCATENATE("          ", "5500", " - ", "FREIGHT-IN")</f>
        <v xml:space="preserve">          5500 - FREIGHT-IN</v>
      </c>
      <c r="C188" s="11"/>
      <c r="D188" s="2"/>
      <c r="E188" s="2"/>
      <c r="F188" s="19">
        <f t="shared" si="28"/>
        <v>0</v>
      </c>
      <c r="G188" s="2"/>
      <c r="H188" s="2">
        <v>14.08</v>
      </c>
      <c r="I188" s="2"/>
      <c r="J188" s="19">
        <f t="shared" si="29"/>
        <v>5.2612501408916469E-6</v>
      </c>
      <c r="K188" s="2"/>
      <c r="L188" s="2">
        <f t="shared" si="30"/>
        <v>-14.08</v>
      </c>
      <c r="M188" s="2"/>
      <c r="N188" s="19">
        <f t="shared" si="31"/>
        <v>-1</v>
      </c>
      <c r="O188" s="11"/>
      <c r="P188" s="2">
        <v>156.47999999999999</v>
      </c>
      <c r="Q188" s="2"/>
      <c r="R188" s="19">
        <f t="shared" si="32"/>
        <v>5.5786405239783171E-6</v>
      </c>
      <c r="S188" s="2"/>
      <c r="T188" s="2">
        <v>202.99</v>
      </c>
      <c r="U188" s="2"/>
      <c r="V188" s="19">
        <f t="shared" si="33"/>
        <v>5.8069152538401673E-6</v>
      </c>
      <c r="W188" s="2"/>
      <c r="X188" s="2">
        <f t="shared" si="34"/>
        <v>-46.510000000000019</v>
      </c>
      <c r="Y188" s="2"/>
      <c r="Z188" s="19">
        <f t="shared" si="35"/>
        <v>-0.22912458741809949</v>
      </c>
    </row>
    <row r="189" spans="1:26" s="24" customFormat="1" hidden="1" outlineLevel="1" x14ac:dyDescent="0.25">
      <c r="A189" s="44"/>
      <c r="B189" s="11" t="str">
        <f>CONCATENATE("          ", "5501", " - ", "FREIGHT-IN-NEW TEXT")</f>
        <v xml:space="preserve">          5501 - FREIGHT-IN-NEW TEXT</v>
      </c>
      <c r="C189" s="11"/>
      <c r="D189" s="2">
        <v>-21.22</v>
      </c>
      <c r="E189" s="2"/>
      <c r="F189" s="19">
        <f t="shared" si="28"/>
        <v>-4.1920814071390951E-5</v>
      </c>
      <c r="G189" s="2"/>
      <c r="H189" s="2">
        <v>1437.4</v>
      </c>
      <c r="I189" s="2"/>
      <c r="J189" s="19">
        <f t="shared" si="29"/>
        <v>5.3711086310494704E-4</v>
      </c>
      <c r="K189" s="2"/>
      <c r="L189" s="2">
        <f t="shared" si="30"/>
        <v>-1458.6200000000001</v>
      </c>
      <c r="M189" s="2"/>
      <c r="N189" s="19">
        <f t="shared" si="31"/>
        <v>-1.0147627661054681</v>
      </c>
      <c r="O189" s="11"/>
      <c r="P189" s="2">
        <v>69747.73000000001</v>
      </c>
      <c r="Q189" s="2"/>
      <c r="R189" s="19">
        <f t="shared" si="32"/>
        <v>2.4865638614103929E-3</v>
      </c>
      <c r="S189" s="2"/>
      <c r="T189" s="2">
        <v>64203.939999999995</v>
      </c>
      <c r="U189" s="2"/>
      <c r="V189" s="19">
        <f t="shared" si="33"/>
        <v>1.8366758881848309E-3</v>
      </c>
      <c r="W189" s="2"/>
      <c r="X189" s="2">
        <f t="shared" si="34"/>
        <v>5543.7900000000154</v>
      </c>
      <c r="Y189" s="2"/>
      <c r="Z189" s="19">
        <f t="shared" si="35"/>
        <v>8.6346570008009105E-2</v>
      </c>
    </row>
    <row r="190" spans="1:26" s="24" customFormat="1" hidden="1" outlineLevel="1" x14ac:dyDescent="0.25">
      <c r="A190" s="44"/>
      <c r="B190" s="11" t="str">
        <f>CONCATENATE("          ", "5502", " - ", "FREIGHT-IN-USED TEXT")</f>
        <v xml:space="preserve">          5502 - FREIGHT-IN-USED TEXT</v>
      </c>
      <c r="C190" s="11"/>
      <c r="D190" s="2">
        <v>379.42</v>
      </c>
      <c r="E190" s="2"/>
      <c r="F190" s="19">
        <f t="shared" si="28"/>
        <v>7.4955679900881979E-4</v>
      </c>
      <c r="G190" s="2"/>
      <c r="H190" s="2">
        <v>306.19</v>
      </c>
      <c r="I190" s="2"/>
      <c r="J190" s="19">
        <f t="shared" si="29"/>
        <v>1.1441350714769982E-4</v>
      </c>
      <c r="K190" s="2"/>
      <c r="L190" s="2">
        <f t="shared" si="30"/>
        <v>73.230000000000018</v>
      </c>
      <c r="M190" s="2"/>
      <c r="N190" s="19">
        <f t="shared" si="31"/>
        <v>0.23916522420719166</v>
      </c>
      <c r="O190" s="11"/>
      <c r="P190" s="2">
        <v>15680.76</v>
      </c>
      <c r="Q190" s="2"/>
      <c r="R190" s="19">
        <f t="shared" si="32"/>
        <v>5.5903197330507562E-4</v>
      </c>
      <c r="S190" s="2"/>
      <c r="T190" s="2">
        <v>14043.29</v>
      </c>
      <c r="U190" s="2"/>
      <c r="V190" s="19">
        <f t="shared" si="33"/>
        <v>4.0173503579043834E-4</v>
      </c>
      <c r="W190" s="2"/>
      <c r="X190" s="2">
        <f t="shared" si="34"/>
        <v>1637.4699999999993</v>
      </c>
      <c r="Y190" s="2"/>
      <c r="Z190" s="19">
        <f t="shared" si="35"/>
        <v>0.11660159407090498</v>
      </c>
    </row>
    <row r="191" spans="1:26" s="24" customFormat="1" hidden="1" outlineLevel="1" x14ac:dyDescent="0.25">
      <c r="A191" s="44"/>
      <c r="B191" s="11" t="str">
        <f>CONCATENATE("          ", "5504", " - ", "FREIGHT-IN-DIGITAL TEXT")</f>
        <v xml:space="preserve">          5504 - FREIGHT-IN-DIGITAL TEXT</v>
      </c>
      <c r="C191" s="11"/>
      <c r="D191" s="2"/>
      <c r="E191" s="2"/>
      <c r="F191" s="19">
        <f t="shared" si="28"/>
        <v>0</v>
      </c>
      <c r="G191" s="2"/>
      <c r="H191" s="2"/>
      <c r="I191" s="2"/>
      <c r="J191" s="19">
        <f t="shared" si="29"/>
        <v>0</v>
      </c>
      <c r="K191" s="2"/>
      <c r="L191" s="2">
        <f t="shared" si="30"/>
        <v>0</v>
      </c>
      <c r="M191" s="2"/>
      <c r="N191" s="19">
        <f t="shared" si="31"/>
        <v>0</v>
      </c>
      <c r="O191" s="11"/>
      <c r="P191" s="2">
        <v>118.75</v>
      </c>
      <c r="Q191" s="2"/>
      <c r="R191" s="19">
        <f t="shared" si="32"/>
        <v>4.2335350346525127E-6</v>
      </c>
      <c r="S191" s="2"/>
      <c r="T191" s="2">
        <v>243.53</v>
      </c>
      <c r="U191" s="2"/>
      <c r="V191" s="19">
        <f t="shared" si="33"/>
        <v>6.966639104230237E-6</v>
      </c>
      <c r="W191" s="2"/>
      <c r="X191" s="2">
        <f t="shared" si="34"/>
        <v>-124.78</v>
      </c>
      <c r="Y191" s="2"/>
      <c r="Z191" s="19">
        <f t="shared" si="35"/>
        <v>-0.5123804048782491</v>
      </c>
    </row>
    <row r="192" spans="1:26" s="24" customFormat="1" hidden="1" outlineLevel="1" x14ac:dyDescent="0.25">
      <c r="A192" s="44"/>
      <c r="B192" s="11" t="str">
        <f>CONCATENATE("          ", "5513", " - ", "FREIGHT-IN-TRADE BOOKS")</f>
        <v xml:space="preserve">          5513 - FREIGHT-IN-TRADE BOOKS</v>
      </c>
      <c r="C192" s="11"/>
      <c r="D192" s="2"/>
      <c r="E192" s="2"/>
      <c r="F192" s="19">
        <f t="shared" si="28"/>
        <v>0</v>
      </c>
      <c r="G192" s="2"/>
      <c r="H192" s="2"/>
      <c r="I192" s="2"/>
      <c r="J192" s="19">
        <f t="shared" si="29"/>
        <v>0</v>
      </c>
      <c r="K192" s="2"/>
      <c r="L192" s="2">
        <f t="shared" si="30"/>
        <v>0</v>
      </c>
      <c r="M192" s="2"/>
      <c r="N192" s="19">
        <f t="shared" si="31"/>
        <v>0</v>
      </c>
      <c r="O192" s="11"/>
      <c r="P192" s="2">
        <v>30.24</v>
      </c>
      <c r="Q192" s="2"/>
      <c r="R192" s="19">
        <f t="shared" si="32"/>
        <v>1.0780808374559324E-6</v>
      </c>
      <c r="S192" s="2"/>
      <c r="T192" s="2">
        <v>54.9</v>
      </c>
      <c r="U192" s="2"/>
      <c r="V192" s="19">
        <f t="shared" si="33"/>
        <v>1.5705189784512791E-6</v>
      </c>
      <c r="W192" s="2"/>
      <c r="X192" s="2">
        <f t="shared" si="34"/>
        <v>-24.66</v>
      </c>
      <c r="Y192" s="2"/>
      <c r="Z192" s="19">
        <f t="shared" si="35"/>
        <v>-0.44918032786885248</v>
      </c>
    </row>
    <row r="193" spans="1:26" s="24" customFormat="1" hidden="1" outlineLevel="1" x14ac:dyDescent="0.25">
      <c r="A193" s="44"/>
      <c r="B193" s="11" t="str">
        <f>CONCATENATE("          ", "5518", " - ", "FREIGHT-IN-STUDY GUIDES")</f>
        <v xml:space="preserve">          5518 - FREIGHT-IN-STUDY GUIDES</v>
      </c>
      <c r="C193" s="11"/>
      <c r="D193" s="2"/>
      <c r="E193" s="2"/>
      <c r="F193" s="19">
        <f t="shared" si="28"/>
        <v>0</v>
      </c>
      <c r="G193" s="2"/>
      <c r="H193" s="2"/>
      <c r="I193" s="2"/>
      <c r="J193" s="19">
        <f t="shared" si="29"/>
        <v>0</v>
      </c>
      <c r="K193" s="2"/>
      <c r="L193" s="2">
        <f t="shared" si="30"/>
        <v>0</v>
      </c>
      <c r="M193" s="2"/>
      <c r="N193" s="19">
        <f t="shared" si="31"/>
        <v>0</v>
      </c>
      <c r="O193" s="11"/>
      <c r="P193" s="2">
        <v>21.13</v>
      </c>
      <c r="Q193" s="2"/>
      <c r="R193" s="19">
        <f t="shared" si="32"/>
        <v>7.5330185500806387E-7</v>
      </c>
      <c r="S193" s="2"/>
      <c r="T193" s="2"/>
      <c r="U193" s="2"/>
      <c r="V193" s="19">
        <f t="shared" si="33"/>
        <v>0</v>
      </c>
      <c r="W193" s="2"/>
      <c r="X193" s="2">
        <f t="shared" si="34"/>
        <v>21.13</v>
      </c>
      <c r="Y193" s="2"/>
      <c r="Z193" s="19">
        <f t="shared" si="35"/>
        <v>0</v>
      </c>
    </row>
    <row r="194" spans="1:26" s="24" customFormat="1" hidden="1" outlineLevel="1" x14ac:dyDescent="0.25">
      <c r="A194" s="44"/>
      <c r="B194" s="11" t="str">
        <f>CONCATENATE("          ", "5525", " - ", "FREIGHT-IN-TEST FORMS")</f>
        <v xml:space="preserve">          5525 - FREIGHT-IN-TEST FORMS</v>
      </c>
      <c r="C194" s="11"/>
      <c r="D194" s="2">
        <v>377.1</v>
      </c>
      <c r="E194" s="2"/>
      <c r="F194" s="19">
        <f t="shared" si="28"/>
        <v>7.4497356203211725E-4</v>
      </c>
      <c r="G194" s="2"/>
      <c r="H194" s="2">
        <v>55.71</v>
      </c>
      <c r="I194" s="2"/>
      <c r="J194" s="19">
        <f t="shared" si="29"/>
        <v>2.0817062879905798E-5</v>
      </c>
      <c r="K194" s="2"/>
      <c r="L194" s="2">
        <f t="shared" si="30"/>
        <v>321.39000000000004</v>
      </c>
      <c r="M194" s="2"/>
      <c r="N194" s="19">
        <f t="shared" si="31"/>
        <v>5.7689822294022628</v>
      </c>
      <c r="O194" s="11"/>
      <c r="P194" s="2">
        <v>1614.32</v>
      </c>
      <c r="Q194" s="2"/>
      <c r="R194" s="19">
        <f t="shared" si="32"/>
        <v>5.755183391275995E-5</v>
      </c>
      <c r="S194" s="2"/>
      <c r="T194" s="2">
        <v>390.96</v>
      </c>
      <c r="U194" s="2"/>
      <c r="V194" s="19">
        <f t="shared" si="33"/>
        <v>1.1184154823594027E-5</v>
      </c>
      <c r="W194" s="2"/>
      <c r="X194" s="2">
        <f t="shared" si="34"/>
        <v>1223.3599999999999</v>
      </c>
      <c r="Y194" s="2"/>
      <c r="Z194" s="19">
        <f t="shared" si="35"/>
        <v>3.1291180683445874</v>
      </c>
    </row>
    <row r="195" spans="1:26" s="24" customFormat="1" hidden="1" outlineLevel="1" x14ac:dyDescent="0.25">
      <c r="A195" s="44"/>
      <c r="B195" s="11" t="str">
        <f>CONCATENATE("          ", "5526", " - ", "FREIGHT-IN-WRITING INSTRUMENTS")</f>
        <v xml:space="preserve">          5526 - FREIGHT-IN-WRITING INSTRUMENTS</v>
      </c>
      <c r="C195" s="11"/>
      <c r="D195" s="2">
        <v>14.15</v>
      </c>
      <c r="E195" s="2"/>
      <c r="F195" s="19">
        <f t="shared" si="28"/>
        <v>2.7953794491526013E-5</v>
      </c>
      <c r="G195" s="2"/>
      <c r="H195" s="2">
        <v>24.01</v>
      </c>
      <c r="I195" s="2"/>
      <c r="J195" s="19">
        <f t="shared" si="29"/>
        <v>8.9717766962221907E-6</v>
      </c>
      <c r="K195" s="2"/>
      <c r="L195" s="2">
        <f t="shared" si="30"/>
        <v>-9.8600000000000012</v>
      </c>
      <c r="M195" s="2"/>
      <c r="N195" s="19">
        <f t="shared" si="31"/>
        <v>-0.41066222407330283</v>
      </c>
      <c r="O195" s="11"/>
      <c r="P195" s="2">
        <v>274.5</v>
      </c>
      <c r="Q195" s="2"/>
      <c r="R195" s="19">
        <f t="shared" si="32"/>
        <v>9.7861504590493866E-6</v>
      </c>
      <c r="S195" s="2"/>
      <c r="T195" s="2">
        <v>256.12</v>
      </c>
      <c r="U195" s="2"/>
      <c r="V195" s="19">
        <f t="shared" si="33"/>
        <v>7.3268000138605031E-6</v>
      </c>
      <c r="W195" s="2"/>
      <c r="X195" s="2">
        <f t="shared" si="34"/>
        <v>18.379999999999995</v>
      </c>
      <c r="Y195" s="2"/>
      <c r="Z195" s="19">
        <f t="shared" si="35"/>
        <v>7.1763235983132889E-2</v>
      </c>
    </row>
    <row r="196" spans="1:26" s="24" customFormat="1" hidden="1" outlineLevel="1" x14ac:dyDescent="0.25">
      <c r="A196" s="44"/>
      <c r="B196" s="11" t="str">
        <f>CONCATENATE("          ", "5527", " - ", "FREIGHT-IN-SCHOOL SUPPLIES")</f>
        <v xml:space="preserve">          5527 - FREIGHT-IN-SCHOOL SUPPLIES</v>
      </c>
      <c r="C196" s="11"/>
      <c r="D196" s="2">
        <v>-250.91</v>
      </c>
      <c r="E196" s="2"/>
      <c r="F196" s="19">
        <f t="shared" si="28"/>
        <v>-4.9568103009673434E-4</v>
      </c>
      <c r="G196" s="2"/>
      <c r="H196" s="2">
        <v>150.80000000000001</v>
      </c>
      <c r="I196" s="2"/>
      <c r="J196" s="19">
        <f t="shared" si="29"/>
        <v>5.6349184747617926E-5</v>
      </c>
      <c r="K196" s="2"/>
      <c r="L196" s="2">
        <f t="shared" si="30"/>
        <v>-401.71000000000004</v>
      </c>
      <c r="M196" s="2"/>
      <c r="N196" s="19">
        <f t="shared" si="31"/>
        <v>-2.6638594164456233</v>
      </c>
      <c r="O196" s="11"/>
      <c r="P196" s="2">
        <v>1808</v>
      </c>
      <c r="Q196" s="2"/>
      <c r="R196" s="19">
        <f t="shared" si="32"/>
        <v>6.445668499075152E-5</v>
      </c>
      <c r="S196" s="2"/>
      <c r="T196" s="2">
        <v>1912.08</v>
      </c>
      <c r="U196" s="2"/>
      <c r="V196" s="19">
        <f t="shared" si="33"/>
        <v>5.4698687218891104E-5</v>
      </c>
      <c r="W196" s="2"/>
      <c r="X196" s="2">
        <f t="shared" si="34"/>
        <v>-104.07999999999993</v>
      </c>
      <c r="Y196" s="2"/>
      <c r="Z196" s="19">
        <f t="shared" si="35"/>
        <v>-5.4432868917618477E-2</v>
      </c>
    </row>
    <row r="197" spans="1:26" s="24" customFormat="1" hidden="1" outlineLevel="1" x14ac:dyDescent="0.25">
      <c r="A197" s="44"/>
      <c r="B197" s="11" t="str">
        <f>CONCATENATE("          ", "5528", " - ", "FREIGHT-IN-ART/TECH")</f>
        <v xml:space="preserve">          5528 - FREIGHT-IN-ART/TECH</v>
      </c>
      <c r="C197" s="11"/>
      <c r="D197" s="2">
        <v>-19.75</v>
      </c>
      <c r="E197" s="2"/>
      <c r="F197" s="19">
        <f t="shared" si="28"/>
        <v>-3.9016780297359624E-5</v>
      </c>
      <c r="G197" s="2"/>
      <c r="H197" s="2">
        <v>59.75</v>
      </c>
      <c r="I197" s="2"/>
      <c r="J197" s="19">
        <f t="shared" si="29"/>
        <v>2.2326682948741186E-5</v>
      </c>
      <c r="K197" s="2"/>
      <c r="L197" s="2">
        <f t="shared" si="30"/>
        <v>-79.5</v>
      </c>
      <c r="M197" s="2"/>
      <c r="N197" s="19">
        <f t="shared" si="31"/>
        <v>-1.3305439330543933</v>
      </c>
      <c r="O197" s="11"/>
      <c r="P197" s="2">
        <v>2824.37</v>
      </c>
      <c r="Q197" s="2"/>
      <c r="R197" s="19">
        <f t="shared" si="32"/>
        <v>1.0069111028060225E-4</v>
      </c>
      <c r="S197" s="2"/>
      <c r="T197" s="2">
        <v>7553.59</v>
      </c>
      <c r="U197" s="2"/>
      <c r="V197" s="19">
        <f t="shared" si="33"/>
        <v>2.1608481694790162E-4</v>
      </c>
      <c r="W197" s="2"/>
      <c r="X197" s="2">
        <f t="shared" si="34"/>
        <v>-4729.22</v>
      </c>
      <c r="Y197" s="2"/>
      <c r="Z197" s="19">
        <f t="shared" si="35"/>
        <v>-0.62608905169594853</v>
      </c>
    </row>
    <row r="198" spans="1:26" s="24" customFormat="1" hidden="1" outlineLevel="1" x14ac:dyDescent="0.25">
      <c r="A198" s="44"/>
      <c r="B198" s="11" t="str">
        <f>CONCATENATE("          ", "5540", " - ", "FREIGHT-IN-LOGO CLOTHING")</f>
        <v xml:space="preserve">          5540 - FREIGHT-IN-LOGO CLOTHING</v>
      </c>
      <c r="C198" s="11"/>
      <c r="D198" s="2">
        <v>815.7</v>
      </c>
      <c r="E198" s="2"/>
      <c r="F198" s="19">
        <f t="shared" si="28"/>
        <v>1.611442414610443E-3</v>
      </c>
      <c r="G198" s="2"/>
      <c r="H198" s="2">
        <v>872.01</v>
      </c>
      <c r="I198" s="2"/>
      <c r="J198" s="19">
        <f t="shared" si="29"/>
        <v>3.258425238181055E-4</v>
      </c>
      <c r="K198" s="2"/>
      <c r="L198" s="2">
        <f t="shared" si="30"/>
        <v>-56.309999999999945</v>
      </c>
      <c r="M198" s="2"/>
      <c r="N198" s="19">
        <f t="shared" si="31"/>
        <v>-6.457494753500527E-2</v>
      </c>
      <c r="O198" s="11"/>
      <c r="P198" s="2">
        <v>32519</v>
      </c>
      <c r="Q198" s="2"/>
      <c r="R198" s="19">
        <f t="shared" si="32"/>
        <v>1.1593290592999163E-3</v>
      </c>
      <c r="S198" s="2"/>
      <c r="T198" s="2">
        <v>29895.85</v>
      </c>
      <c r="U198" s="2"/>
      <c r="V198" s="19">
        <f t="shared" si="33"/>
        <v>8.5522768309531281E-4</v>
      </c>
      <c r="W198" s="2"/>
      <c r="X198" s="2">
        <f t="shared" si="34"/>
        <v>2623.1500000000015</v>
      </c>
      <c r="Y198" s="2"/>
      <c r="Z198" s="19">
        <f t="shared" si="35"/>
        <v>8.7742947599750515E-2</v>
      </c>
    </row>
    <row r="199" spans="1:26" s="24" customFormat="1" hidden="1" outlineLevel="1" x14ac:dyDescent="0.25">
      <c r="A199" s="44"/>
      <c r="B199" s="11" t="str">
        <f>CONCATENATE("          ", "5541", " - ", "FREIGHT-IN-LOGO GIFTS")</f>
        <v xml:space="preserve">          5541 - FREIGHT-IN-LOGO GIFTS</v>
      </c>
      <c r="C199" s="11"/>
      <c r="D199" s="2">
        <v>343.16</v>
      </c>
      <c r="E199" s="2"/>
      <c r="F199" s="19">
        <f t="shared" si="28"/>
        <v>6.7792396591604711E-4</v>
      </c>
      <c r="G199" s="2"/>
      <c r="H199" s="2">
        <v>1280.73</v>
      </c>
      <c r="I199" s="2"/>
      <c r="J199" s="19">
        <f t="shared" si="29"/>
        <v>4.785682452375113E-4</v>
      </c>
      <c r="K199" s="2"/>
      <c r="L199" s="2">
        <f t="shared" si="30"/>
        <v>-937.56999999999994</v>
      </c>
      <c r="M199" s="2"/>
      <c r="N199" s="19">
        <f t="shared" si="31"/>
        <v>-0.73205906006730526</v>
      </c>
      <c r="O199" s="11"/>
      <c r="P199" s="2">
        <v>5226.1000000000004</v>
      </c>
      <c r="Q199" s="2"/>
      <c r="R199" s="19">
        <f t="shared" si="32"/>
        <v>1.8631475742818946E-4</v>
      </c>
      <c r="S199" s="2"/>
      <c r="T199" s="2">
        <v>8765.51</v>
      </c>
      <c r="U199" s="2"/>
      <c r="V199" s="19">
        <f t="shared" si="33"/>
        <v>2.5075409491447125E-4</v>
      </c>
      <c r="W199" s="2"/>
      <c r="X199" s="2">
        <f t="shared" si="34"/>
        <v>-3539.41</v>
      </c>
      <c r="Y199" s="2"/>
      <c r="Z199" s="19">
        <f t="shared" si="35"/>
        <v>-0.40378825647338257</v>
      </c>
    </row>
    <row r="200" spans="1:26" s="24" customFormat="1" hidden="1" outlineLevel="1" x14ac:dyDescent="0.25">
      <c r="A200" s="44"/>
      <c r="B200" s="11" t="str">
        <f>CONCATENATE("          ", "5542", " - ", "FREIGHT-IN-EVERYDAY GIFTS")</f>
        <v xml:space="preserve">          5542 - FREIGHT-IN-EVERYDAY GIFTS</v>
      </c>
      <c r="C200" s="11"/>
      <c r="D200" s="2">
        <v>384.47</v>
      </c>
      <c r="E200" s="2"/>
      <c r="F200" s="19">
        <f t="shared" si="28"/>
        <v>7.5953324156586622E-4</v>
      </c>
      <c r="G200" s="2"/>
      <c r="H200" s="2">
        <v>383.05</v>
      </c>
      <c r="I200" s="2"/>
      <c r="J200" s="19">
        <f t="shared" si="29"/>
        <v>1.431336552889592E-4</v>
      </c>
      <c r="K200" s="2"/>
      <c r="L200" s="2">
        <f t="shared" si="30"/>
        <v>1.4200000000000159</v>
      </c>
      <c r="M200" s="2"/>
      <c r="N200" s="19">
        <f t="shared" si="31"/>
        <v>3.7070878475395272E-3</v>
      </c>
      <c r="O200" s="11"/>
      <c r="P200" s="2">
        <v>2223.5100000000002</v>
      </c>
      <c r="Q200" s="2"/>
      <c r="R200" s="19">
        <f t="shared" si="32"/>
        <v>7.9269957767580715E-5</v>
      </c>
      <c r="S200" s="2"/>
      <c r="T200" s="2">
        <v>1975.21</v>
      </c>
      <c r="U200" s="2"/>
      <c r="V200" s="19">
        <f t="shared" si="33"/>
        <v>5.6504641009594742E-5</v>
      </c>
      <c r="W200" s="2"/>
      <c r="X200" s="2">
        <f t="shared" si="34"/>
        <v>248.30000000000018</v>
      </c>
      <c r="Y200" s="2"/>
      <c r="Z200" s="19">
        <f t="shared" si="35"/>
        <v>0.12570815255086809</v>
      </c>
    </row>
    <row r="201" spans="1:26" s="24" customFormat="1" hidden="1" outlineLevel="1" x14ac:dyDescent="0.25">
      <c r="A201" s="44"/>
      <c r="B201" s="11" t="str">
        <f>CONCATENATE("          ", "5543", " - ", "FREIGHT-IN-CARDS")</f>
        <v xml:space="preserve">          5543 - FREIGHT-IN-CARDS</v>
      </c>
      <c r="C201" s="11"/>
      <c r="D201" s="2"/>
      <c r="E201" s="2"/>
      <c r="F201" s="19">
        <f t="shared" si="28"/>
        <v>0</v>
      </c>
      <c r="G201" s="2"/>
      <c r="H201" s="2"/>
      <c r="I201" s="2"/>
      <c r="J201" s="19">
        <f t="shared" si="29"/>
        <v>0</v>
      </c>
      <c r="K201" s="2"/>
      <c r="L201" s="2">
        <f t="shared" si="30"/>
        <v>0</v>
      </c>
      <c r="M201" s="2"/>
      <c r="N201" s="19">
        <f t="shared" si="31"/>
        <v>0</v>
      </c>
      <c r="O201" s="11"/>
      <c r="P201" s="2">
        <v>2926.76</v>
      </c>
      <c r="Q201" s="2"/>
      <c r="R201" s="19">
        <f t="shared" si="32"/>
        <v>1.0434139787805969E-4</v>
      </c>
      <c r="S201" s="2"/>
      <c r="T201" s="2">
        <v>57.18</v>
      </c>
      <c r="U201" s="2"/>
      <c r="V201" s="19">
        <f t="shared" si="33"/>
        <v>1.63574271744707E-6</v>
      </c>
      <c r="W201" s="2"/>
      <c r="X201" s="2">
        <f t="shared" si="34"/>
        <v>2869.5800000000004</v>
      </c>
      <c r="Y201" s="2"/>
      <c r="Z201" s="19">
        <f t="shared" si="35"/>
        <v>50.185029730675069</v>
      </c>
    </row>
    <row r="202" spans="1:26" s="24" customFormat="1" hidden="1" outlineLevel="1" x14ac:dyDescent="0.25">
      <c r="A202" s="44"/>
      <c r="B202" s="11" t="str">
        <f>CONCATENATE("          ", "5544", " - ", "FREIGHT-IN-ACCESSORIES")</f>
        <v xml:space="preserve">          5544 - FREIGHT-IN-ACCESSORIES</v>
      </c>
      <c r="C202" s="11"/>
      <c r="D202" s="2"/>
      <c r="E202" s="2"/>
      <c r="F202" s="19">
        <f t="shared" si="28"/>
        <v>0</v>
      </c>
      <c r="G202" s="2"/>
      <c r="H202" s="2">
        <v>226.66</v>
      </c>
      <c r="I202" s="2"/>
      <c r="J202" s="19">
        <f t="shared" si="29"/>
        <v>8.4695664555007149E-5</v>
      </c>
      <c r="K202" s="2"/>
      <c r="L202" s="2">
        <f t="shared" si="30"/>
        <v>-226.66</v>
      </c>
      <c r="M202" s="2"/>
      <c r="N202" s="19">
        <f t="shared" si="31"/>
        <v>-1</v>
      </c>
      <c r="O202" s="11"/>
      <c r="P202" s="2">
        <v>483.44</v>
      </c>
      <c r="Q202" s="2"/>
      <c r="R202" s="19">
        <f t="shared" si="32"/>
        <v>1.7235033070757142E-5</v>
      </c>
      <c r="S202" s="2"/>
      <c r="T202" s="2">
        <v>1360.08</v>
      </c>
      <c r="U202" s="2"/>
      <c r="V202" s="19">
        <f t="shared" si="33"/>
        <v>3.8907676725173327E-5</v>
      </c>
      <c r="W202" s="2"/>
      <c r="X202" s="2">
        <f t="shared" si="34"/>
        <v>-876.63999999999987</v>
      </c>
      <c r="Y202" s="2"/>
      <c r="Z202" s="19">
        <f t="shared" si="35"/>
        <v>-0.64455032056937822</v>
      </c>
    </row>
    <row r="203" spans="1:26" s="24" customFormat="1" hidden="1" outlineLevel="1" x14ac:dyDescent="0.25">
      <c r="A203" s="44"/>
      <c r="B203" s="11" t="str">
        <f>CONCATENATE("          ", "5545", " - ", "FREIGHT-IN-SPECIAL ORDERS")</f>
        <v xml:space="preserve">          5545 - FREIGHT-IN-SPECIAL ORDERS</v>
      </c>
      <c r="C203" s="11"/>
      <c r="D203" s="2">
        <v>173.06</v>
      </c>
      <c r="E203" s="2"/>
      <c r="F203" s="19">
        <f t="shared" si="28"/>
        <v>3.41885772063851E-4</v>
      </c>
      <c r="G203" s="2"/>
      <c r="H203" s="2">
        <v>637.24</v>
      </c>
      <c r="I203" s="2"/>
      <c r="J203" s="19">
        <f t="shared" si="29"/>
        <v>2.3811640907541145E-4</v>
      </c>
      <c r="K203" s="2"/>
      <c r="L203" s="2">
        <f t="shared" si="30"/>
        <v>-464.18</v>
      </c>
      <c r="M203" s="2"/>
      <c r="N203" s="19">
        <f t="shared" si="31"/>
        <v>-0.72842257234323016</v>
      </c>
      <c r="O203" s="11"/>
      <c r="P203" s="2">
        <v>1065.32</v>
      </c>
      <c r="Q203" s="2"/>
      <c r="R203" s="19">
        <f t="shared" si="32"/>
        <v>3.7979532994661173E-5</v>
      </c>
      <c r="S203" s="2"/>
      <c r="T203" s="2">
        <v>2281.42</v>
      </c>
      <c r="U203" s="2"/>
      <c r="V203" s="19">
        <f t="shared" si="33"/>
        <v>6.5264360798147859E-5</v>
      </c>
      <c r="W203" s="2"/>
      <c r="X203" s="2">
        <f t="shared" si="34"/>
        <v>-1216.1000000000001</v>
      </c>
      <c r="Y203" s="2"/>
      <c r="Z203" s="19">
        <f t="shared" si="35"/>
        <v>-0.53304520868581851</v>
      </c>
    </row>
    <row r="204" spans="1:26" s="24" customFormat="1" hidden="1" outlineLevel="1" x14ac:dyDescent="0.25">
      <c r="A204" s="44"/>
      <c r="B204" s="11" t="str">
        <f>CONCATENATE("          ", "5581", " - ", "FREIGHT-IN-ELECTRONICS")</f>
        <v xml:space="preserve">          5581 - FREIGHT-IN-ELECTRONICS</v>
      </c>
      <c r="C204" s="11"/>
      <c r="D204" s="2">
        <v>31.25</v>
      </c>
      <c r="E204" s="2"/>
      <c r="F204" s="19">
        <f t="shared" si="28"/>
        <v>6.1735411862910805E-5</v>
      </c>
      <c r="G204" s="2"/>
      <c r="H204" s="2"/>
      <c r="I204" s="2"/>
      <c r="J204" s="19">
        <f t="shared" si="29"/>
        <v>0</v>
      </c>
      <c r="K204" s="2"/>
      <c r="L204" s="2">
        <f t="shared" si="30"/>
        <v>31.25</v>
      </c>
      <c r="M204" s="2"/>
      <c r="N204" s="19">
        <f t="shared" si="31"/>
        <v>0</v>
      </c>
      <c r="O204" s="11"/>
      <c r="P204" s="2">
        <v>137</v>
      </c>
      <c r="Q204" s="2"/>
      <c r="R204" s="19">
        <f t="shared" si="32"/>
        <v>4.8841625241885832E-6</v>
      </c>
      <c r="S204" s="2"/>
      <c r="T204" s="2"/>
      <c r="U204" s="2"/>
      <c r="V204" s="19">
        <f t="shared" si="33"/>
        <v>0</v>
      </c>
      <c r="W204" s="2"/>
      <c r="X204" s="2">
        <f t="shared" si="34"/>
        <v>137</v>
      </c>
      <c r="Y204" s="2"/>
      <c r="Z204" s="19">
        <f t="shared" si="35"/>
        <v>0</v>
      </c>
    </row>
    <row r="205" spans="1:26" s="24" customFormat="1" hidden="1" outlineLevel="1" x14ac:dyDescent="0.25">
      <c r="A205" s="44"/>
      <c r="B205" s="11" t="str">
        <f>CONCATENATE("          ", "5582", " - ", "FREIGHT-IN-COMPUTER HARDWARE")</f>
        <v xml:space="preserve">          5582 - FREIGHT-IN-COMPUTER HARDWARE</v>
      </c>
      <c r="C205" s="11"/>
      <c r="D205" s="2"/>
      <c r="E205" s="2"/>
      <c r="F205" s="19">
        <f t="shared" si="28"/>
        <v>0</v>
      </c>
      <c r="G205" s="2"/>
      <c r="H205" s="2"/>
      <c r="I205" s="2"/>
      <c r="J205" s="19">
        <f t="shared" si="29"/>
        <v>0</v>
      </c>
      <c r="K205" s="2"/>
      <c r="L205" s="2">
        <f t="shared" si="30"/>
        <v>0</v>
      </c>
      <c r="M205" s="2"/>
      <c r="N205" s="19">
        <f t="shared" si="31"/>
        <v>0</v>
      </c>
      <c r="O205" s="11"/>
      <c r="P205" s="2">
        <v>154.30000000000001</v>
      </c>
      <c r="Q205" s="2"/>
      <c r="R205" s="19">
        <f t="shared" si="32"/>
        <v>5.5009217334474334E-6</v>
      </c>
      <c r="S205" s="2"/>
      <c r="T205" s="2">
        <v>12</v>
      </c>
      <c r="U205" s="2"/>
      <c r="V205" s="19">
        <f t="shared" si="33"/>
        <v>3.4328283681995172E-7</v>
      </c>
      <c r="W205" s="2"/>
      <c r="X205" s="2">
        <f t="shared" si="34"/>
        <v>142.30000000000001</v>
      </c>
      <c r="Y205" s="2"/>
      <c r="Z205" s="19">
        <f t="shared" si="35"/>
        <v>11.858333333333334</v>
      </c>
    </row>
    <row r="206" spans="1:26" s="24" customFormat="1" hidden="1" outlineLevel="1" x14ac:dyDescent="0.25">
      <c r="A206" s="44"/>
      <c r="B206" s="11" t="str">
        <f>CONCATENATE("          ", "5583", " - ", "FREIGHT-IN-COMPUTER EQUIPMENT")</f>
        <v xml:space="preserve">          5583 - FREIGHT-IN-COMPUTER EQUIPMENT</v>
      </c>
      <c r="C206" s="11"/>
      <c r="D206" s="2"/>
      <c r="E206" s="2"/>
      <c r="F206" s="19">
        <f t="shared" si="28"/>
        <v>0</v>
      </c>
      <c r="G206" s="2"/>
      <c r="H206" s="2">
        <v>4.04</v>
      </c>
      <c r="I206" s="2"/>
      <c r="J206" s="19">
        <f t="shared" si="29"/>
        <v>1.5096200688353874E-6</v>
      </c>
      <c r="K206" s="2"/>
      <c r="L206" s="2">
        <f t="shared" si="30"/>
        <v>-4.04</v>
      </c>
      <c r="M206" s="2"/>
      <c r="N206" s="19">
        <f t="shared" si="31"/>
        <v>-1</v>
      </c>
      <c r="O206" s="11"/>
      <c r="P206" s="2">
        <v>96.55</v>
      </c>
      <c r="Q206" s="2"/>
      <c r="R206" s="19">
        <f t="shared" si="32"/>
        <v>3.4420868008058955E-6</v>
      </c>
      <c r="S206" s="2"/>
      <c r="T206" s="2">
        <v>93.42</v>
      </c>
      <c r="U206" s="2"/>
      <c r="V206" s="19">
        <f t="shared" si="33"/>
        <v>2.6724568846433242E-6</v>
      </c>
      <c r="W206" s="2"/>
      <c r="X206" s="2">
        <f t="shared" si="34"/>
        <v>3.1299999999999955</v>
      </c>
      <c r="Y206" s="2"/>
      <c r="Z206" s="19">
        <f t="shared" si="35"/>
        <v>3.3504602868764666E-2</v>
      </c>
    </row>
    <row r="207" spans="1:26" s="24" customFormat="1" hidden="1" outlineLevel="1" x14ac:dyDescent="0.25">
      <c r="A207" s="44"/>
      <c r="B207" s="11" t="str">
        <f>CONCATENATE("          ", "5585", " - ", "FREIGHT-IN-SOFTWARE")</f>
        <v xml:space="preserve">          5585 - FREIGHT-IN-SOFTWARE</v>
      </c>
      <c r="C207" s="11"/>
      <c r="D207" s="2">
        <v>10</v>
      </c>
      <c r="E207" s="2"/>
      <c r="F207" s="19">
        <f t="shared" si="28"/>
        <v>1.9755331796131456E-5</v>
      </c>
      <c r="G207" s="2"/>
      <c r="H207" s="2"/>
      <c r="I207" s="2"/>
      <c r="J207" s="19">
        <f t="shared" si="29"/>
        <v>0</v>
      </c>
      <c r="K207" s="2"/>
      <c r="L207" s="2">
        <f t="shared" si="30"/>
        <v>10</v>
      </c>
      <c r="M207" s="2"/>
      <c r="N207" s="19">
        <f t="shared" si="31"/>
        <v>0</v>
      </c>
      <c r="O207" s="11"/>
      <c r="P207" s="2">
        <v>10</v>
      </c>
      <c r="Q207" s="2"/>
      <c r="R207" s="19">
        <f t="shared" si="32"/>
        <v>3.5650821344442213E-7</v>
      </c>
      <c r="S207" s="2"/>
      <c r="T207" s="2"/>
      <c r="U207" s="2"/>
      <c r="V207" s="19">
        <f t="shared" si="33"/>
        <v>0</v>
      </c>
      <c r="W207" s="2"/>
      <c r="X207" s="2">
        <f t="shared" si="34"/>
        <v>10</v>
      </c>
      <c r="Y207" s="2"/>
      <c r="Z207" s="19">
        <f t="shared" si="35"/>
        <v>0</v>
      </c>
    </row>
    <row r="208" spans="1:26" s="24" customFormat="1" hidden="1" outlineLevel="1" x14ac:dyDescent="0.25">
      <c r="A208" s="44"/>
      <c r="B208" s="11" t="str">
        <f>CONCATENATE("          ", "5586", " - ", "FREIGHT-IN-COMPUTER SUPPLIES")</f>
        <v xml:space="preserve">          5586 - FREIGHT-IN-COMPUTER SUPPLIES</v>
      </c>
      <c r="C208" s="11"/>
      <c r="D208" s="2"/>
      <c r="E208" s="2"/>
      <c r="F208" s="19">
        <f t="shared" si="28"/>
        <v>0</v>
      </c>
      <c r="G208" s="2"/>
      <c r="H208" s="2">
        <v>13.98</v>
      </c>
      <c r="I208" s="2"/>
      <c r="J208" s="19">
        <f t="shared" si="29"/>
        <v>5.2238833075046324E-6</v>
      </c>
      <c r="K208" s="2"/>
      <c r="L208" s="2">
        <f t="shared" si="30"/>
        <v>-13.98</v>
      </c>
      <c r="M208" s="2"/>
      <c r="N208" s="19">
        <f t="shared" si="31"/>
        <v>-1</v>
      </c>
      <c r="O208" s="11"/>
      <c r="P208" s="2">
        <v>301.27</v>
      </c>
      <c r="Q208" s="2"/>
      <c r="R208" s="19">
        <f t="shared" si="32"/>
        <v>1.0740522946440104E-5</v>
      </c>
      <c r="S208" s="2"/>
      <c r="T208" s="2">
        <v>379.94</v>
      </c>
      <c r="U208" s="2"/>
      <c r="V208" s="19">
        <f t="shared" si="33"/>
        <v>1.0868906751781038E-5</v>
      </c>
      <c r="W208" s="2"/>
      <c r="X208" s="2">
        <f t="shared" si="34"/>
        <v>-78.670000000000016</v>
      </c>
      <c r="Y208" s="2"/>
      <c r="Z208" s="19">
        <f t="shared" si="35"/>
        <v>-0.20705900931726065</v>
      </c>
    </row>
    <row r="209" spans="1:26" s="24" customFormat="1" hidden="1" outlineLevel="1" x14ac:dyDescent="0.25">
      <c r="A209" s="44"/>
      <c r="B209" s="11" t="str">
        <f>CONCATENATE("          ", "5592", " - ", "FREIGHT-IN-GRAD MERCH")</f>
        <v xml:space="preserve">          5592 - FREIGHT-IN-GRAD MERCH</v>
      </c>
      <c r="C209" s="11"/>
      <c r="D209" s="2">
        <v>41.32</v>
      </c>
      <c r="E209" s="2"/>
      <c r="F209" s="19">
        <f t="shared" si="28"/>
        <v>8.1629030981615182E-5</v>
      </c>
      <c r="G209" s="2"/>
      <c r="H209" s="2">
        <v>761.96</v>
      </c>
      <c r="I209" s="2"/>
      <c r="J209" s="19">
        <f t="shared" si="29"/>
        <v>2.8472032367569597E-4</v>
      </c>
      <c r="K209" s="2"/>
      <c r="L209" s="2">
        <f t="shared" si="30"/>
        <v>-720.64</v>
      </c>
      <c r="M209" s="2"/>
      <c r="N209" s="19">
        <f t="shared" si="31"/>
        <v>-0.94577143157121102</v>
      </c>
      <c r="O209" s="11"/>
      <c r="P209" s="2">
        <v>160.05000000000001</v>
      </c>
      <c r="Q209" s="2"/>
      <c r="R209" s="19">
        <f t="shared" si="32"/>
        <v>5.7059139561779761E-6</v>
      </c>
      <c r="S209" s="2"/>
      <c r="T209" s="2">
        <v>2342.73</v>
      </c>
      <c r="U209" s="2"/>
      <c r="V209" s="19">
        <f t="shared" si="33"/>
        <v>6.7018250025267133E-5</v>
      </c>
      <c r="W209" s="2"/>
      <c r="X209" s="2">
        <f t="shared" si="34"/>
        <v>-2182.6799999999998</v>
      </c>
      <c r="Y209" s="2"/>
      <c r="Z209" s="19">
        <f t="shared" si="35"/>
        <v>-0.93168226812308708</v>
      </c>
    </row>
    <row r="210" spans="1:26" x14ac:dyDescent="0.25">
      <c r="A210" s="9"/>
      <c r="B210" s="10"/>
      <c r="C210" s="10"/>
      <c r="D210" s="3"/>
      <c r="E210" s="3"/>
      <c r="F210" s="8"/>
      <c r="G210" s="3"/>
      <c r="H210" s="3"/>
      <c r="I210" s="3"/>
      <c r="J210" s="8"/>
      <c r="K210" s="3"/>
      <c r="L210" s="3"/>
      <c r="M210" s="3"/>
      <c r="N210" s="8"/>
      <c r="O210" s="10"/>
      <c r="P210" s="3"/>
      <c r="Q210" s="3"/>
      <c r="R210" s="8"/>
      <c r="S210" s="3"/>
      <c r="T210" s="3"/>
      <c r="U210" s="3"/>
      <c r="V210" s="8"/>
      <c r="W210" s="3"/>
      <c r="X210" s="3"/>
      <c r="Y210" s="3"/>
      <c r="Z210" s="8"/>
    </row>
    <row r="211" spans="1:26" s="23" customFormat="1" x14ac:dyDescent="0.25">
      <c r="A211" s="10"/>
      <c r="B211" s="29" t="s">
        <v>6</v>
      </c>
      <c r="C211" s="29"/>
      <c r="D211" s="21">
        <f>D12-D148</f>
        <v>219863.70999999996</v>
      </c>
      <c r="E211" s="14"/>
      <c r="F211" s="20">
        <f>IF(D$12=0,0,D211/D$12)</f>
        <v>0.4343480540978425</v>
      </c>
      <c r="G211" s="14"/>
      <c r="H211" s="21">
        <f>H12-H148</f>
        <v>1505667.7099999993</v>
      </c>
      <c r="I211" s="14"/>
      <c r="J211" s="20">
        <f>IF(H$12=0,0,H211/H$12)</f>
        <v>0.56262034455777699</v>
      </c>
      <c r="K211" s="16"/>
      <c r="L211" s="21">
        <f>+D211-H211</f>
        <v>-1285803.9999999993</v>
      </c>
      <c r="M211" s="16"/>
      <c r="N211" s="20">
        <f>IF(H211=0,0,L211/H211)</f>
        <v>-0.85397594134498633</v>
      </c>
      <c r="O211" s="28"/>
      <c r="P211" s="21">
        <f>P12-P148</f>
        <v>15608601.259999998</v>
      </c>
      <c r="Q211" s="14"/>
      <c r="R211" s="20">
        <f>IF(P$12=0,0,P211/P$12)</f>
        <v>0.55645945495689553</v>
      </c>
      <c r="S211" s="14"/>
      <c r="T211" s="21">
        <f>T12-T148</f>
        <v>19964622.75</v>
      </c>
      <c r="U211" s="14"/>
      <c r="V211" s="20">
        <f>IF(T$12=0,0,T211/T$12)</f>
        <v>0.5711260278050122</v>
      </c>
      <c r="W211" s="16"/>
      <c r="X211" s="21">
        <f>+P211-T211</f>
        <v>-4356021.4900000021</v>
      </c>
      <c r="Y211" s="16"/>
      <c r="Z211" s="20">
        <f>IF(T211=0,0,X211/T211)</f>
        <v>-0.21818701733294721</v>
      </c>
    </row>
    <row r="212" spans="1:26" x14ac:dyDescent="0.25">
      <c r="A212" s="9"/>
      <c r="B212" s="10"/>
      <c r="C212" s="9"/>
      <c r="D212" s="1"/>
      <c r="E212" s="1"/>
      <c r="F212" s="5"/>
      <c r="G212" s="1"/>
      <c r="H212" s="1"/>
      <c r="I212" s="1"/>
      <c r="J212" s="5"/>
      <c r="K212" s="1"/>
      <c r="L212" s="1"/>
      <c r="M212" s="1"/>
      <c r="N212" s="5"/>
      <c r="O212" s="37"/>
      <c r="P212" s="1"/>
      <c r="Q212" s="1"/>
      <c r="R212" s="5"/>
      <c r="S212" s="1"/>
      <c r="T212" s="1"/>
      <c r="U212" s="1"/>
      <c r="V212" s="5"/>
      <c r="W212" s="1"/>
      <c r="X212" s="1"/>
      <c r="Y212" s="1"/>
      <c r="Z212" s="5"/>
    </row>
    <row r="213" spans="1:26" s="23" customFormat="1" x14ac:dyDescent="0.25">
      <c r="A213" s="10"/>
      <c r="B213" s="28" t="s">
        <v>9</v>
      </c>
      <c r="C213" s="10"/>
      <c r="D213" s="22">
        <f>SUM(OSRRefD22x_0)</f>
        <v>625976.83999999985</v>
      </c>
      <c r="E213" s="22"/>
      <c r="F213" s="31">
        <f t="shared" ref="F213:F223" si="36">IF(D$12=0,0,D213/D$12)</f>
        <v>1.2366380170893891</v>
      </c>
      <c r="G213" s="22"/>
      <c r="H213" s="22">
        <f>SUM(OSRRefH22x_0)</f>
        <v>1663177.0199999996</v>
      </c>
      <c r="I213" s="22"/>
      <c r="J213" s="31">
        <f t="shared" ref="J213:J223" si="37">IF(H$12=0,0,H213/H$12)</f>
        <v>0.62147658599451328</v>
      </c>
      <c r="K213" s="4"/>
      <c r="L213" s="22">
        <f t="shared" ref="L213:L223" si="38">+D213-H213</f>
        <v>-1037200.1799999997</v>
      </c>
      <c r="M213" s="4"/>
      <c r="N213" s="31">
        <f t="shared" ref="N213:N223" si="39">IF(H213=0,0,L213/H213)</f>
        <v>-0.62362584831769741</v>
      </c>
      <c r="O213" s="10"/>
      <c r="P213" s="22">
        <f>SUM(OSRRefP22x_0)</f>
        <v>15049429.189999992</v>
      </c>
      <c r="Q213" s="22"/>
      <c r="R213" s="31">
        <f t="shared" ref="R213:R223" si="40">IF(P$12=0,0,P213/P$12)</f>
        <v>0.53652451138852342</v>
      </c>
      <c r="S213" s="22"/>
      <c r="T213" s="22">
        <f>SUM(OSRRefT22x_0)</f>
        <v>16445552.220000003</v>
      </c>
      <c r="U213" s="22"/>
      <c r="V213" s="31">
        <f t="shared" ref="V213:V223" si="41">IF(T$12=0,0,T213/T$12)</f>
        <v>0.47045631826268797</v>
      </c>
      <c r="W213" s="4"/>
      <c r="X213" s="22">
        <f t="shared" ref="X213:X223" si="42">+P213-T213</f>
        <v>-1396123.0300000105</v>
      </c>
      <c r="Y213" s="4"/>
      <c r="Z213" s="31">
        <f t="shared" ref="Z213:Z223" si="43">IF(T213=0,0,X213/T213)</f>
        <v>-8.4893654607848146E-2</v>
      </c>
    </row>
    <row r="214" spans="1:26" s="27" customFormat="1" outlineLevel="1" collapsed="1" x14ac:dyDescent="0.25">
      <c r="A214" s="25"/>
      <c r="B214" s="13" t="str">
        <f>CONCATENATE("     ","*Benefits                                         ")</f>
        <v xml:space="preserve">     *Benefits                                         </v>
      </c>
      <c r="C214" s="13"/>
      <c r="D214" s="1">
        <f>SUM(OSRRefD22_0x_0)</f>
        <v>146856.24999999997</v>
      </c>
      <c r="E214" s="1"/>
      <c r="F214" s="5">
        <f t="shared" si="36"/>
        <v>0.29011939450856294</v>
      </c>
      <c r="G214" s="1"/>
      <c r="H214" s="1">
        <f>SUM(OSRRefH22_0x_0)</f>
        <v>250269.17000000004</v>
      </c>
      <c r="I214" s="1"/>
      <c r="J214" s="5">
        <f t="shared" si="37"/>
        <v>9.3517663772964194E-2</v>
      </c>
      <c r="K214" s="1"/>
      <c r="L214" s="1">
        <f t="shared" si="38"/>
        <v>-103412.92000000007</v>
      </c>
      <c r="M214" s="1"/>
      <c r="N214" s="5">
        <f t="shared" si="39"/>
        <v>-0.41320678851494197</v>
      </c>
      <c r="O214" s="13"/>
      <c r="P214" s="1">
        <f>SUM(OSRRefP22_0x_0)</f>
        <v>2259750.3000000003</v>
      </c>
      <c r="Q214" s="1"/>
      <c r="R214" s="5">
        <f t="shared" si="40"/>
        <v>8.0561954228349705E-2</v>
      </c>
      <c r="S214" s="1"/>
      <c r="T214" s="1">
        <f>SUM(OSRRefT22_0x_0)</f>
        <v>2435346.8000000003</v>
      </c>
      <c r="U214" s="1"/>
      <c r="V214" s="5">
        <f t="shared" si="41"/>
        <v>6.9667729845365983E-2</v>
      </c>
      <c r="W214" s="1"/>
      <c r="X214" s="1">
        <f t="shared" si="42"/>
        <v>-175596.5</v>
      </c>
      <c r="Y214" s="1"/>
      <c r="Z214" s="5">
        <f t="shared" si="43"/>
        <v>-7.2103283195641785E-2</v>
      </c>
    </row>
    <row r="215" spans="1:26" s="24" customFormat="1" hidden="1" outlineLevel="2" x14ac:dyDescent="0.25">
      <c r="A215" s="26"/>
      <c r="B215" s="11" t="str">
        <f>CONCATENATE("          ", "6111", " - ", "F.I.C.A.")</f>
        <v xml:space="preserve">          6111 - F.I.C.A.</v>
      </c>
      <c r="C215" s="11"/>
      <c r="D215" s="6">
        <v>17908.080000000002</v>
      </c>
      <c r="E215" s="2"/>
      <c r="F215" s="7">
        <f t="shared" si="36"/>
        <v>3.5378006223166586E-2</v>
      </c>
      <c r="G215" s="2"/>
      <c r="H215" s="6">
        <v>54256.52</v>
      </c>
      <c r="I215" s="2"/>
      <c r="J215" s="7">
        <f t="shared" si="37"/>
        <v>2.0273943429992218E-2</v>
      </c>
      <c r="K215" s="2"/>
      <c r="L215" s="6">
        <f t="shared" si="38"/>
        <v>-36348.439999999995</v>
      </c>
      <c r="M215" s="2"/>
      <c r="N215" s="7">
        <f t="shared" si="39"/>
        <v>-0.66993681128092986</v>
      </c>
      <c r="O215" s="11"/>
      <c r="P215" s="6">
        <v>420573.49</v>
      </c>
      <c r="Q215" s="2"/>
      <c r="R215" s="7">
        <f t="shared" si="40"/>
        <v>1.4993790354198552E-2</v>
      </c>
      <c r="S215" s="2"/>
      <c r="T215" s="6">
        <v>413338.97000000003</v>
      </c>
      <c r="U215" s="2"/>
      <c r="V215" s="7">
        <f t="shared" si="41"/>
        <v>1.1824347849153078E-2</v>
      </c>
      <c r="W215" s="2"/>
      <c r="X215" s="6">
        <f t="shared" si="42"/>
        <v>7234.5199999999604</v>
      </c>
      <c r="Y215" s="2"/>
      <c r="Z215" s="7">
        <f t="shared" si="43"/>
        <v>1.7502632282651597E-2</v>
      </c>
    </row>
    <row r="216" spans="1:26" s="24" customFormat="1" hidden="1" outlineLevel="2" x14ac:dyDescent="0.25">
      <c r="A216" s="26"/>
      <c r="B216" s="11" t="str">
        <f>CONCATENATE("          ", "6112", " - ", "COMPENSATION INSURANCE")</f>
        <v xml:space="preserve">          6112 - COMPENSATION INSURANCE</v>
      </c>
      <c r="C216" s="11"/>
      <c r="D216" s="6">
        <v>9249.5300000000007</v>
      </c>
      <c r="E216" s="2"/>
      <c r="F216" s="7">
        <f t="shared" si="36"/>
        <v>1.8272753410827181E-2</v>
      </c>
      <c r="G216" s="2"/>
      <c r="H216" s="6">
        <v>20992.63</v>
      </c>
      <c r="I216" s="2"/>
      <c r="J216" s="7">
        <f t="shared" si="37"/>
        <v>7.8442810756524303E-3</v>
      </c>
      <c r="K216" s="2"/>
      <c r="L216" s="6">
        <f t="shared" si="38"/>
        <v>-11743.1</v>
      </c>
      <c r="M216" s="2"/>
      <c r="N216" s="7">
        <f t="shared" si="39"/>
        <v>-0.55939155789436579</v>
      </c>
      <c r="O216" s="11"/>
      <c r="P216" s="6">
        <v>200901.33000000002</v>
      </c>
      <c r="Q216" s="2"/>
      <c r="R216" s="7">
        <f t="shared" si="40"/>
        <v>7.1622974236908287E-3</v>
      </c>
      <c r="S216" s="2"/>
      <c r="T216" s="6">
        <v>185824.55</v>
      </c>
      <c r="U216" s="2"/>
      <c r="V216" s="7">
        <f t="shared" si="41"/>
        <v>5.3158648895659131E-3</v>
      </c>
      <c r="W216" s="2"/>
      <c r="X216" s="6">
        <f t="shared" si="42"/>
        <v>15076.780000000028</v>
      </c>
      <c r="Y216" s="2"/>
      <c r="Z216" s="7">
        <f t="shared" si="43"/>
        <v>8.1134489495602327E-2</v>
      </c>
    </row>
    <row r="217" spans="1:26" s="24" customFormat="1" hidden="1" outlineLevel="2" x14ac:dyDescent="0.25">
      <c r="A217" s="26"/>
      <c r="B217" s="11" t="str">
        <f>CONCATENATE("          ", "6113", " - ", "GROUP INSURANCE")</f>
        <v xml:space="preserve">          6113 - GROUP INSURANCE</v>
      </c>
      <c r="C217" s="11"/>
      <c r="D217" s="6">
        <v>75664.960000000006</v>
      </c>
      <c r="E217" s="2"/>
      <c r="F217" s="7">
        <f t="shared" si="36"/>
        <v>0.14947863901410149</v>
      </c>
      <c r="G217" s="2"/>
      <c r="H217" s="6">
        <v>95919.86</v>
      </c>
      <c r="I217" s="2"/>
      <c r="J217" s="7">
        <f t="shared" si="37"/>
        <v>3.5842214271257604E-2</v>
      </c>
      <c r="K217" s="2"/>
      <c r="L217" s="6">
        <f t="shared" si="38"/>
        <v>-20254.899999999994</v>
      </c>
      <c r="M217" s="2"/>
      <c r="N217" s="7">
        <f t="shared" si="39"/>
        <v>-0.21116482029894532</v>
      </c>
      <c r="O217" s="11"/>
      <c r="P217" s="6">
        <v>1028448.7</v>
      </c>
      <c r="Q217" s="2"/>
      <c r="R217" s="7">
        <f t="shared" si="40"/>
        <v>3.6665040865623846E-2</v>
      </c>
      <c r="S217" s="2"/>
      <c r="T217" s="6">
        <v>1039398.7600000001</v>
      </c>
      <c r="U217" s="2"/>
      <c r="V217" s="7">
        <f t="shared" si="41"/>
        <v>2.9733979576661684E-2</v>
      </c>
      <c r="W217" s="2"/>
      <c r="X217" s="6">
        <f t="shared" si="42"/>
        <v>-10950.060000000172</v>
      </c>
      <c r="Y217" s="2"/>
      <c r="Z217" s="7">
        <f t="shared" si="43"/>
        <v>-1.0534994288428986E-2</v>
      </c>
    </row>
    <row r="218" spans="1:26" s="24" customFormat="1" hidden="1" outlineLevel="2" x14ac:dyDescent="0.25">
      <c r="A218" s="26"/>
      <c r="B218" s="11" t="str">
        <f>CONCATENATE("          ", "6114", " - ", "STATE UNEMPLOYMENT INSURANCE")</f>
        <v xml:space="preserve">          6114 - STATE UNEMPLOYMENT INSURANCE</v>
      </c>
      <c r="C218" s="11"/>
      <c r="D218" s="6">
        <v>974.04</v>
      </c>
      <c r="E218" s="2"/>
      <c r="F218" s="7">
        <f t="shared" si="36"/>
        <v>1.9242483382703884E-3</v>
      </c>
      <c r="G218" s="2"/>
      <c r="H218" s="6">
        <v>2046.45</v>
      </c>
      <c r="I218" s="2"/>
      <c r="J218" s="7">
        <f t="shared" si="37"/>
        <v>7.646935618485591E-4</v>
      </c>
      <c r="K218" s="2"/>
      <c r="L218" s="6">
        <f t="shared" si="38"/>
        <v>-1072.4100000000001</v>
      </c>
      <c r="M218" s="2"/>
      <c r="N218" s="7">
        <f t="shared" si="39"/>
        <v>-0.52403430330572454</v>
      </c>
      <c r="O218" s="11"/>
      <c r="P218" s="6">
        <v>20622.75</v>
      </c>
      <c r="Q218" s="2"/>
      <c r="R218" s="7">
        <f t="shared" si="40"/>
        <v>7.3521797588109558E-4</v>
      </c>
      <c r="S218" s="2"/>
      <c r="T218" s="6">
        <v>21170.27</v>
      </c>
      <c r="U218" s="2"/>
      <c r="V218" s="7">
        <f t="shared" si="41"/>
        <v>6.0561586182035997E-4</v>
      </c>
      <c r="W218" s="2"/>
      <c r="X218" s="6">
        <f t="shared" si="42"/>
        <v>-547.52000000000044</v>
      </c>
      <c r="Y218" s="2"/>
      <c r="Z218" s="7">
        <f t="shared" si="43"/>
        <v>-2.5862683848623585E-2</v>
      </c>
    </row>
    <row r="219" spans="1:26" s="24" customFormat="1" hidden="1" outlineLevel="2" x14ac:dyDescent="0.25">
      <c r="A219" s="26"/>
      <c r="B219" s="11" t="str">
        <f>CONCATENATE("          ", "6115", " - ", "P.E.R.S.")</f>
        <v xml:space="preserve">          6115 - P.E.R.S.</v>
      </c>
      <c r="C219" s="11"/>
      <c r="D219" s="6">
        <v>13005.81</v>
      </c>
      <c r="E219" s="2"/>
      <c r="F219" s="7">
        <f t="shared" si="36"/>
        <v>2.5693409182744445E-2</v>
      </c>
      <c r="G219" s="2"/>
      <c r="H219" s="6">
        <v>18377.289999999997</v>
      </c>
      <c r="I219" s="2"/>
      <c r="J219" s="7">
        <f t="shared" si="37"/>
        <v>6.8670113353484835E-3</v>
      </c>
      <c r="K219" s="2"/>
      <c r="L219" s="6">
        <f t="shared" si="38"/>
        <v>-5371.4799999999977</v>
      </c>
      <c r="M219" s="2"/>
      <c r="N219" s="7">
        <f t="shared" si="39"/>
        <v>-0.29228901540978014</v>
      </c>
      <c r="O219" s="11"/>
      <c r="P219" s="6">
        <v>225897.07</v>
      </c>
      <c r="Q219" s="2"/>
      <c r="R219" s="7">
        <f t="shared" si="40"/>
        <v>8.0534160848029571E-3</v>
      </c>
      <c r="S219" s="2"/>
      <c r="T219" s="6">
        <v>218978.95</v>
      </c>
      <c r="U219" s="2"/>
      <c r="V219" s="7">
        <f t="shared" si="41"/>
        <v>6.2643095966545314E-3</v>
      </c>
      <c r="W219" s="2"/>
      <c r="X219" s="6">
        <f t="shared" si="42"/>
        <v>6918.1199999999953</v>
      </c>
      <c r="Y219" s="2"/>
      <c r="Z219" s="7">
        <f t="shared" si="43"/>
        <v>3.1592625683884205E-2</v>
      </c>
    </row>
    <row r="220" spans="1:26" s="24" customFormat="1" hidden="1" outlineLevel="2" x14ac:dyDescent="0.25">
      <c r="A220" s="26"/>
      <c r="B220" s="11" t="str">
        <f>CONCATENATE("          ", "6117", " - ", "RETIREMENT STAFF HOURLY")</f>
        <v xml:space="preserve">          6117 - RETIREMENT STAFF HOURLY</v>
      </c>
      <c r="C220" s="11"/>
      <c r="D220" s="6">
        <v>1798.48</v>
      </c>
      <c r="E220" s="2"/>
      <c r="F220" s="7">
        <f t="shared" si="36"/>
        <v>3.5529569128706505E-3</v>
      </c>
      <c r="G220" s="2"/>
      <c r="H220" s="6">
        <v>1891.78</v>
      </c>
      <c r="I220" s="2"/>
      <c r="J220" s="7">
        <f t="shared" si="37"/>
        <v>7.068982806488636E-4</v>
      </c>
      <c r="K220" s="2"/>
      <c r="L220" s="6">
        <f t="shared" si="38"/>
        <v>-93.299999999999955</v>
      </c>
      <c r="M220" s="2"/>
      <c r="N220" s="7">
        <f t="shared" si="39"/>
        <v>-4.9318631130469692E-2</v>
      </c>
      <c r="O220" s="11"/>
      <c r="P220" s="6">
        <v>24516.1</v>
      </c>
      <c r="Q220" s="2"/>
      <c r="R220" s="7">
        <f t="shared" si="40"/>
        <v>8.7401910116247962E-4</v>
      </c>
      <c r="S220" s="2"/>
      <c r="T220" s="6">
        <v>22334.969999999998</v>
      </c>
      <c r="U220" s="2"/>
      <c r="V220" s="7">
        <f t="shared" si="41"/>
        <v>6.3893432182404307E-4</v>
      </c>
      <c r="W220" s="2"/>
      <c r="X220" s="6">
        <f t="shared" si="42"/>
        <v>2181.130000000001</v>
      </c>
      <c r="Y220" s="2"/>
      <c r="Z220" s="7">
        <f t="shared" si="43"/>
        <v>9.7655380777319209E-2</v>
      </c>
    </row>
    <row r="221" spans="1:26" s="24" customFormat="1" hidden="1" outlineLevel="2" x14ac:dyDescent="0.25">
      <c r="A221" s="26"/>
      <c r="B221" s="11" t="str">
        <f>CONCATENATE("          ", "6118", " - ", "VACATION")</f>
        <v xml:space="preserve">          6118 - VACATION</v>
      </c>
      <c r="C221" s="11"/>
      <c r="D221" s="6">
        <v>14653.96</v>
      </c>
      <c r="E221" s="2"/>
      <c r="F221" s="7">
        <f t="shared" si="36"/>
        <v>2.8949384192723852E-2</v>
      </c>
      <c r="G221" s="2"/>
      <c r="H221" s="6">
        <v>28358.1</v>
      </c>
      <c r="I221" s="2"/>
      <c r="J221" s="7">
        <f t="shared" si="37"/>
        <v>1.0596523978722969E-2</v>
      </c>
      <c r="K221" s="2"/>
      <c r="L221" s="6">
        <f t="shared" si="38"/>
        <v>-13704.14</v>
      </c>
      <c r="M221" s="2"/>
      <c r="N221" s="7">
        <f t="shared" si="39"/>
        <v>-0.48325310934089377</v>
      </c>
      <c r="O221" s="11"/>
      <c r="P221" s="6">
        <v>254924.38999999998</v>
      </c>
      <c r="Q221" s="2"/>
      <c r="R221" s="7">
        <f t="shared" si="40"/>
        <v>9.0882638842309099E-3</v>
      </c>
      <c r="S221" s="2"/>
      <c r="T221" s="6">
        <v>248007.79</v>
      </c>
      <c r="U221" s="2"/>
      <c r="V221" s="7">
        <f t="shared" si="41"/>
        <v>7.0947348087205715E-3</v>
      </c>
      <c r="W221" s="2"/>
      <c r="X221" s="6">
        <f t="shared" si="42"/>
        <v>6916.5999999999767</v>
      </c>
      <c r="Y221" s="2"/>
      <c r="Z221" s="7">
        <f t="shared" si="43"/>
        <v>2.7888640110860938E-2</v>
      </c>
    </row>
    <row r="222" spans="1:26" s="24" customFormat="1" hidden="1" outlineLevel="2" x14ac:dyDescent="0.25">
      <c r="A222" s="26"/>
      <c r="B222" s="11" t="str">
        <f>CONCATENATE("          ", "6119", " - ", "SICK LEAVE")</f>
        <v xml:space="preserve">          6119 - SICK LEAVE</v>
      </c>
      <c r="C222" s="11"/>
      <c r="D222" s="6">
        <v>10164.280000000001</v>
      </c>
      <c r="E222" s="2"/>
      <c r="F222" s="7">
        <f t="shared" si="36"/>
        <v>2.0079872386878306E-2</v>
      </c>
      <c r="G222" s="2"/>
      <c r="H222" s="6">
        <v>19696.919999999998</v>
      </c>
      <c r="I222" s="2"/>
      <c r="J222" s="7">
        <f t="shared" si="37"/>
        <v>7.3601152787735437E-3</v>
      </c>
      <c r="K222" s="2"/>
      <c r="L222" s="6">
        <f t="shared" si="38"/>
        <v>-9532.6399999999976</v>
      </c>
      <c r="M222" s="2"/>
      <c r="N222" s="7">
        <f t="shared" si="39"/>
        <v>-0.48396602108349929</v>
      </c>
      <c r="O222" s="11"/>
      <c r="P222" s="6">
        <v>-7888.09</v>
      </c>
      <c r="Q222" s="2"/>
      <c r="R222" s="7">
        <f t="shared" si="40"/>
        <v>-2.8121688733888118E-4</v>
      </c>
      <c r="S222" s="2"/>
      <c r="T222" s="6">
        <v>187217.22</v>
      </c>
      <c r="U222" s="2"/>
      <c r="V222" s="7">
        <f t="shared" si="41"/>
        <v>5.3557048652620835E-3</v>
      </c>
      <c r="W222" s="2"/>
      <c r="X222" s="6">
        <f t="shared" si="42"/>
        <v>-195105.31</v>
      </c>
      <c r="Y222" s="2"/>
      <c r="Z222" s="7">
        <f t="shared" si="43"/>
        <v>-1.0421333571772937</v>
      </c>
    </row>
    <row r="223" spans="1:26" s="24" customFormat="1" hidden="1" outlineLevel="2" x14ac:dyDescent="0.25">
      <c r="A223" s="26"/>
      <c r="B223" s="11" t="str">
        <f>CONCATENATE("          ", "6156", " - ", "EMPLOYEE MEALS")</f>
        <v xml:space="preserve">          6156 - EMPLOYEE MEALS</v>
      </c>
      <c r="C223" s="11"/>
      <c r="D223" s="6">
        <v>3437.11</v>
      </c>
      <c r="E223" s="2"/>
      <c r="F223" s="7">
        <f t="shared" si="36"/>
        <v>6.7901248469801395E-3</v>
      </c>
      <c r="G223" s="2"/>
      <c r="H223" s="6">
        <v>8729.6200000000008</v>
      </c>
      <c r="I223" s="2"/>
      <c r="J223" s="7">
        <f t="shared" si="37"/>
        <v>3.2619825607194987E-3</v>
      </c>
      <c r="K223" s="2"/>
      <c r="L223" s="6">
        <f t="shared" si="38"/>
        <v>-5292.51</v>
      </c>
      <c r="M223" s="2"/>
      <c r="N223" s="7">
        <f t="shared" si="39"/>
        <v>-0.60627037603011358</v>
      </c>
      <c r="O223" s="11"/>
      <c r="P223" s="6">
        <v>91754.559999999998</v>
      </c>
      <c r="Q223" s="2"/>
      <c r="R223" s="7">
        <f t="shared" si="40"/>
        <v>3.2711254260979036E-3</v>
      </c>
      <c r="S223" s="2"/>
      <c r="T223" s="6">
        <v>99075.32</v>
      </c>
      <c r="U223" s="2"/>
      <c r="V223" s="7">
        <f t="shared" si="41"/>
        <v>2.8342380757037087E-3</v>
      </c>
      <c r="W223" s="2"/>
      <c r="X223" s="6">
        <f t="shared" si="42"/>
        <v>-7320.7600000000093</v>
      </c>
      <c r="Y223" s="2"/>
      <c r="Z223" s="7">
        <f t="shared" si="43"/>
        <v>-7.3890853948289134E-2</v>
      </c>
    </row>
    <row r="224" spans="1:26" s="27" customFormat="1" outlineLevel="1" collapsed="1" x14ac:dyDescent="0.25">
      <c r="A224" s="25"/>
      <c r="B224" s="13" t="str">
        <f>CONCATENATE("     ","*Payroll                                          ")</f>
        <v xml:space="preserve">     *Payroll                                          </v>
      </c>
      <c r="C224" s="13"/>
      <c r="D224" s="1">
        <f>SUM(OSRRefD22_1x_0)</f>
        <v>204094.06</v>
      </c>
      <c r="E224" s="1"/>
      <c r="F224" s="5">
        <f t="shared" ref="F224:F231" si="44">IF(D$12=0,0,D224/D$12)</f>
        <v>0.40319458729195612</v>
      </c>
      <c r="G224" s="1"/>
      <c r="H224" s="1">
        <f>SUM(OSRRefH22_1x_0)</f>
        <v>789559.62999999989</v>
      </c>
      <c r="I224" s="1"/>
      <c r="J224" s="5">
        <f t="shared" ref="J224:J231" si="45">IF(H$12=0,0,H224/H$12)</f>
        <v>0.29503343143322841</v>
      </c>
      <c r="K224" s="1"/>
      <c r="L224" s="1">
        <f t="shared" ref="L224:L231" si="46">+D224-H224</f>
        <v>-585465.56999999983</v>
      </c>
      <c r="M224" s="1"/>
      <c r="N224" s="5">
        <f t="shared" ref="N224:N231" si="47">IF(H224=0,0,L224/H224)</f>
        <v>-0.74150899787011648</v>
      </c>
      <c r="O224" s="13"/>
      <c r="P224" s="1">
        <f>SUM(OSRRefP22_1x_0)</f>
        <v>7248489.25</v>
      </c>
      <c r="Q224" s="1"/>
      <c r="R224" s="5">
        <f t="shared" ref="R224:R231" si="48">IF(P$12=0,0,P224/P$12)</f>
        <v>0.2584145952688599</v>
      </c>
      <c r="S224" s="1"/>
      <c r="T224" s="1">
        <f>SUM(OSRRefT22_1x_0)</f>
        <v>7673159.0599999996</v>
      </c>
      <c r="U224" s="1"/>
      <c r="V224" s="5">
        <f t="shared" ref="V224:V231" si="49">IF(T$12=0,0,T224/T$12)</f>
        <v>0.21950531745729285</v>
      </c>
      <c r="W224" s="1"/>
      <c r="X224" s="1">
        <f t="shared" ref="X224:X231" si="50">+P224-T224</f>
        <v>-424669.80999999959</v>
      </c>
      <c r="Y224" s="1"/>
      <c r="Z224" s="5">
        <f t="shared" ref="Z224:Z231" si="51">IF(T224=0,0,X224/T224)</f>
        <v>-5.5344846454935814E-2</v>
      </c>
    </row>
    <row r="225" spans="1:26" s="24" customFormat="1" hidden="1" outlineLevel="2" x14ac:dyDescent="0.25">
      <c r="A225" s="26"/>
      <c r="B225" s="11" t="str">
        <f>CONCATENATE("          ", "6001", " - ", "ADMINISTRATIVE SALARIES")</f>
        <v xml:space="preserve">          6001 - ADMINISTRATIVE SALARIES</v>
      </c>
      <c r="C225" s="11"/>
      <c r="D225" s="6">
        <v>18921.89</v>
      </c>
      <c r="E225" s="2"/>
      <c r="F225" s="7">
        <f t="shared" si="44"/>
        <v>3.7380821515990183E-2</v>
      </c>
      <c r="G225" s="2"/>
      <c r="H225" s="6">
        <v>42604.72</v>
      </c>
      <c r="I225" s="2"/>
      <c r="J225" s="7">
        <f t="shared" si="45"/>
        <v>1.5920034737404061E-2</v>
      </c>
      <c r="K225" s="2"/>
      <c r="L225" s="6">
        <f t="shared" si="46"/>
        <v>-23682.83</v>
      </c>
      <c r="M225" s="2"/>
      <c r="N225" s="7">
        <f t="shared" si="47"/>
        <v>-0.55587338679845799</v>
      </c>
      <c r="O225" s="11"/>
      <c r="P225" s="6">
        <v>364307.76</v>
      </c>
      <c r="Q225" s="2"/>
      <c r="R225" s="7">
        <f t="shared" si="48"/>
        <v>1.2987870866153932E-2</v>
      </c>
      <c r="S225" s="2"/>
      <c r="T225" s="6">
        <v>391613.85000000003</v>
      </c>
      <c r="U225" s="2"/>
      <c r="V225" s="7">
        <f t="shared" si="49"/>
        <v>1.1202859447165255E-2</v>
      </c>
      <c r="W225" s="2"/>
      <c r="X225" s="6">
        <f t="shared" si="50"/>
        <v>-27306.090000000026</v>
      </c>
      <c r="Y225" s="2"/>
      <c r="Z225" s="7">
        <f t="shared" si="51"/>
        <v>-6.9727079366575073E-2</v>
      </c>
    </row>
    <row r="226" spans="1:26" s="24" customFormat="1" hidden="1" outlineLevel="2" x14ac:dyDescent="0.25">
      <c r="A226" s="26"/>
      <c r="B226" s="11" t="str">
        <f>CONCATENATE("          ", "6002", " - ", "STAFF SALARIES")</f>
        <v xml:space="preserve">          6002 - STAFF SALARIES</v>
      </c>
      <c r="C226" s="11"/>
      <c r="D226" s="6">
        <v>94952.88</v>
      </c>
      <c r="E226" s="2"/>
      <c r="F226" s="7">
        <f t="shared" si="44"/>
        <v>0.18758256493982547</v>
      </c>
      <c r="G226" s="2"/>
      <c r="H226" s="6">
        <v>193425.81999999998</v>
      </c>
      <c r="I226" s="2"/>
      <c r="J226" s="7">
        <f t="shared" si="45"/>
        <v>7.2277103886866631E-2</v>
      </c>
      <c r="K226" s="2"/>
      <c r="L226" s="6">
        <f t="shared" si="46"/>
        <v>-98472.939999999973</v>
      </c>
      <c r="M226" s="2"/>
      <c r="N226" s="7">
        <f t="shared" si="47"/>
        <v>-0.50909925055507055</v>
      </c>
      <c r="O226" s="11"/>
      <c r="P226" s="6">
        <v>1884607.89</v>
      </c>
      <c r="Q226" s="2"/>
      <c r="R226" s="7">
        <f t="shared" si="48"/>
        <v>6.7187819190716203E-2</v>
      </c>
      <c r="S226" s="2"/>
      <c r="T226" s="6">
        <v>1945925.23</v>
      </c>
      <c r="U226" s="2"/>
      <c r="V226" s="7">
        <f t="shared" si="49"/>
        <v>5.5666894432826422E-2</v>
      </c>
      <c r="W226" s="2"/>
      <c r="X226" s="6">
        <f t="shared" si="50"/>
        <v>-61317.340000000084</v>
      </c>
      <c r="Y226" s="2"/>
      <c r="Z226" s="7">
        <f t="shared" si="51"/>
        <v>-3.1510635174816087E-2</v>
      </c>
    </row>
    <row r="227" spans="1:26" s="24" customFormat="1" hidden="1" outlineLevel="2" x14ac:dyDescent="0.25">
      <c r="A227" s="26"/>
      <c r="B227" s="11" t="str">
        <f>CONCATENATE("          ", "6004", " - ", "STAFF HOURLY")</f>
        <v xml:space="preserve">          6004 - STAFF HOURLY</v>
      </c>
      <c r="C227" s="11"/>
      <c r="D227" s="6">
        <v>56184.04</v>
      </c>
      <c r="E227" s="2"/>
      <c r="F227" s="7">
        <f t="shared" si="44"/>
        <v>0.11099343518471216</v>
      </c>
      <c r="G227" s="2"/>
      <c r="H227" s="6">
        <v>98041.11</v>
      </c>
      <c r="I227" s="2"/>
      <c r="J227" s="7">
        <f t="shared" si="45"/>
        <v>3.6634858224479649E-2</v>
      </c>
      <c r="K227" s="2"/>
      <c r="L227" s="6">
        <f t="shared" si="46"/>
        <v>-41857.07</v>
      </c>
      <c r="M227" s="2"/>
      <c r="N227" s="7">
        <f t="shared" si="47"/>
        <v>-0.42693386478386464</v>
      </c>
      <c r="O227" s="11"/>
      <c r="P227" s="6">
        <v>954364.56</v>
      </c>
      <c r="Q227" s="2"/>
      <c r="R227" s="7">
        <f t="shared" si="48"/>
        <v>3.4023880426027199E-2</v>
      </c>
      <c r="S227" s="2"/>
      <c r="T227" s="6">
        <v>857998.61</v>
      </c>
      <c r="U227" s="2"/>
      <c r="V227" s="7">
        <f t="shared" si="49"/>
        <v>2.4544683069031285E-2</v>
      </c>
      <c r="W227" s="2"/>
      <c r="X227" s="6">
        <f t="shared" si="50"/>
        <v>96365.95000000007</v>
      </c>
      <c r="Y227" s="2"/>
      <c r="Z227" s="7">
        <f t="shared" si="51"/>
        <v>0.11231480899485381</v>
      </c>
    </row>
    <row r="228" spans="1:26" s="24" customFormat="1" hidden="1" outlineLevel="2" x14ac:dyDescent="0.25">
      <c r="A228" s="26"/>
      <c r="B228" s="11" t="str">
        <f>CONCATENATE("          ", "6005", " - ", "TEMPORARY WAGES-HOURLY")</f>
        <v xml:space="preserve">          6005 - TEMPORARY WAGES-HOURLY</v>
      </c>
      <c r="C228" s="11"/>
      <c r="D228" s="6">
        <v>14022.65</v>
      </c>
      <c r="E228" s="2"/>
      <c r="F228" s="7">
        <f t="shared" si="44"/>
        <v>2.7702210341102276E-2</v>
      </c>
      <c r="G228" s="2"/>
      <c r="H228" s="6">
        <v>176355.68</v>
      </c>
      <c r="I228" s="2"/>
      <c r="J228" s="7">
        <f t="shared" si="45"/>
        <v>6.5898533114136515E-2</v>
      </c>
      <c r="K228" s="2"/>
      <c r="L228" s="6">
        <f t="shared" si="46"/>
        <v>-162333.03</v>
      </c>
      <c r="M228" s="2"/>
      <c r="N228" s="7">
        <f t="shared" si="47"/>
        <v>-0.92048654174336775</v>
      </c>
      <c r="O228" s="11"/>
      <c r="P228" s="6">
        <v>1198082.3</v>
      </c>
      <c r="Q228" s="2"/>
      <c r="R228" s="7">
        <f t="shared" si="48"/>
        <v>4.271261803323842E-2</v>
      </c>
      <c r="S228" s="2"/>
      <c r="T228" s="6">
        <v>1244884.7</v>
      </c>
      <c r="U228" s="2"/>
      <c r="V228" s="7">
        <f t="shared" si="49"/>
        <v>3.5612295944146215E-2</v>
      </c>
      <c r="W228" s="2"/>
      <c r="X228" s="6">
        <f t="shared" si="50"/>
        <v>-46802.399999999907</v>
      </c>
      <c r="Y228" s="2"/>
      <c r="Z228" s="7">
        <f t="shared" si="51"/>
        <v>-3.7595770917579686E-2</v>
      </c>
    </row>
    <row r="229" spans="1:26" s="24" customFormat="1" hidden="1" outlineLevel="2" x14ac:dyDescent="0.25">
      <c r="A229" s="26"/>
      <c r="B229" s="11" t="str">
        <f>CONCATENATE("          ", "6006", " - ", "TEMPORARY PART TIME")</f>
        <v xml:space="preserve">          6006 - TEMPORARY PART TIME</v>
      </c>
      <c r="C229" s="11"/>
      <c r="D229" s="6">
        <v>1929.14</v>
      </c>
      <c r="E229" s="2"/>
      <c r="F229" s="7">
        <f t="shared" si="44"/>
        <v>3.8110800781189043E-3</v>
      </c>
      <c r="G229" s="2"/>
      <c r="H229" s="6">
        <v>21736.21</v>
      </c>
      <c r="I229" s="2"/>
      <c r="J229" s="7">
        <f t="shared" si="45"/>
        <v>8.122133375351592E-3</v>
      </c>
      <c r="K229" s="2"/>
      <c r="L229" s="6">
        <f t="shared" si="46"/>
        <v>-19807.07</v>
      </c>
      <c r="M229" s="2"/>
      <c r="N229" s="7">
        <f t="shared" si="47"/>
        <v>-0.91124763700755562</v>
      </c>
      <c r="O229" s="11"/>
      <c r="P229" s="6">
        <v>111837.24</v>
      </c>
      <c r="Q229" s="2"/>
      <c r="R229" s="7">
        <f t="shared" si="48"/>
        <v>3.9870894628955067E-3</v>
      </c>
      <c r="S229" s="2"/>
      <c r="T229" s="6">
        <v>154996.57</v>
      </c>
      <c r="U229" s="2"/>
      <c r="V229" s="7">
        <f t="shared" si="49"/>
        <v>4.433971853913519E-3</v>
      </c>
      <c r="W229" s="2"/>
      <c r="X229" s="6">
        <f t="shared" si="50"/>
        <v>-43159.33</v>
      </c>
      <c r="Y229" s="2"/>
      <c r="Z229" s="7">
        <f t="shared" si="51"/>
        <v>-0.27845345222800738</v>
      </c>
    </row>
    <row r="230" spans="1:26" s="24" customFormat="1" hidden="1" outlineLevel="2" x14ac:dyDescent="0.25">
      <c r="A230" s="26"/>
      <c r="B230" s="11" t="str">
        <f>CONCATENATE("          ", "6007", " - ", "STUDENT HOURLY")</f>
        <v xml:space="preserve">          6007 - STUDENT HOURLY</v>
      </c>
      <c r="C230" s="11"/>
      <c r="D230" s="6">
        <v>18083.46</v>
      </c>
      <c r="E230" s="2"/>
      <c r="F230" s="7">
        <f t="shared" si="44"/>
        <v>3.5724475232207134E-2</v>
      </c>
      <c r="G230" s="2"/>
      <c r="H230" s="6">
        <v>215739.36</v>
      </c>
      <c r="I230" s="2"/>
      <c r="J230" s="7">
        <f t="shared" si="45"/>
        <v>8.061496720141148E-2</v>
      </c>
      <c r="K230" s="2"/>
      <c r="L230" s="6">
        <f t="shared" si="46"/>
        <v>-197655.9</v>
      </c>
      <c r="M230" s="2"/>
      <c r="N230" s="7">
        <f t="shared" si="47"/>
        <v>-0.91617913393272332</v>
      </c>
      <c r="O230" s="11"/>
      <c r="P230" s="6">
        <v>2494142.96</v>
      </c>
      <c r="Q230" s="2"/>
      <c r="R230" s="7">
        <f t="shared" si="48"/>
        <v>8.891824507445828E-2</v>
      </c>
      <c r="S230" s="2"/>
      <c r="T230" s="6">
        <v>2736014.06</v>
      </c>
      <c r="U230" s="2"/>
      <c r="V230" s="7">
        <f t="shared" si="49"/>
        <v>7.8268889008006132E-2</v>
      </c>
      <c r="W230" s="2"/>
      <c r="X230" s="6">
        <f t="shared" si="50"/>
        <v>-241871.10000000009</v>
      </c>
      <c r="Y230" s="2"/>
      <c r="Z230" s="7">
        <f t="shared" si="51"/>
        <v>-8.8402725532777449E-2</v>
      </c>
    </row>
    <row r="231" spans="1:26" s="24" customFormat="1" hidden="1" outlineLevel="2" x14ac:dyDescent="0.25">
      <c r="A231" s="26"/>
      <c r="B231" s="11" t="str">
        <f>CONCATENATE("          ", "6008", " - ", "STUDENT HOURLY-FICA EXEMPT")</f>
        <v xml:space="preserve">          6008 - STUDENT HOURLY-FICA EXEMPT</v>
      </c>
      <c r="C231" s="11"/>
      <c r="D231" s="6"/>
      <c r="E231" s="2"/>
      <c r="F231" s="7">
        <f t="shared" si="44"/>
        <v>0</v>
      </c>
      <c r="G231" s="2"/>
      <c r="H231" s="6">
        <v>41656.729999999996</v>
      </c>
      <c r="I231" s="2"/>
      <c r="J231" s="7">
        <f t="shared" si="45"/>
        <v>1.5565800893578501E-2</v>
      </c>
      <c r="K231" s="2"/>
      <c r="L231" s="6">
        <f t="shared" si="46"/>
        <v>-41656.729999999996</v>
      </c>
      <c r="M231" s="2"/>
      <c r="N231" s="7">
        <f t="shared" si="47"/>
        <v>-1</v>
      </c>
      <c r="O231" s="11"/>
      <c r="P231" s="6">
        <v>241146.53999999998</v>
      </c>
      <c r="Q231" s="2"/>
      <c r="R231" s="7">
        <f t="shared" si="48"/>
        <v>8.5970722153703872E-3</v>
      </c>
      <c r="S231" s="2"/>
      <c r="T231" s="6">
        <v>341726.04</v>
      </c>
      <c r="U231" s="2"/>
      <c r="V231" s="7">
        <f t="shared" si="49"/>
        <v>9.7757237022040241E-3</v>
      </c>
      <c r="W231" s="2"/>
      <c r="X231" s="6">
        <f t="shared" si="50"/>
        <v>-100579.5</v>
      </c>
      <c r="Y231" s="2"/>
      <c r="Z231" s="7">
        <f t="shared" si="51"/>
        <v>-0.29432787738388333</v>
      </c>
    </row>
    <row r="232" spans="1:26" s="27" customFormat="1" outlineLevel="1" collapsed="1" x14ac:dyDescent="0.25">
      <c r="A232" s="25"/>
      <c r="B232" s="13" t="str">
        <f>CONCATENATE("     ","Advertising/Promo                                 ")</f>
        <v xml:space="preserve">     Advertising/Promo                                 </v>
      </c>
      <c r="C232" s="13"/>
      <c r="D232" s="1">
        <f>SUM(OSRRefD22_2x_0)</f>
        <v>3050.57</v>
      </c>
      <c r="E232" s="1"/>
      <c r="F232" s="5">
        <f t="shared" ref="F232:F236" si="52">IF(D$12=0,0,D232/D$12)</f>
        <v>6.0265022517324738E-3</v>
      </c>
      <c r="G232" s="1"/>
      <c r="H232" s="1">
        <f>SUM(OSRRefH22_2x_0)</f>
        <v>10333.61</v>
      </c>
      <c r="I232" s="1"/>
      <c r="J232" s="5">
        <f t="shared" ref="J232:J236" si="53">IF(H$12=0,0,H232/H$12)</f>
        <v>3.8613428315638731E-3</v>
      </c>
      <c r="K232" s="1"/>
      <c r="L232" s="1">
        <f t="shared" ref="L232:L236" si="54">+D232-H232</f>
        <v>-7283.0400000000009</v>
      </c>
      <c r="M232" s="1"/>
      <c r="N232" s="5">
        <f t="shared" ref="N232:N236" si="55">IF(H232=0,0,L232/H232)</f>
        <v>-0.70479145235788854</v>
      </c>
      <c r="O232" s="13"/>
      <c r="P232" s="1">
        <f>SUM(OSRRefP22_2x_0)</f>
        <v>89872.960000000006</v>
      </c>
      <c r="Q232" s="1"/>
      <c r="R232" s="5">
        <f t="shared" ref="R232:R236" si="56">IF(P$12=0,0,P232/P$12)</f>
        <v>3.2040448406562014E-3</v>
      </c>
      <c r="S232" s="1"/>
      <c r="T232" s="1">
        <f>SUM(OSRRefT22_2x_0)</f>
        <v>126740.97000000002</v>
      </c>
      <c r="U232" s="1"/>
      <c r="V232" s="5">
        <f t="shared" ref="V232:V236" si="57">IF(T$12=0,0,T232/T$12)</f>
        <v>3.6256666435760337E-3</v>
      </c>
      <c r="W232" s="1"/>
      <c r="X232" s="1">
        <f t="shared" ref="X232:X236" si="58">+P232-T232</f>
        <v>-36868.010000000009</v>
      </c>
      <c r="Y232" s="1"/>
      <c r="Z232" s="5">
        <f t="shared" ref="Z232:Z236" si="59">IF(T232=0,0,X232/T232)</f>
        <v>-0.29089259771327303</v>
      </c>
    </row>
    <row r="233" spans="1:26" s="24" customFormat="1" hidden="1" outlineLevel="2" x14ac:dyDescent="0.25">
      <c r="A233" s="26"/>
      <c r="B233" s="11" t="str">
        <f>CONCATENATE("          ", "6362", " - ", "ADVERTISING EXPENSE")</f>
        <v xml:space="preserve">          6362 - ADVERTISING EXPENSE</v>
      </c>
      <c r="C233" s="11"/>
      <c r="D233" s="6">
        <v>3050.57</v>
      </c>
      <c r="E233" s="2"/>
      <c r="F233" s="7">
        <f t="shared" si="52"/>
        <v>6.0265022517324738E-3</v>
      </c>
      <c r="G233" s="2"/>
      <c r="H233" s="6">
        <v>10333.61</v>
      </c>
      <c r="I233" s="2"/>
      <c r="J233" s="7">
        <f t="shared" si="53"/>
        <v>3.8613428315638731E-3</v>
      </c>
      <c r="K233" s="2"/>
      <c r="L233" s="6">
        <f t="shared" si="54"/>
        <v>-7283.0400000000009</v>
      </c>
      <c r="M233" s="2"/>
      <c r="N233" s="7">
        <f t="shared" si="55"/>
        <v>-0.70479145235788854</v>
      </c>
      <c r="O233" s="11"/>
      <c r="P233" s="6">
        <v>89872.960000000006</v>
      </c>
      <c r="Q233" s="2"/>
      <c r="R233" s="7">
        <f t="shared" si="56"/>
        <v>3.2040448406562014E-3</v>
      </c>
      <c r="S233" s="2"/>
      <c r="T233" s="6">
        <v>126740.97000000002</v>
      </c>
      <c r="U233" s="2"/>
      <c r="V233" s="7">
        <f t="shared" si="57"/>
        <v>3.6256666435760337E-3</v>
      </c>
      <c r="W233" s="2"/>
      <c r="X233" s="6">
        <f t="shared" si="58"/>
        <v>-36868.010000000009</v>
      </c>
      <c r="Y233" s="2"/>
      <c r="Z233" s="7">
        <f t="shared" si="59"/>
        <v>-0.29089259771327303</v>
      </c>
    </row>
    <row r="234" spans="1:26" s="27" customFormat="1" outlineLevel="1" collapsed="1" x14ac:dyDescent="0.25">
      <c r="A234" s="25"/>
      <c r="B234" s="13" t="str">
        <f>CONCATENATE("     ","Bad Debts/Over/Short                              ")</f>
        <v xml:space="preserve">     Bad Debts/Over/Short                              </v>
      </c>
      <c r="C234" s="13"/>
      <c r="D234" s="1">
        <f>SUM(OSRRefD22_3x_0)</f>
        <v>-4.55</v>
      </c>
      <c r="E234" s="1"/>
      <c r="F234" s="5">
        <f t="shared" si="52"/>
        <v>-8.9886759672398134E-6</v>
      </c>
      <c r="G234" s="1"/>
      <c r="H234" s="1">
        <f>SUM(OSRRefH22_3x_0)</f>
        <v>-1277.08</v>
      </c>
      <c r="I234" s="1"/>
      <c r="J234" s="5">
        <f t="shared" si="53"/>
        <v>-4.7720435581888527E-4</v>
      </c>
      <c r="K234" s="1"/>
      <c r="L234" s="1">
        <f t="shared" si="54"/>
        <v>1272.53</v>
      </c>
      <c r="M234" s="1"/>
      <c r="N234" s="5">
        <f t="shared" si="55"/>
        <v>-0.99643718482788868</v>
      </c>
      <c r="O234" s="13"/>
      <c r="P234" s="1">
        <f>SUM(OSRRefP22_3x_0)</f>
        <v>-656.94</v>
      </c>
      <c r="Q234" s="1"/>
      <c r="R234" s="5">
        <f t="shared" si="56"/>
        <v>-2.3420450574017867E-5</v>
      </c>
      <c r="S234" s="1"/>
      <c r="T234" s="1">
        <f>SUM(OSRRefT22_3x_0)</f>
        <v>467.97</v>
      </c>
      <c r="U234" s="1"/>
      <c r="V234" s="5">
        <f t="shared" si="57"/>
        <v>1.3387172428886069E-5</v>
      </c>
      <c r="W234" s="1"/>
      <c r="X234" s="1">
        <f t="shared" si="58"/>
        <v>-1124.9100000000001</v>
      </c>
      <c r="Y234" s="1"/>
      <c r="Z234" s="5">
        <f t="shared" si="59"/>
        <v>-2.4038079364061797</v>
      </c>
    </row>
    <row r="235" spans="1:26" s="24" customFormat="1" hidden="1" outlineLevel="2" x14ac:dyDescent="0.25">
      <c r="A235" s="26"/>
      <c r="B235" s="11" t="str">
        <f>CONCATENATE("          ", "6272", " - ", "CASH (OVER/SHORT)")</f>
        <v xml:space="preserve">          6272 - CASH (OVER/SHORT)</v>
      </c>
      <c r="C235" s="11"/>
      <c r="D235" s="6">
        <v>-4.55</v>
      </c>
      <c r="E235" s="2"/>
      <c r="F235" s="7">
        <f t="shared" si="52"/>
        <v>-8.9886759672398134E-6</v>
      </c>
      <c r="G235" s="2"/>
      <c r="H235" s="6">
        <v>-1277.08</v>
      </c>
      <c r="I235" s="2"/>
      <c r="J235" s="7">
        <f t="shared" si="53"/>
        <v>-4.7720435581888527E-4</v>
      </c>
      <c r="K235" s="2"/>
      <c r="L235" s="6">
        <f t="shared" si="54"/>
        <v>1272.53</v>
      </c>
      <c r="M235" s="2"/>
      <c r="N235" s="7">
        <f t="shared" si="55"/>
        <v>-0.99643718482788868</v>
      </c>
      <c r="O235" s="11"/>
      <c r="P235" s="6">
        <v>-701.74</v>
      </c>
      <c r="Q235" s="2"/>
      <c r="R235" s="7">
        <f t="shared" si="56"/>
        <v>-2.5017607370248877E-5</v>
      </c>
      <c r="S235" s="2"/>
      <c r="T235" s="6">
        <v>467.97</v>
      </c>
      <c r="U235" s="2"/>
      <c r="V235" s="7">
        <f t="shared" si="57"/>
        <v>1.3387172428886069E-5</v>
      </c>
      <c r="W235" s="2"/>
      <c r="X235" s="6">
        <f t="shared" si="58"/>
        <v>-1169.71</v>
      </c>
      <c r="Y235" s="2"/>
      <c r="Z235" s="7">
        <f t="shared" si="59"/>
        <v>-2.4995405688398828</v>
      </c>
    </row>
    <row r="236" spans="1:26" s="24" customFormat="1" hidden="1" outlineLevel="2" x14ac:dyDescent="0.25">
      <c r="A236" s="26"/>
      <c r="B236" s="11" t="str">
        <f>CONCATENATE("          ", "6342", " - ", "BAD DEBT")</f>
        <v xml:space="preserve">          6342 - BAD DEBT</v>
      </c>
      <c r="C236" s="11"/>
      <c r="D236" s="6"/>
      <c r="E236" s="2"/>
      <c r="F236" s="7">
        <f t="shared" si="52"/>
        <v>0</v>
      </c>
      <c r="G236" s="2"/>
      <c r="H236" s="6"/>
      <c r="I236" s="2"/>
      <c r="J236" s="7">
        <f t="shared" si="53"/>
        <v>0</v>
      </c>
      <c r="K236" s="2"/>
      <c r="L236" s="6">
        <f t="shared" si="54"/>
        <v>0</v>
      </c>
      <c r="M236" s="2"/>
      <c r="N236" s="7">
        <f t="shared" si="55"/>
        <v>0</v>
      </c>
      <c r="O236" s="11"/>
      <c r="P236" s="6">
        <v>44.8</v>
      </c>
      <c r="Q236" s="2"/>
      <c r="R236" s="7">
        <f t="shared" si="56"/>
        <v>1.597156796231011E-6</v>
      </c>
      <c r="S236" s="2"/>
      <c r="T236" s="6"/>
      <c r="U236" s="2"/>
      <c r="V236" s="7">
        <f t="shared" si="57"/>
        <v>0</v>
      </c>
      <c r="W236" s="2"/>
      <c r="X236" s="6">
        <f t="shared" si="58"/>
        <v>44.8</v>
      </c>
      <c r="Y236" s="2"/>
      <c r="Z236" s="7">
        <f t="shared" si="59"/>
        <v>0</v>
      </c>
    </row>
    <row r="237" spans="1:26" s="27" customFormat="1" outlineLevel="1" collapsed="1" x14ac:dyDescent="0.25">
      <c r="A237" s="25"/>
      <c r="B237" s="13" t="str">
        <f>CONCATENATE("     ","Bank/card Fees                                    ")</f>
        <v xml:space="preserve">     Bank/card Fees                                    </v>
      </c>
      <c r="C237" s="13"/>
      <c r="D237" s="1">
        <f>SUM(OSRRefD22_4x_0)</f>
        <v>5798.6</v>
      </c>
      <c r="E237" s="1"/>
      <c r="F237" s="5">
        <f t="shared" ref="F237:F242" si="60">IF(D$12=0,0,D237/D$12)</f>
        <v>1.1455326695304788E-2</v>
      </c>
      <c r="G237" s="1"/>
      <c r="H237" s="1">
        <f>SUM(OSRRefH22_4x_0)</f>
        <v>51137.859999999993</v>
      </c>
      <c r="I237" s="1"/>
      <c r="J237" s="5">
        <f t="shared" ref="J237:J242" si="61">IF(H$12=0,0,H237/H$12)</f>
        <v>1.9108598943884749E-2</v>
      </c>
      <c r="K237" s="1"/>
      <c r="L237" s="1">
        <f t="shared" ref="L237:L242" si="62">+D237-H237</f>
        <v>-45339.259999999995</v>
      </c>
      <c r="M237" s="1"/>
      <c r="N237" s="5">
        <f t="shared" ref="N237:N242" si="63">IF(H237=0,0,L237/H237)</f>
        <v>-0.88660847364359796</v>
      </c>
      <c r="O237" s="13"/>
      <c r="P237" s="1">
        <f>SUM(OSRRefP22_4x_0)</f>
        <v>404825.91000000003</v>
      </c>
      <c r="Q237" s="1"/>
      <c r="R237" s="5">
        <f t="shared" ref="R237:R242" si="64">IF(P$12=0,0,P237/P$12)</f>
        <v>1.4432376193011243E-2</v>
      </c>
      <c r="S237" s="1"/>
      <c r="T237" s="1">
        <f>SUM(OSRRefT22_4x_0)</f>
        <v>508558.08000000002</v>
      </c>
      <c r="U237" s="1"/>
      <c r="V237" s="5">
        <f t="shared" ref="V237:V242" si="65">IF(T$12=0,0,T237/T$12)</f>
        <v>1.4548271699175663E-2</v>
      </c>
      <c r="W237" s="1"/>
      <c r="X237" s="1">
        <f t="shared" ref="X237:X242" si="66">+P237-T237</f>
        <v>-103732.16999999998</v>
      </c>
      <c r="Y237" s="1"/>
      <c r="Z237" s="5">
        <f t="shared" ref="Z237:Z242" si="67">IF(T237=0,0,X237/T237)</f>
        <v>-0.20397310372101449</v>
      </c>
    </row>
    <row r="238" spans="1:26" s="24" customFormat="1" hidden="1" outlineLevel="2" x14ac:dyDescent="0.25">
      <c r="A238" s="26"/>
      <c r="B238" s="11" t="str">
        <f>CONCATENATE("          ", "6381", " - ", "BANK/CREDIT CARD FEES")</f>
        <v xml:space="preserve">          6381 - BANK/CREDIT CARD FEES</v>
      </c>
      <c r="C238" s="11"/>
      <c r="D238" s="6">
        <v>5798.6</v>
      </c>
      <c r="E238" s="2"/>
      <c r="F238" s="7">
        <f t="shared" si="60"/>
        <v>1.1455326695304788E-2</v>
      </c>
      <c r="G238" s="2"/>
      <c r="H238" s="6">
        <v>51137.859999999993</v>
      </c>
      <c r="I238" s="2"/>
      <c r="J238" s="7">
        <f t="shared" si="61"/>
        <v>1.9108598943884749E-2</v>
      </c>
      <c r="K238" s="2"/>
      <c r="L238" s="6">
        <f t="shared" si="62"/>
        <v>-45339.259999999995</v>
      </c>
      <c r="M238" s="2"/>
      <c r="N238" s="7">
        <f t="shared" si="63"/>
        <v>-0.88660847364359796</v>
      </c>
      <c r="O238" s="11"/>
      <c r="P238" s="6">
        <v>404825.91000000003</v>
      </c>
      <c r="Q238" s="2"/>
      <c r="R238" s="7">
        <f t="shared" si="64"/>
        <v>1.4432376193011243E-2</v>
      </c>
      <c r="S238" s="2"/>
      <c r="T238" s="6">
        <v>508558.08000000002</v>
      </c>
      <c r="U238" s="2"/>
      <c r="V238" s="7">
        <f t="shared" si="65"/>
        <v>1.4548271699175663E-2</v>
      </c>
      <c r="W238" s="2"/>
      <c r="X238" s="6">
        <f t="shared" si="66"/>
        <v>-103732.16999999998</v>
      </c>
      <c r="Y238" s="2"/>
      <c r="Z238" s="7">
        <f t="shared" si="67"/>
        <v>-0.20397310372101449</v>
      </c>
    </row>
    <row r="239" spans="1:26" s="27" customFormat="1" outlineLevel="1" collapsed="1" x14ac:dyDescent="0.25">
      <c r="A239" s="25"/>
      <c r="B239" s="13" t="str">
        <f>CONCATENATE("     ","Depreciation                                      ")</f>
        <v xml:space="preserve">     Depreciation                                      </v>
      </c>
      <c r="C239" s="13"/>
      <c r="D239" s="1">
        <f>SUM(OSRRefD22_5x_0)</f>
        <v>77550.860000000015</v>
      </c>
      <c r="E239" s="1"/>
      <c r="F239" s="5">
        <f t="shared" si="60"/>
        <v>0.15320429703753394</v>
      </c>
      <c r="G239" s="1"/>
      <c r="H239" s="1">
        <f>SUM(OSRRefH22_5x_0)</f>
        <v>80552.89</v>
      </c>
      <c r="I239" s="1"/>
      <c r="J239" s="5">
        <f t="shared" si="61"/>
        <v>3.0100064194725096E-2</v>
      </c>
      <c r="K239" s="1"/>
      <c r="L239" s="1">
        <f t="shared" si="62"/>
        <v>-3002.0299999999843</v>
      </c>
      <c r="M239" s="1"/>
      <c r="N239" s="5">
        <f t="shared" si="63"/>
        <v>-3.7267812489408934E-2</v>
      </c>
      <c r="O239" s="13"/>
      <c r="P239" s="1">
        <f>SUM(OSRRefP22_5x_0)</f>
        <v>867085.58</v>
      </c>
      <c r="Q239" s="1"/>
      <c r="R239" s="5">
        <f t="shared" si="64"/>
        <v>3.0912313102922053E-2</v>
      </c>
      <c r="S239" s="1"/>
      <c r="T239" s="1">
        <f>SUM(OSRRefT22_5x_0)</f>
        <v>852615.27</v>
      </c>
      <c r="U239" s="1"/>
      <c r="V239" s="5">
        <f t="shared" si="65"/>
        <v>2.4390682383467425E-2</v>
      </c>
      <c r="W239" s="1"/>
      <c r="X239" s="1">
        <f t="shared" si="66"/>
        <v>14470.309999999939</v>
      </c>
      <c r="Y239" s="1"/>
      <c r="Z239" s="5">
        <f t="shared" si="67"/>
        <v>1.6971675865012293E-2</v>
      </c>
    </row>
    <row r="240" spans="1:26" s="24" customFormat="1" hidden="1" outlineLevel="2" x14ac:dyDescent="0.25">
      <c r="A240" s="26"/>
      <c r="B240" s="11" t="str">
        <f>CONCATENATE("          ", "6321", " - ", "BUILDING DEPRECIATION")</f>
        <v xml:space="preserve">          6321 - BUILDING DEPRECIATION</v>
      </c>
      <c r="C240" s="11"/>
      <c r="D240" s="6">
        <v>45519.990000000005</v>
      </c>
      <c r="E240" s="2"/>
      <c r="F240" s="7">
        <f t="shared" si="60"/>
        <v>8.9926250580658604E-2</v>
      </c>
      <c r="G240" s="2"/>
      <c r="H240" s="6">
        <v>48433.740000000005</v>
      </c>
      <c r="I240" s="2"/>
      <c r="J240" s="7">
        <f t="shared" si="61"/>
        <v>1.8098154928899816E-2</v>
      </c>
      <c r="K240" s="2"/>
      <c r="L240" s="6">
        <f t="shared" si="62"/>
        <v>-2913.75</v>
      </c>
      <c r="M240" s="2"/>
      <c r="N240" s="7">
        <f t="shared" si="63"/>
        <v>-6.0159508640051332E-2</v>
      </c>
      <c r="O240" s="11"/>
      <c r="P240" s="6">
        <v>500719.89</v>
      </c>
      <c r="Q240" s="2"/>
      <c r="R240" s="7">
        <f t="shared" si="64"/>
        <v>1.7851075341998757E-2</v>
      </c>
      <c r="S240" s="2"/>
      <c r="T240" s="6">
        <v>513671.94000000006</v>
      </c>
      <c r="U240" s="2"/>
      <c r="V240" s="7">
        <f t="shared" si="65"/>
        <v>1.4694563396500672E-2</v>
      </c>
      <c r="W240" s="2"/>
      <c r="X240" s="6">
        <f t="shared" si="66"/>
        <v>-12952.050000000047</v>
      </c>
      <c r="Y240" s="2"/>
      <c r="Z240" s="7">
        <f t="shared" si="67"/>
        <v>-2.5214634071699625E-2</v>
      </c>
    </row>
    <row r="241" spans="1:26" s="24" customFormat="1" hidden="1" outlineLevel="2" x14ac:dyDescent="0.25">
      <c r="A241" s="26"/>
      <c r="B241" s="11" t="str">
        <f>CONCATENATE("          ", "6322", " - ", "EQUIPMENT DEPRECIATION EXPENSE")</f>
        <v xml:space="preserve">          6322 - EQUIPMENT DEPRECIATION EXPENSE</v>
      </c>
      <c r="C241" s="11"/>
      <c r="D241" s="6">
        <v>32030.870000000003</v>
      </c>
      <c r="E241" s="2"/>
      <c r="F241" s="7">
        <f t="shared" si="60"/>
        <v>6.327804645687532E-2</v>
      </c>
      <c r="G241" s="2"/>
      <c r="H241" s="6">
        <v>31694.899999999998</v>
      </c>
      <c r="I241" s="2"/>
      <c r="J241" s="7">
        <f t="shared" si="61"/>
        <v>1.1843380475180871E-2</v>
      </c>
      <c r="K241" s="2"/>
      <c r="L241" s="6">
        <f t="shared" si="62"/>
        <v>335.9700000000048</v>
      </c>
      <c r="M241" s="2"/>
      <c r="N241" s="7">
        <f t="shared" si="63"/>
        <v>1.0600128096318487E-2</v>
      </c>
      <c r="O241" s="11"/>
      <c r="P241" s="6">
        <v>362123.20999999996</v>
      </c>
      <c r="Q241" s="2"/>
      <c r="R241" s="7">
        <f t="shared" si="64"/>
        <v>1.2909989864385928E-2</v>
      </c>
      <c r="S241" s="2"/>
      <c r="T241" s="6">
        <v>334276.58</v>
      </c>
      <c r="U241" s="2"/>
      <c r="V241" s="7">
        <f t="shared" si="65"/>
        <v>9.5626177220726298E-3</v>
      </c>
      <c r="W241" s="2"/>
      <c r="X241" s="6">
        <f t="shared" si="66"/>
        <v>27846.629999999946</v>
      </c>
      <c r="Y241" s="2"/>
      <c r="Z241" s="7">
        <f t="shared" si="67"/>
        <v>8.3304160883780565E-2</v>
      </c>
    </row>
    <row r="242" spans="1:26" s="24" customFormat="1" hidden="1" outlineLevel="2" x14ac:dyDescent="0.25">
      <c r="A242" s="26"/>
      <c r="B242" s="11" t="str">
        <f>CONCATENATE("          ", "6326", " - ", "VEHICLES DEPRECIATION EXPENSE")</f>
        <v xml:space="preserve">          6326 - VEHICLES DEPRECIATION EXPENSE</v>
      </c>
      <c r="C242" s="11"/>
      <c r="D242" s="6"/>
      <c r="E242" s="2"/>
      <c r="F242" s="7">
        <f t="shared" si="60"/>
        <v>0</v>
      </c>
      <c r="G242" s="2"/>
      <c r="H242" s="6">
        <v>424.25</v>
      </c>
      <c r="I242" s="2"/>
      <c r="J242" s="7">
        <f t="shared" si="61"/>
        <v>1.5852879064440919E-4</v>
      </c>
      <c r="K242" s="2"/>
      <c r="L242" s="6">
        <f t="shared" si="62"/>
        <v>-424.25</v>
      </c>
      <c r="M242" s="2"/>
      <c r="N242" s="7">
        <f t="shared" si="63"/>
        <v>-1</v>
      </c>
      <c r="O242" s="11"/>
      <c r="P242" s="6">
        <v>4242.4799999999996</v>
      </c>
      <c r="Q242" s="2"/>
      <c r="R242" s="7">
        <f t="shared" si="64"/>
        <v>1.5124789653736919E-4</v>
      </c>
      <c r="S242" s="2"/>
      <c r="T242" s="6">
        <v>4666.75</v>
      </c>
      <c r="U242" s="2"/>
      <c r="V242" s="7">
        <f t="shared" si="65"/>
        <v>1.3350126489412582E-4</v>
      </c>
      <c r="W242" s="2"/>
      <c r="X242" s="6">
        <f t="shared" si="66"/>
        <v>-424.27000000000044</v>
      </c>
      <c r="Y242" s="2"/>
      <c r="Z242" s="7">
        <f t="shared" si="67"/>
        <v>-9.0913376546847474E-2</v>
      </c>
    </row>
    <row r="243" spans="1:26" s="27" customFormat="1" outlineLevel="1" collapsed="1" x14ac:dyDescent="0.25">
      <c r="A243" s="25"/>
      <c r="B243" s="13" t="str">
        <f>CONCATENATE("     ","Discounts and Markdowns                           ")</f>
        <v xml:space="preserve">     Discounts and Markdowns                           </v>
      </c>
      <c r="C243" s="13"/>
      <c r="D243" s="1">
        <f>SUM(OSRRefD22_6x_0)</f>
        <v>48114.67</v>
      </c>
      <c r="E243" s="1"/>
      <c r="F243" s="5">
        <f t="shared" ref="F243:F245" si="68">IF(D$12=0,0,D243/D$12)</f>
        <v>9.505212701113723E-2</v>
      </c>
      <c r="G243" s="1"/>
      <c r="H243" s="1">
        <f>SUM(OSRRefH22_6x_0)</f>
        <v>30155.269999999997</v>
      </c>
      <c r="I243" s="1"/>
      <c r="J243" s="5">
        <f t="shared" ref="J243:J245" si="69">IF(H$12=0,0,H243/H$12)</f>
        <v>1.1268069498304377E-2</v>
      </c>
      <c r="K243" s="1"/>
      <c r="L243" s="1">
        <f t="shared" ref="L243:L245" si="70">+D243-H243</f>
        <v>17959.400000000001</v>
      </c>
      <c r="M243" s="1"/>
      <c r="N243" s="5">
        <f t="shared" ref="N243:N245" si="71">IF(H243=0,0,L243/H243)</f>
        <v>0.59556422476071358</v>
      </c>
      <c r="O243" s="13"/>
      <c r="P243" s="1">
        <f>SUM(OSRRefP22_6x_0)</f>
        <v>421895.44</v>
      </c>
      <c r="Q243" s="1"/>
      <c r="R243" s="5">
        <f t="shared" ref="R243:R245" si="72">IF(P$12=0,0,P243/P$12)</f>
        <v>1.5040918957474839E-2</v>
      </c>
      <c r="S243" s="1"/>
      <c r="T243" s="1">
        <f>SUM(OSRRefT22_6x_0)</f>
        <v>430754.87</v>
      </c>
      <c r="U243" s="1"/>
      <c r="V243" s="5">
        <f t="shared" ref="V243:V245" si="73">IF(T$12=0,0,T243/T$12)</f>
        <v>1.2322562812300793E-2</v>
      </c>
      <c r="W243" s="1"/>
      <c r="X243" s="1">
        <f t="shared" ref="X243:X245" si="74">+P243-T243</f>
        <v>-8859.429999999993</v>
      </c>
      <c r="Y243" s="1"/>
      <c r="Z243" s="5">
        <f t="shared" ref="Z243:Z245" si="75">IF(T243=0,0,X243/T243)</f>
        <v>-2.0567219588254436E-2</v>
      </c>
    </row>
    <row r="244" spans="1:26" s="24" customFormat="1" hidden="1" outlineLevel="2" x14ac:dyDescent="0.25">
      <c r="A244" s="26"/>
      <c r="B244" s="11" t="str">
        <f>CONCATENATE("          ", "6382", " - ", "DISCOUNTS/MARK DOWNS")</f>
        <v xml:space="preserve">          6382 - DISCOUNTS/MARK DOWNS</v>
      </c>
      <c r="C244" s="11"/>
      <c r="D244" s="6">
        <v>48114.67</v>
      </c>
      <c r="E244" s="2"/>
      <c r="F244" s="7">
        <f t="shared" si="68"/>
        <v>9.505212701113723E-2</v>
      </c>
      <c r="G244" s="2"/>
      <c r="H244" s="6">
        <v>30237.059999999998</v>
      </c>
      <c r="I244" s="2"/>
      <c r="J244" s="7">
        <f t="shared" si="69"/>
        <v>1.1298631831331618E-2</v>
      </c>
      <c r="K244" s="2"/>
      <c r="L244" s="6">
        <f t="shared" si="70"/>
        <v>17877.61</v>
      </c>
      <c r="M244" s="2"/>
      <c r="N244" s="7">
        <f t="shared" si="71"/>
        <v>0.59124828935088269</v>
      </c>
      <c r="O244" s="11"/>
      <c r="P244" s="6">
        <v>425127.06</v>
      </c>
      <c r="Q244" s="2"/>
      <c r="R244" s="7">
        <f t="shared" si="72"/>
        <v>1.5156128864747966E-2</v>
      </c>
      <c r="S244" s="2"/>
      <c r="T244" s="6">
        <v>435331.02999999997</v>
      </c>
      <c r="U244" s="2"/>
      <c r="V244" s="7">
        <f t="shared" si="73"/>
        <v>1.2453472577845959E-2</v>
      </c>
      <c r="W244" s="2"/>
      <c r="X244" s="6">
        <f t="shared" si="74"/>
        <v>-10203.969999999972</v>
      </c>
      <c r="Y244" s="2"/>
      <c r="Z244" s="7">
        <f t="shared" si="75"/>
        <v>-2.3439565059260703E-2</v>
      </c>
    </row>
    <row r="245" spans="1:26" s="24" customFormat="1" hidden="1" outlineLevel="2" x14ac:dyDescent="0.25">
      <c r="A245" s="26"/>
      <c r="B245" s="11" t="str">
        <f>CONCATENATE("          ", "9175", " - ", "EARNED DISCOUNTS")</f>
        <v xml:space="preserve">          9175 - EARNED DISCOUNTS</v>
      </c>
      <c r="C245" s="11"/>
      <c r="D245" s="6"/>
      <c r="E245" s="2"/>
      <c r="F245" s="7">
        <f t="shared" si="68"/>
        <v>0</v>
      </c>
      <c r="G245" s="2"/>
      <c r="H245" s="6">
        <v>-81.790000000000006</v>
      </c>
      <c r="I245" s="2"/>
      <c r="J245" s="7">
        <f t="shared" si="69"/>
        <v>-3.0562333027239191E-5</v>
      </c>
      <c r="K245" s="2"/>
      <c r="L245" s="6">
        <f t="shared" si="70"/>
        <v>81.790000000000006</v>
      </c>
      <c r="M245" s="2"/>
      <c r="N245" s="7">
        <f t="shared" si="71"/>
        <v>-1</v>
      </c>
      <c r="O245" s="11"/>
      <c r="P245" s="6">
        <v>-3231.62</v>
      </c>
      <c r="Q245" s="2"/>
      <c r="R245" s="7">
        <f t="shared" si="72"/>
        <v>-1.1520990727312634E-4</v>
      </c>
      <c r="S245" s="2"/>
      <c r="T245" s="6">
        <v>-4576.16</v>
      </c>
      <c r="U245" s="2"/>
      <c r="V245" s="7">
        <f t="shared" si="73"/>
        <v>-1.3090976554516585E-4</v>
      </c>
      <c r="W245" s="2"/>
      <c r="X245" s="6">
        <f t="shared" si="74"/>
        <v>1344.54</v>
      </c>
      <c r="Y245" s="2"/>
      <c r="Z245" s="7">
        <f t="shared" si="75"/>
        <v>-0.29381402748155661</v>
      </c>
    </row>
    <row r="246" spans="1:26" s="27" customFormat="1" outlineLevel="1" collapsed="1" x14ac:dyDescent="0.25">
      <c r="A246" s="25"/>
      <c r="B246" s="13" t="str">
        <f>CONCATENATE("     ","Donations                                         ")</f>
        <v xml:space="preserve">     Donations                                         </v>
      </c>
      <c r="C246" s="13"/>
      <c r="D246" s="1">
        <f>SUM(OSRRefD22_7x_0)</f>
        <v>16171.72</v>
      </c>
      <c r="E246" s="1"/>
      <c r="F246" s="5">
        <f t="shared" ref="F246:F254" si="76">IF(D$12=0,0,D246/D$12)</f>
        <v>3.1947769431413496E-2</v>
      </c>
      <c r="G246" s="1"/>
      <c r="H246" s="1">
        <f>SUM(OSRRefH22_7x_0)</f>
        <v>9583.9599999999991</v>
      </c>
      <c r="I246" s="1"/>
      <c r="J246" s="5">
        <f t="shared" ref="J246:J254" si="77">IF(H$12=0,0,H246/H$12)</f>
        <v>3.5812223650781181E-3</v>
      </c>
      <c r="K246" s="1"/>
      <c r="L246" s="1">
        <f t="shared" ref="L246:L254" si="78">+D246-H246</f>
        <v>6587.76</v>
      </c>
      <c r="M246" s="1"/>
      <c r="N246" s="5">
        <f t="shared" ref="N246:N254" si="79">IF(H246=0,0,L246/H246)</f>
        <v>0.68737348653375019</v>
      </c>
      <c r="O246" s="13"/>
      <c r="P246" s="1">
        <f>SUM(OSRRefP22_7x_0)</f>
        <v>148923.69999999998</v>
      </c>
      <c r="Q246" s="1"/>
      <c r="R246" s="5">
        <f t="shared" ref="R246:R254" si="80">IF(P$12=0,0,P246/P$12)</f>
        <v>5.3092522226533077E-3</v>
      </c>
      <c r="S246" s="1"/>
      <c r="T246" s="1">
        <f>SUM(OSRRefT22_7x_0)</f>
        <v>144271.18</v>
      </c>
      <c r="U246" s="1"/>
      <c r="V246" s="5">
        <f t="shared" ref="V246:V254" si="81">IF(T$12=0,0,T246/T$12)</f>
        <v>4.1271516618134902E-3</v>
      </c>
      <c r="W246" s="1"/>
      <c r="X246" s="1">
        <f t="shared" ref="X246:X254" si="82">+P246-T246</f>
        <v>4652.5199999999895</v>
      </c>
      <c r="Y246" s="1"/>
      <c r="Z246" s="5">
        <f t="shared" ref="Z246:Z254" si="83">IF(T246=0,0,X246/T246)</f>
        <v>3.2248436590038218E-2</v>
      </c>
    </row>
    <row r="247" spans="1:26" s="24" customFormat="1" hidden="1" outlineLevel="2" x14ac:dyDescent="0.25">
      <c r="A247" s="26"/>
      <c r="B247" s="11" t="str">
        <f>CONCATENATE("          ", "6399", " - ", "DONATION-ON CAMPUS")</f>
        <v xml:space="preserve">          6399 - DONATION-ON CAMPUS</v>
      </c>
      <c r="C247" s="11"/>
      <c r="D247" s="6">
        <v>16171.72</v>
      </c>
      <c r="E247" s="2"/>
      <c r="F247" s="7">
        <f t="shared" si="76"/>
        <v>3.1947769431413496E-2</v>
      </c>
      <c r="G247" s="2"/>
      <c r="H247" s="6">
        <v>9583.9599999999991</v>
      </c>
      <c r="I247" s="2"/>
      <c r="J247" s="7">
        <f t="shared" si="77"/>
        <v>3.5812223650781181E-3</v>
      </c>
      <c r="K247" s="2"/>
      <c r="L247" s="6">
        <f t="shared" si="78"/>
        <v>6587.76</v>
      </c>
      <c r="M247" s="2"/>
      <c r="N247" s="7">
        <f t="shared" si="79"/>
        <v>0.68737348653375019</v>
      </c>
      <c r="O247" s="11"/>
      <c r="P247" s="6">
        <v>148923.69999999998</v>
      </c>
      <c r="Q247" s="2"/>
      <c r="R247" s="7">
        <f t="shared" si="80"/>
        <v>5.3092522226533077E-3</v>
      </c>
      <c r="S247" s="2"/>
      <c r="T247" s="6">
        <v>144271.18</v>
      </c>
      <c r="U247" s="2"/>
      <c r="V247" s="7">
        <f t="shared" si="81"/>
        <v>4.1271516618134902E-3</v>
      </c>
      <c r="W247" s="2"/>
      <c r="X247" s="6">
        <f t="shared" si="82"/>
        <v>4652.5199999999895</v>
      </c>
      <c r="Y247" s="2"/>
      <c r="Z247" s="7">
        <f t="shared" si="83"/>
        <v>3.2248436590038218E-2</v>
      </c>
    </row>
    <row r="248" spans="1:26" s="27" customFormat="1" outlineLevel="1" collapsed="1" x14ac:dyDescent="0.25">
      <c r="A248" s="25"/>
      <c r="B248" s="13" t="str">
        <f>CONCATENATE("     ","Employees' Appreciation                           ")</f>
        <v xml:space="preserve">     Employees' Appreciation                           </v>
      </c>
      <c r="C248" s="13"/>
      <c r="D248" s="1">
        <f>SUM(OSRRefD22_8x_0)</f>
        <v>0</v>
      </c>
      <c r="E248" s="1"/>
      <c r="F248" s="5">
        <f t="shared" si="76"/>
        <v>0</v>
      </c>
      <c r="G248" s="1"/>
      <c r="H248" s="1">
        <f>SUM(OSRRefH22_8x_0)</f>
        <v>1470.43</v>
      </c>
      <c r="I248" s="1"/>
      <c r="J248" s="5">
        <f t="shared" si="77"/>
        <v>5.4945312817267786E-4</v>
      </c>
      <c r="K248" s="1"/>
      <c r="L248" s="1">
        <f t="shared" si="78"/>
        <v>-1470.43</v>
      </c>
      <c r="M248" s="1"/>
      <c r="N248" s="5">
        <f t="shared" si="79"/>
        <v>-1</v>
      </c>
      <c r="O248" s="13"/>
      <c r="P248" s="1">
        <f>SUM(OSRRefP22_8x_0)</f>
        <v>5253.59</v>
      </c>
      <c r="Q248" s="1"/>
      <c r="R248" s="5">
        <f t="shared" si="80"/>
        <v>1.8729479850694816E-4</v>
      </c>
      <c r="S248" s="1"/>
      <c r="T248" s="1">
        <f>SUM(OSRRefT22_8x_0)</f>
        <v>11292.76</v>
      </c>
      <c r="U248" s="1"/>
      <c r="V248" s="5">
        <f t="shared" si="81"/>
        <v>3.2305089069390651E-4</v>
      </c>
      <c r="W248" s="1"/>
      <c r="X248" s="1">
        <f t="shared" si="82"/>
        <v>-6039.17</v>
      </c>
      <c r="Y248" s="1"/>
      <c r="Z248" s="5">
        <f t="shared" si="83"/>
        <v>-0.53478246239183336</v>
      </c>
    </row>
    <row r="249" spans="1:26" s="24" customFormat="1" hidden="1" outlineLevel="2" x14ac:dyDescent="0.25">
      <c r="A249" s="26"/>
      <c r="B249" s="11" t="str">
        <f>CONCATENATE("          ", "6277", " - ", "EMPLOYEE APPRECIATION")</f>
        <v xml:space="preserve">          6277 - EMPLOYEE APPRECIATION</v>
      </c>
      <c r="C249" s="11"/>
      <c r="D249" s="6"/>
      <c r="E249" s="2"/>
      <c r="F249" s="7">
        <f t="shared" si="76"/>
        <v>0</v>
      </c>
      <c r="G249" s="2"/>
      <c r="H249" s="6">
        <v>1470.43</v>
      </c>
      <c r="I249" s="2"/>
      <c r="J249" s="7">
        <f t="shared" si="77"/>
        <v>5.4945312817267786E-4</v>
      </c>
      <c r="K249" s="2"/>
      <c r="L249" s="6">
        <f t="shared" si="78"/>
        <v>-1470.43</v>
      </c>
      <c r="M249" s="2"/>
      <c r="N249" s="7">
        <f t="shared" si="79"/>
        <v>-1</v>
      </c>
      <c r="O249" s="11"/>
      <c r="P249" s="6">
        <v>5253.59</v>
      </c>
      <c r="Q249" s="2"/>
      <c r="R249" s="7">
        <f t="shared" si="80"/>
        <v>1.8729479850694816E-4</v>
      </c>
      <c r="S249" s="2"/>
      <c r="T249" s="6">
        <v>11292.76</v>
      </c>
      <c r="U249" s="2"/>
      <c r="V249" s="7">
        <f t="shared" si="81"/>
        <v>3.2305089069390651E-4</v>
      </c>
      <c r="W249" s="2"/>
      <c r="X249" s="6">
        <f t="shared" si="82"/>
        <v>-6039.17</v>
      </c>
      <c r="Y249" s="2"/>
      <c r="Z249" s="7">
        <f t="shared" si="83"/>
        <v>-0.53478246239183336</v>
      </c>
    </row>
    <row r="250" spans="1:26" s="27" customFormat="1" outlineLevel="1" collapsed="1" x14ac:dyDescent="0.25">
      <c r="A250" s="25"/>
      <c r="B250" s="13" t="str">
        <f>CONCATENATE("     ","Equipment Rental                                  ")</f>
        <v xml:space="preserve">     Equipment Rental                                  </v>
      </c>
      <c r="C250" s="13"/>
      <c r="D250" s="1">
        <f>SUM(OSRRefD22_9x_0)</f>
        <v>3263.87</v>
      </c>
      <c r="E250" s="1"/>
      <c r="F250" s="5">
        <f t="shared" si="76"/>
        <v>6.447883478943958E-3</v>
      </c>
      <c r="G250" s="1"/>
      <c r="H250" s="1">
        <f>SUM(OSRRefH22_9x_0)</f>
        <v>7733.47</v>
      </c>
      <c r="I250" s="1"/>
      <c r="J250" s="5">
        <f t="shared" si="77"/>
        <v>2.8897528499347534E-3</v>
      </c>
      <c r="K250" s="1"/>
      <c r="L250" s="1">
        <f t="shared" si="78"/>
        <v>-4469.6000000000004</v>
      </c>
      <c r="M250" s="1"/>
      <c r="N250" s="5">
        <f t="shared" si="79"/>
        <v>-0.57795530337610412</v>
      </c>
      <c r="O250" s="13"/>
      <c r="P250" s="1">
        <f>SUM(OSRRefP22_9x_0)</f>
        <v>50933.17</v>
      </c>
      <c r="Q250" s="1"/>
      <c r="R250" s="5">
        <f t="shared" si="80"/>
        <v>1.8158093441761037E-3</v>
      </c>
      <c r="S250" s="1"/>
      <c r="T250" s="1">
        <f>SUM(OSRRefT22_9x_0)</f>
        <v>64631.21</v>
      </c>
      <c r="U250" s="1"/>
      <c r="V250" s="5">
        <f t="shared" si="81"/>
        <v>1.8488987596588361E-3</v>
      </c>
      <c r="W250" s="1"/>
      <c r="X250" s="1">
        <f t="shared" si="82"/>
        <v>-13698.04</v>
      </c>
      <c r="Y250" s="1"/>
      <c r="Z250" s="5">
        <f t="shared" si="83"/>
        <v>-0.21194156816807239</v>
      </c>
    </row>
    <row r="251" spans="1:26" s="24" customFormat="1" hidden="1" outlineLevel="2" x14ac:dyDescent="0.25">
      <c r="A251" s="26"/>
      <c r="B251" s="11" t="str">
        <f>CONCATENATE("          ", "6351", " - ", "EQUIPMENT RENTAL")</f>
        <v xml:space="preserve">          6351 - EQUIPMENT RENTAL</v>
      </c>
      <c r="C251" s="11"/>
      <c r="D251" s="6">
        <v>3263.87</v>
      </c>
      <c r="E251" s="2"/>
      <c r="F251" s="7">
        <f t="shared" si="76"/>
        <v>6.447883478943958E-3</v>
      </c>
      <c r="G251" s="2"/>
      <c r="H251" s="6">
        <v>7733.47</v>
      </c>
      <c r="I251" s="2"/>
      <c r="J251" s="7">
        <f t="shared" si="77"/>
        <v>2.8897528499347534E-3</v>
      </c>
      <c r="K251" s="2"/>
      <c r="L251" s="6">
        <f t="shared" si="78"/>
        <v>-4469.6000000000004</v>
      </c>
      <c r="M251" s="2"/>
      <c r="N251" s="7">
        <f t="shared" si="79"/>
        <v>-0.57795530337610412</v>
      </c>
      <c r="O251" s="11"/>
      <c r="P251" s="6">
        <v>50933.17</v>
      </c>
      <c r="Q251" s="2"/>
      <c r="R251" s="7">
        <f t="shared" si="80"/>
        <v>1.8158093441761037E-3</v>
      </c>
      <c r="S251" s="2"/>
      <c r="T251" s="6">
        <v>64631.21</v>
      </c>
      <c r="U251" s="2"/>
      <c r="V251" s="7">
        <f t="shared" si="81"/>
        <v>1.8488987596588361E-3</v>
      </c>
      <c r="W251" s="2"/>
      <c r="X251" s="6">
        <f t="shared" si="82"/>
        <v>-13698.04</v>
      </c>
      <c r="Y251" s="2"/>
      <c r="Z251" s="7">
        <f t="shared" si="83"/>
        <v>-0.21194156816807239</v>
      </c>
    </row>
    <row r="252" spans="1:26" s="27" customFormat="1" outlineLevel="1" collapsed="1" x14ac:dyDescent="0.25">
      <c r="A252" s="25"/>
      <c r="B252" s="13" t="str">
        <f>CONCATENATE("     ","Freight out/Postage                               ")</f>
        <v xml:space="preserve">     Freight out/Postage                               </v>
      </c>
      <c r="C252" s="13"/>
      <c r="D252" s="1">
        <f>SUM(OSRRefD22_10x_0)</f>
        <v>6098.75</v>
      </c>
      <c r="E252" s="1"/>
      <c r="F252" s="5">
        <f t="shared" si="76"/>
        <v>1.2048282979165673E-2</v>
      </c>
      <c r="G252" s="1"/>
      <c r="H252" s="1">
        <f>SUM(OSRRefH22_10x_0)</f>
        <v>1341.2900000000004</v>
      </c>
      <c r="I252" s="1"/>
      <c r="J252" s="5">
        <f t="shared" si="77"/>
        <v>5.0119759953668743E-4</v>
      </c>
      <c r="K252" s="1"/>
      <c r="L252" s="1">
        <f t="shared" si="78"/>
        <v>4757.4599999999991</v>
      </c>
      <c r="M252" s="1"/>
      <c r="N252" s="5">
        <f t="shared" si="79"/>
        <v>3.5469287029650545</v>
      </c>
      <c r="O252" s="13"/>
      <c r="P252" s="1">
        <f>SUM(OSRRefP22_10x_0)</f>
        <v>16444.720000000008</v>
      </c>
      <c r="Q252" s="1"/>
      <c r="R252" s="5">
        <f t="shared" si="80"/>
        <v>5.8626777477937609E-4</v>
      </c>
      <c r="S252" s="1"/>
      <c r="T252" s="1">
        <f>SUM(OSRRefT22_10x_0)</f>
        <v>-1916.9199999999983</v>
      </c>
      <c r="U252" s="1"/>
      <c r="V252" s="5">
        <f t="shared" si="81"/>
        <v>-5.4837144629741774E-5</v>
      </c>
      <c r="W252" s="1"/>
      <c r="X252" s="1">
        <f t="shared" si="82"/>
        <v>18361.640000000007</v>
      </c>
      <c r="Y252" s="1"/>
      <c r="Z252" s="5">
        <f t="shared" si="83"/>
        <v>-9.5787200300482152</v>
      </c>
    </row>
    <row r="253" spans="1:26" s="24" customFormat="1" hidden="1" outlineLevel="2" x14ac:dyDescent="0.25">
      <c r="A253" s="26"/>
      <c r="B253" s="11" t="str">
        <f>CONCATENATE("          ", "6305", " - ", "FREIGHT OUT")</f>
        <v xml:space="preserve">          6305 - FREIGHT OUT</v>
      </c>
      <c r="C253" s="11"/>
      <c r="D253" s="6">
        <v>7586</v>
      </c>
      <c r="E253" s="2"/>
      <c r="F253" s="7">
        <f t="shared" si="76"/>
        <v>1.4986394700545323E-2</v>
      </c>
      <c r="G253" s="2"/>
      <c r="H253" s="6">
        <v>3650.03</v>
      </c>
      <c r="I253" s="2"/>
      <c r="J253" s="7">
        <f t="shared" si="77"/>
        <v>1.3639006286760469E-3</v>
      </c>
      <c r="K253" s="2"/>
      <c r="L253" s="6">
        <f t="shared" si="78"/>
        <v>3935.97</v>
      </c>
      <c r="M253" s="2"/>
      <c r="N253" s="7">
        <f t="shared" si="79"/>
        <v>1.0783390821445302</v>
      </c>
      <c r="O253" s="11"/>
      <c r="P253" s="6">
        <v>70362.960000000006</v>
      </c>
      <c r="Q253" s="2"/>
      <c r="R253" s="7">
        <f t="shared" si="80"/>
        <v>2.508497316226134E-3</v>
      </c>
      <c r="S253" s="2"/>
      <c r="T253" s="6">
        <v>72042.14</v>
      </c>
      <c r="U253" s="2"/>
      <c r="V253" s="7">
        <f t="shared" si="81"/>
        <v>2.0609025158150099E-3</v>
      </c>
      <c r="W253" s="2"/>
      <c r="X253" s="6">
        <f t="shared" si="82"/>
        <v>-1679.179999999993</v>
      </c>
      <c r="Y253" s="2"/>
      <c r="Z253" s="7">
        <f t="shared" si="83"/>
        <v>-2.3308302612887306E-2</v>
      </c>
    </row>
    <row r="254" spans="1:26" s="24" customFormat="1" hidden="1" outlineLevel="2" x14ac:dyDescent="0.25">
      <c r="A254" s="26"/>
      <c r="B254" s="11" t="str">
        <f>CONCATENATE("          ", "6307", " - ", "POSTAGE")</f>
        <v xml:space="preserve">          6307 - POSTAGE</v>
      </c>
      <c r="C254" s="11"/>
      <c r="D254" s="6">
        <v>-1487.25</v>
      </c>
      <c r="E254" s="2"/>
      <c r="F254" s="7">
        <f t="shared" si="76"/>
        <v>-2.9381117213796511E-3</v>
      </c>
      <c r="G254" s="2"/>
      <c r="H254" s="6">
        <v>-2308.7399999999998</v>
      </c>
      <c r="I254" s="2"/>
      <c r="J254" s="7">
        <f t="shared" si="77"/>
        <v>-8.6270302913935937E-4</v>
      </c>
      <c r="K254" s="2"/>
      <c r="L254" s="6">
        <f t="shared" si="78"/>
        <v>821.48999999999978</v>
      </c>
      <c r="M254" s="2"/>
      <c r="N254" s="7">
        <f t="shared" si="79"/>
        <v>-0.35581745887367128</v>
      </c>
      <c r="O254" s="11"/>
      <c r="P254" s="6">
        <v>-53918.239999999998</v>
      </c>
      <c r="Q254" s="2"/>
      <c r="R254" s="7">
        <f t="shared" si="80"/>
        <v>-1.9222295414467578E-3</v>
      </c>
      <c r="S254" s="2"/>
      <c r="T254" s="6">
        <v>-73959.06</v>
      </c>
      <c r="U254" s="2"/>
      <c r="V254" s="7">
        <f t="shared" si="81"/>
        <v>-2.1157396604447516E-3</v>
      </c>
      <c r="W254" s="2"/>
      <c r="X254" s="6">
        <f t="shared" si="82"/>
        <v>20040.82</v>
      </c>
      <c r="Y254" s="2"/>
      <c r="Z254" s="7">
        <f t="shared" si="83"/>
        <v>-0.27097180521223502</v>
      </c>
    </row>
    <row r="255" spans="1:26" s="27" customFormat="1" outlineLevel="1" collapsed="1" x14ac:dyDescent="0.25">
      <c r="A255" s="25"/>
      <c r="B255" s="13" t="str">
        <f>CONCATENATE("     ","General                                           ")</f>
        <v xml:space="preserve">     General                                           </v>
      </c>
      <c r="C255" s="13"/>
      <c r="D255" s="1">
        <f>SUM(OSRRefD22_11x_0)</f>
        <v>-1159.01</v>
      </c>
      <c r="E255" s="1"/>
      <c r="F255" s="5">
        <f t="shared" ref="F255:F257" si="84">IF(D$12=0,0,D255/D$12)</f>
        <v>-2.2896627105034322E-3</v>
      </c>
      <c r="G255" s="1"/>
      <c r="H255" s="1">
        <f>SUM(OSRRefH22_11x_0)</f>
        <v>3002.52</v>
      </c>
      <c r="I255" s="1"/>
      <c r="J255" s="5">
        <f t="shared" ref="J255:J257" si="85">IF(H$12=0,0,H255/H$12)</f>
        <v>1.121946645811789E-3</v>
      </c>
      <c r="K255" s="1"/>
      <c r="L255" s="1">
        <f t="shared" ref="L255:L257" si="86">+D255-H255</f>
        <v>-4161.53</v>
      </c>
      <c r="M255" s="1"/>
      <c r="N255" s="5">
        <f t="shared" ref="N255:N257" si="87">IF(H255=0,0,L255/H255)</f>
        <v>-1.3860124162370275</v>
      </c>
      <c r="O255" s="13"/>
      <c r="P255" s="1">
        <f>SUM(OSRRefP22_11x_0)</f>
        <v>102064.31</v>
      </c>
      <c r="Q255" s="1"/>
      <c r="R255" s="5">
        <f t="shared" ref="R255:R257" si="88">IF(P$12=0,0,P255/P$12)</f>
        <v>3.6386764814537666E-3</v>
      </c>
      <c r="S255" s="1"/>
      <c r="T255" s="1">
        <f>SUM(OSRRefT22_11x_0)</f>
        <v>104945.58</v>
      </c>
      <c r="U255" s="1"/>
      <c r="V255" s="5">
        <f t="shared" ref="V255:V257" si="89">IF(T$12=0,0,T255/T$12)</f>
        <v>3.0021680345095991E-3</v>
      </c>
      <c r="W255" s="1"/>
      <c r="X255" s="1">
        <f t="shared" ref="X255:X257" si="90">+P255-T255</f>
        <v>-2881.2700000000041</v>
      </c>
      <c r="Y255" s="1"/>
      <c r="Z255" s="5">
        <f t="shared" ref="Z255:Z257" si="91">IF(T255=0,0,X255/T255)</f>
        <v>-2.7454896147126959E-2</v>
      </c>
    </row>
    <row r="256" spans="1:26" s="24" customFormat="1" hidden="1" outlineLevel="2" x14ac:dyDescent="0.25">
      <c r="A256" s="26"/>
      <c r="B256" s="11" t="str">
        <f>CONCATENATE("          ", "6269", " - ", "ENTERTAINMENT")</f>
        <v xml:space="preserve">          6269 - ENTERTAINMENT</v>
      </c>
      <c r="C256" s="11"/>
      <c r="D256" s="6"/>
      <c r="E256" s="2"/>
      <c r="F256" s="7">
        <f t="shared" si="84"/>
        <v>0</v>
      </c>
      <c r="G256" s="2"/>
      <c r="H256" s="6">
        <v>164.27</v>
      </c>
      <c r="I256" s="2"/>
      <c r="J256" s="7">
        <f t="shared" si="85"/>
        <v>6.1382497204848788E-5</v>
      </c>
      <c r="K256" s="2"/>
      <c r="L256" s="6">
        <f t="shared" si="86"/>
        <v>-164.27</v>
      </c>
      <c r="M256" s="2"/>
      <c r="N256" s="7">
        <f t="shared" si="87"/>
        <v>-1</v>
      </c>
      <c r="O256" s="11"/>
      <c r="P256" s="6">
        <v>10050</v>
      </c>
      <c r="Q256" s="2"/>
      <c r="R256" s="7">
        <f t="shared" si="88"/>
        <v>3.5829075451164423E-4</v>
      </c>
      <c r="S256" s="2"/>
      <c r="T256" s="6">
        <v>10824.27</v>
      </c>
      <c r="U256" s="2"/>
      <c r="V256" s="7">
        <f t="shared" si="89"/>
        <v>3.0964884267542492E-4</v>
      </c>
      <c r="W256" s="2"/>
      <c r="X256" s="6">
        <f t="shared" si="90"/>
        <v>-774.27000000000044</v>
      </c>
      <c r="Y256" s="2"/>
      <c r="Z256" s="7">
        <f t="shared" si="91"/>
        <v>-7.1530920791887151E-2</v>
      </c>
    </row>
    <row r="257" spans="1:26" s="24" customFormat="1" hidden="1" outlineLevel="2" x14ac:dyDescent="0.25">
      <c r="A257" s="26"/>
      <c r="B257" s="11" t="str">
        <f>CONCATENATE("          ", "6279", " - ", "GENERAL EXPENSE")</f>
        <v xml:space="preserve">          6279 - GENERAL EXPENSE</v>
      </c>
      <c r="C257" s="11"/>
      <c r="D257" s="6">
        <v>-1159.01</v>
      </c>
      <c r="E257" s="2"/>
      <c r="F257" s="7">
        <f t="shared" si="84"/>
        <v>-2.2896627105034322E-3</v>
      </c>
      <c r="G257" s="2"/>
      <c r="H257" s="6">
        <v>2838.25</v>
      </c>
      <c r="I257" s="2"/>
      <c r="J257" s="7">
        <f t="shared" si="85"/>
        <v>1.0605641486069401E-3</v>
      </c>
      <c r="K257" s="2"/>
      <c r="L257" s="6">
        <f t="shared" si="86"/>
        <v>-3997.26</v>
      </c>
      <c r="M257" s="2"/>
      <c r="N257" s="7">
        <f t="shared" si="87"/>
        <v>-1.4083537390997976</v>
      </c>
      <c r="O257" s="11"/>
      <c r="P257" s="6">
        <v>92014.31</v>
      </c>
      <c r="Q257" s="2"/>
      <c r="R257" s="7">
        <f t="shared" si="88"/>
        <v>3.2803857269421222E-3</v>
      </c>
      <c r="S257" s="2"/>
      <c r="T257" s="6">
        <v>94121.31</v>
      </c>
      <c r="U257" s="2"/>
      <c r="V257" s="7">
        <f t="shared" si="89"/>
        <v>2.6925191918341744E-3</v>
      </c>
      <c r="W257" s="2"/>
      <c r="X257" s="6">
        <f t="shared" si="90"/>
        <v>-2107</v>
      </c>
      <c r="Y257" s="2"/>
      <c r="Z257" s="7">
        <f t="shared" si="91"/>
        <v>-2.2386003764715983E-2</v>
      </c>
    </row>
    <row r="258" spans="1:26" s="27" customFormat="1" outlineLevel="1" collapsed="1" x14ac:dyDescent="0.25">
      <c r="A258" s="25"/>
      <c r="B258" s="13" t="str">
        <f>CONCATENATE("     ","Insurance                                         ")</f>
        <v xml:space="preserve">     Insurance                                         </v>
      </c>
      <c r="C258" s="13"/>
      <c r="D258" s="1">
        <f>SUM(OSRRefD22_12x_0)</f>
        <v>8563.32</v>
      </c>
      <c r="E258" s="1"/>
      <c r="F258" s="5">
        <f t="shared" ref="F258:F274" si="92">IF(D$12=0,0,D258/D$12)</f>
        <v>1.6917122787644841E-2</v>
      </c>
      <c r="G258" s="1"/>
      <c r="H258" s="1">
        <f>SUM(OSRRefH22_12x_0)</f>
        <v>8064.85</v>
      </c>
      <c r="I258" s="1"/>
      <c r="J258" s="5">
        <f t="shared" ref="J258:J274" si="93">IF(H$12=0,0,H258/H$12)</f>
        <v>3.0135790624126421E-3</v>
      </c>
      <c r="K258" s="1"/>
      <c r="L258" s="1">
        <f t="shared" ref="L258:L274" si="94">+D258-H258</f>
        <v>498.46999999999935</v>
      </c>
      <c r="M258" s="1"/>
      <c r="N258" s="5">
        <f t="shared" ref="N258:N274" si="95">IF(H258=0,0,L258/H258)</f>
        <v>6.180772116034388E-2</v>
      </c>
      <c r="O258" s="13"/>
      <c r="P258" s="1">
        <f>SUM(OSRRefP22_12x_0)</f>
        <v>99957.52</v>
      </c>
      <c r="Q258" s="1"/>
      <c r="R258" s="5">
        <f t="shared" ref="R258:R274" si="96">IF(P$12=0,0,P258/P$12)</f>
        <v>3.5635676875535095E-3</v>
      </c>
      <c r="S258" s="1"/>
      <c r="T258" s="1">
        <f>SUM(OSRRefT22_12x_0)</f>
        <v>78951.11</v>
      </c>
      <c r="U258" s="1"/>
      <c r="V258" s="5">
        <f t="shared" ref="V258:V274" si="97">IF(T$12=0,0,T258/T$12)</f>
        <v>2.2585467509070051E-3</v>
      </c>
      <c r="W258" s="1"/>
      <c r="X258" s="1">
        <f t="shared" ref="X258:X274" si="98">+P258-T258</f>
        <v>21006.410000000003</v>
      </c>
      <c r="Y258" s="1"/>
      <c r="Z258" s="5">
        <f t="shared" ref="Z258:Z274" si="99">IF(T258=0,0,X258/T258)</f>
        <v>0.2660685834562681</v>
      </c>
    </row>
    <row r="259" spans="1:26" s="24" customFormat="1" hidden="1" outlineLevel="2" x14ac:dyDescent="0.25">
      <c r="A259" s="26"/>
      <c r="B259" s="11" t="str">
        <f>CONCATENATE("          ", "6314", " - ", "LIABILITY INSURANCE")</f>
        <v xml:space="preserve">          6314 - LIABILITY INSURANCE</v>
      </c>
      <c r="C259" s="11"/>
      <c r="D259" s="6">
        <v>8563.32</v>
      </c>
      <c r="E259" s="2"/>
      <c r="F259" s="7">
        <f t="shared" si="92"/>
        <v>1.6917122787644841E-2</v>
      </c>
      <c r="G259" s="2"/>
      <c r="H259" s="6">
        <v>8064.85</v>
      </c>
      <c r="I259" s="2"/>
      <c r="J259" s="7">
        <f t="shared" si="93"/>
        <v>3.0135790624126421E-3</v>
      </c>
      <c r="K259" s="2"/>
      <c r="L259" s="6">
        <f t="shared" si="94"/>
        <v>498.46999999999935</v>
      </c>
      <c r="M259" s="2"/>
      <c r="N259" s="7">
        <f t="shared" si="95"/>
        <v>6.180772116034388E-2</v>
      </c>
      <c r="O259" s="11"/>
      <c r="P259" s="6">
        <v>99957.52</v>
      </c>
      <c r="Q259" s="2"/>
      <c r="R259" s="7">
        <f t="shared" si="96"/>
        <v>3.5635676875535095E-3</v>
      </c>
      <c r="S259" s="2"/>
      <c r="T259" s="6">
        <v>78951.11</v>
      </c>
      <c r="U259" s="2"/>
      <c r="V259" s="7">
        <f t="shared" si="97"/>
        <v>2.2585467509070051E-3</v>
      </c>
      <c r="W259" s="2"/>
      <c r="X259" s="6">
        <f t="shared" si="98"/>
        <v>21006.410000000003</v>
      </c>
      <c r="Y259" s="2"/>
      <c r="Z259" s="7">
        <f t="shared" si="99"/>
        <v>0.2660685834562681</v>
      </c>
    </row>
    <row r="260" spans="1:26" s="27" customFormat="1" outlineLevel="1" collapsed="1" x14ac:dyDescent="0.25">
      <c r="A260" s="25"/>
      <c r="B260" s="13" t="str">
        <f>CONCATENATE("     ","Interest                                          ")</f>
        <v xml:space="preserve">     Interest                                          </v>
      </c>
      <c r="C260" s="13"/>
      <c r="D260" s="1">
        <f>SUM(OSRRefD22_13x_0)</f>
        <v>11929</v>
      </c>
      <c r="E260" s="1"/>
      <c r="F260" s="5">
        <f t="shared" si="92"/>
        <v>2.3566135299605214E-2</v>
      </c>
      <c r="G260" s="1"/>
      <c r="H260" s="1">
        <f>SUM(OSRRefH22_13x_0)</f>
        <v>12229</v>
      </c>
      <c r="I260" s="1"/>
      <c r="J260" s="5">
        <f t="shared" si="93"/>
        <v>4.5695900548980081E-3</v>
      </c>
      <c r="K260" s="1"/>
      <c r="L260" s="1">
        <f t="shared" si="94"/>
        <v>-300</v>
      </c>
      <c r="M260" s="1"/>
      <c r="N260" s="5">
        <f t="shared" si="95"/>
        <v>-2.4531850519257502E-2</v>
      </c>
      <c r="O260" s="13"/>
      <c r="P260" s="1">
        <f>SUM(OSRRefP22_13x_0)</f>
        <v>127619.05000000002</v>
      </c>
      <c r="Q260" s="1"/>
      <c r="R260" s="5">
        <f t="shared" si="96"/>
        <v>4.5497239516974382E-3</v>
      </c>
      <c r="S260" s="1"/>
      <c r="T260" s="1">
        <f>SUM(OSRRefT22_13x_0)</f>
        <v>132105</v>
      </c>
      <c r="U260" s="1"/>
      <c r="V260" s="5">
        <f t="shared" si="97"/>
        <v>3.7791149298416439E-3</v>
      </c>
      <c r="W260" s="1"/>
      <c r="X260" s="1">
        <f t="shared" si="98"/>
        <v>-4485.9499999999825</v>
      </c>
      <c r="Y260" s="1"/>
      <c r="Z260" s="5">
        <f t="shared" si="99"/>
        <v>-3.3957458082585691E-2</v>
      </c>
    </row>
    <row r="261" spans="1:26" s="24" customFormat="1" hidden="1" outlineLevel="2" x14ac:dyDescent="0.25">
      <c r="A261" s="26"/>
      <c r="B261" s="11" t="str">
        <f>CONCATENATE("          ", "6401", " - ", "INTEREST EXPENSE")</f>
        <v xml:space="preserve">          6401 - INTEREST EXPENSE</v>
      </c>
      <c r="C261" s="11"/>
      <c r="D261" s="6">
        <v>11929</v>
      </c>
      <c r="E261" s="2"/>
      <c r="F261" s="7">
        <f t="shared" si="92"/>
        <v>2.3566135299605214E-2</v>
      </c>
      <c r="G261" s="2"/>
      <c r="H261" s="6">
        <v>12229</v>
      </c>
      <c r="I261" s="2"/>
      <c r="J261" s="7">
        <f t="shared" si="93"/>
        <v>4.5695900548980081E-3</v>
      </c>
      <c r="K261" s="2"/>
      <c r="L261" s="6">
        <f t="shared" si="94"/>
        <v>-300</v>
      </c>
      <c r="M261" s="2"/>
      <c r="N261" s="7">
        <f t="shared" si="95"/>
        <v>-2.4531850519257502E-2</v>
      </c>
      <c r="O261" s="11"/>
      <c r="P261" s="6">
        <v>127619.05000000002</v>
      </c>
      <c r="Q261" s="2"/>
      <c r="R261" s="7">
        <f t="shared" si="96"/>
        <v>4.5497239516974382E-3</v>
      </c>
      <c r="S261" s="2"/>
      <c r="T261" s="6">
        <v>132105</v>
      </c>
      <c r="U261" s="2"/>
      <c r="V261" s="7">
        <f t="shared" si="97"/>
        <v>3.7791149298416439E-3</v>
      </c>
      <c r="W261" s="2"/>
      <c r="X261" s="6">
        <f t="shared" si="98"/>
        <v>-4485.9499999999825</v>
      </c>
      <c r="Y261" s="2"/>
      <c r="Z261" s="7">
        <f t="shared" si="99"/>
        <v>-3.3957458082585691E-2</v>
      </c>
    </row>
    <row r="262" spans="1:26" s="27" customFormat="1" outlineLevel="1" collapsed="1" x14ac:dyDescent="0.25">
      <c r="A262" s="25"/>
      <c r="B262" s="13" t="str">
        <f>CONCATENATE("     ","Inventory Adjustment                              ")</f>
        <v xml:space="preserve">     Inventory Adjustment                              </v>
      </c>
      <c r="C262" s="13"/>
      <c r="D262" s="1">
        <f>SUM(OSRRefD22_14x_0)</f>
        <v>4550</v>
      </c>
      <c r="E262" s="1"/>
      <c r="F262" s="5">
        <f t="shared" si="92"/>
        <v>8.9886759672398123E-3</v>
      </c>
      <c r="G262" s="1"/>
      <c r="H262" s="1">
        <f>SUM(OSRRefH22_14x_0)</f>
        <v>10300</v>
      </c>
      <c r="I262" s="1"/>
      <c r="J262" s="5">
        <f t="shared" si="93"/>
        <v>3.8487838388624974E-3</v>
      </c>
      <c r="K262" s="1"/>
      <c r="L262" s="1">
        <f t="shared" si="94"/>
        <v>-5750</v>
      </c>
      <c r="M262" s="1"/>
      <c r="N262" s="5">
        <f t="shared" si="95"/>
        <v>-0.55825242718446599</v>
      </c>
      <c r="O262" s="13"/>
      <c r="P262" s="1">
        <f>SUM(OSRRefP22_14x_0)</f>
        <v>53350</v>
      </c>
      <c r="Q262" s="1"/>
      <c r="R262" s="5">
        <f t="shared" si="96"/>
        <v>1.9019713187259921E-3</v>
      </c>
      <c r="S262" s="1"/>
      <c r="T262" s="1">
        <f>SUM(OSRRefT22_14x_0)</f>
        <v>110900</v>
      </c>
      <c r="U262" s="1"/>
      <c r="V262" s="5">
        <f t="shared" si="97"/>
        <v>3.1725055502777205E-3</v>
      </c>
      <c r="W262" s="1"/>
      <c r="X262" s="1">
        <f t="shared" si="98"/>
        <v>-57550</v>
      </c>
      <c r="Y262" s="1"/>
      <c r="Z262" s="5">
        <f t="shared" si="99"/>
        <v>-0.51893597835888183</v>
      </c>
    </row>
    <row r="263" spans="1:26" s="24" customFormat="1" hidden="1" outlineLevel="2" x14ac:dyDescent="0.25">
      <c r="A263" s="26"/>
      <c r="B263" s="11" t="str">
        <f>CONCATENATE("          ", "6408", " - ", "INVENTORY ADJUSTMENT")</f>
        <v xml:space="preserve">          6408 - INVENTORY ADJUSTMENT</v>
      </c>
      <c r="C263" s="11"/>
      <c r="D263" s="6">
        <v>4550</v>
      </c>
      <c r="E263" s="2"/>
      <c r="F263" s="7">
        <f t="shared" si="92"/>
        <v>8.9886759672398123E-3</v>
      </c>
      <c r="G263" s="2"/>
      <c r="H263" s="6">
        <v>10300</v>
      </c>
      <c r="I263" s="2"/>
      <c r="J263" s="7">
        <f t="shared" si="93"/>
        <v>3.8487838388624974E-3</v>
      </c>
      <c r="K263" s="2"/>
      <c r="L263" s="6">
        <f t="shared" si="94"/>
        <v>-5750</v>
      </c>
      <c r="M263" s="2"/>
      <c r="N263" s="7">
        <f t="shared" si="95"/>
        <v>-0.55825242718446599</v>
      </c>
      <c r="O263" s="11"/>
      <c r="P263" s="6">
        <v>53350</v>
      </c>
      <c r="Q263" s="2"/>
      <c r="R263" s="7">
        <f t="shared" si="96"/>
        <v>1.9019713187259921E-3</v>
      </c>
      <c r="S263" s="2"/>
      <c r="T263" s="6">
        <v>110900</v>
      </c>
      <c r="U263" s="2"/>
      <c r="V263" s="7">
        <f t="shared" si="97"/>
        <v>3.1725055502777205E-3</v>
      </c>
      <c r="W263" s="2"/>
      <c r="X263" s="6">
        <f t="shared" si="98"/>
        <v>-57550</v>
      </c>
      <c r="Y263" s="2"/>
      <c r="Z263" s="7">
        <f t="shared" si="99"/>
        <v>-0.51893597835888183</v>
      </c>
    </row>
    <row r="264" spans="1:26" s="27" customFormat="1" outlineLevel="1" collapsed="1" x14ac:dyDescent="0.25">
      <c r="A264" s="25"/>
      <c r="B264" s="13" t="str">
        <f>CONCATENATE("     ","Professional Services                             ")</f>
        <v xml:space="preserve">     Professional Services                             </v>
      </c>
      <c r="C264" s="13"/>
      <c r="D264" s="1">
        <f>SUM(OSRRefD22_15x_0)</f>
        <v>0</v>
      </c>
      <c r="E264" s="1"/>
      <c r="F264" s="5">
        <f t="shared" si="92"/>
        <v>0</v>
      </c>
      <c r="G264" s="1"/>
      <c r="H264" s="1">
        <f>SUM(OSRRefH22_15x_0)</f>
        <v>0</v>
      </c>
      <c r="I264" s="1"/>
      <c r="J264" s="5">
        <f t="shared" si="93"/>
        <v>0</v>
      </c>
      <c r="K264" s="1"/>
      <c r="L264" s="1">
        <f t="shared" si="94"/>
        <v>0</v>
      </c>
      <c r="M264" s="1"/>
      <c r="N264" s="5">
        <f t="shared" si="95"/>
        <v>0</v>
      </c>
      <c r="O264" s="13"/>
      <c r="P264" s="1">
        <f>SUM(OSRRefP22_15x_0)</f>
        <v>9254.56</v>
      </c>
      <c r="Q264" s="1"/>
      <c r="R264" s="5">
        <f t="shared" si="96"/>
        <v>3.2993266518142108E-4</v>
      </c>
      <c r="S264" s="1"/>
      <c r="T264" s="1">
        <f>SUM(OSRRefT22_15x_0)</f>
        <v>9956.43</v>
      </c>
      <c r="U264" s="1"/>
      <c r="V264" s="5">
        <f t="shared" si="97"/>
        <v>2.8482262791660603E-4</v>
      </c>
      <c r="W264" s="1"/>
      <c r="X264" s="1">
        <f t="shared" si="98"/>
        <v>-701.8700000000008</v>
      </c>
      <c r="Y264" s="1"/>
      <c r="Z264" s="5">
        <f t="shared" si="99"/>
        <v>-7.049414298096815E-2</v>
      </c>
    </row>
    <row r="265" spans="1:26" s="24" customFormat="1" hidden="1" outlineLevel="2" x14ac:dyDescent="0.25">
      <c r="A265" s="26"/>
      <c r="B265" s="11" t="str">
        <f>CONCATENATE("          ", "6336", " - ", "PROFESSIONAL SERVICES")</f>
        <v xml:space="preserve">          6336 - PROFESSIONAL SERVICES</v>
      </c>
      <c r="C265" s="11"/>
      <c r="D265" s="6"/>
      <c r="E265" s="2"/>
      <c r="F265" s="7">
        <f t="shared" si="92"/>
        <v>0</v>
      </c>
      <c r="G265" s="2"/>
      <c r="H265" s="6"/>
      <c r="I265" s="2"/>
      <c r="J265" s="7">
        <f t="shared" si="93"/>
        <v>0</v>
      </c>
      <c r="K265" s="2"/>
      <c r="L265" s="6">
        <f t="shared" si="94"/>
        <v>0</v>
      </c>
      <c r="M265" s="2"/>
      <c r="N265" s="7">
        <f t="shared" si="95"/>
        <v>0</v>
      </c>
      <c r="O265" s="11"/>
      <c r="P265" s="6">
        <v>9254.56</v>
      </c>
      <c r="Q265" s="2"/>
      <c r="R265" s="7">
        <f t="shared" si="96"/>
        <v>3.2993266518142108E-4</v>
      </c>
      <c r="S265" s="2"/>
      <c r="T265" s="6">
        <v>9956.43</v>
      </c>
      <c r="U265" s="2"/>
      <c r="V265" s="7">
        <f t="shared" si="97"/>
        <v>2.8482262791660603E-4</v>
      </c>
      <c r="W265" s="2"/>
      <c r="X265" s="6">
        <f t="shared" si="98"/>
        <v>-701.8700000000008</v>
      </c>
      <c r="Y265" s="2"/>
      <c r="Z265" s="7">
        <f t="shared" si="99"/>
        <v>-7.049414298096815E-2</v>
      </c>
    </row>
    <row r="266" spans="1:26" s="27" customFormat="1" outlineLevel="1" collapsed="1" x14ac:dyDescent="0.25">
      <c r="A266" s="25"/>
      <c r="B266" s="13" t="str">
        <f>CONCATENATE("     ","R/H Commissions                                   ")</f>
        <v xml:space="preserve">     R/H Commissions                                   </v>
      </c>
      <c r="C266" s="13"/>
      <c r="D266" s="1">
        <f>SUM(OSRRefD22_16x_0)</f>
        <v>8698.56</v>
      </c>
      <c r="E266" s="1"/>
      <c r="F266" s="5">
        <f t="shared" si="92"/>
        <v>1.7184293894855724E-2</v>
      </c>
      <c r="G266" s="1"/>
      <c r="H266" s="1">
        <f>SUM(OSRRefH22_16x_0)</f>
        <v>52274.400000000001</v>
      </c>
      <c r="I266" s="1"/>
      <c r="J266" s="5">
        <f t="shared" si="93"/>
        <v>1.953328795206153E-2</v>
      </c>
      <c r="K266" s="1"/>
      <c r="L266" s="1">
        <f t="shared" si="94"/>
        <v>-43575.840000000004</v>
      </c>
      <c r="M266" s="1"/>
      <c r="N266" s="5">
        <f t="shared" si="95"/>
        <v>-0.83359809007850882</v>
      </c>
      <c r="O266" s="13"/>
      <c r="P266" s="1">
        <f>SUM(OSRRefP22_16x_0)</f>
        <v>714561.85000000009</v>
      </c>
      <c r="Q266" s="1"/>
      <c r="R266" s="5">
        <f t="shared" si="96"/>
        <v>2.5474716853904119E-2</v>
      </c>
      <c r="S266" s="1"/>
      <c r="T266" s="1">
        <f>SUM(OSRRefT22_16x_0)</f>
        <v>841273.8</v>
      </c>
      <c r="U266" s="1"/>
      <c r="V266" s="5">
        <f t="shared" si="97"/>
        <v>2.406623805052506E-2</v>
      </c>
      <c r="W266" s="1"/>
      <c r="X266" s="1">
        <f t="shared" si="98"/>
        <v>-126711.94999999995</v>
      </c>
      <c r="Y266" s="1"/>
      <c r="Z266" s="5">
        <f t="shared" si="99"/>
        <v>-0.15061915633174353</v>
      </c>
    </row>
    <row r="267" spans="1:26" s="24" customFormat="1" hidden="1" outlineLevel="2" x14ac:dyDescent="0.25">
      <c r="A267" s="26"/>
      <c r="B267" s="11" t="str">
        <f>CONCATENATE("          ", "6387", " - ", "COMMISSION DUE HOUSING")</f>
        <v xml:space="preserve">          6387 - COMMISSION DUE HOUSING</v>
      </c>
      <c r="C267" s="11"/>
      <c r="D267" s="6">
        <v>8698.56</v>
      </c>
      <c r="E267" s="2"/>
      <c r="F267" s="7">
        <f t="shared" si="92"/>
        <v>1.7184293894855724E-2</v>
      </c>
      <c r="G267" s="2"/>
      <c r="H267" s="6">
        <v>52274.400000000001</v>
      </c>
      <c r="I267" s="2"/>
      <c r="J267" s="7">
        <f t="shared" si="93"/>
        <v>1.953328795206153E-2</v>
      </c>
      <c r="K267" s="2"/>
      <c r="L267" s="6">
        <f t="shared" si="94"/>
        <v>-43575.840000000004</v>
      </c>
      <c r="M267" s="2"/>
      <c r="N267" s="7">
        <f t="shared" si="95"/>
        <v>-0.83359809007850882</v>
      </c>
      <c r="O267" s="11"/>
      <c r="P267" s="6">
        <v>714561.85000000009</v>
      </c>
      <c r="Q267" s="2"/>
      <c r="R267" s="7">
        <f t="shared" si="96"/>
        <v>2.5474716853904119E-2</v>
      </c>
      <c r="S267" s="2"/>
      <c r="T267" s="6">
        <v>841273.8</v>
      </c>
      <c r="U267" s="2"/>
      <c r="V267" s="7">
        <f t="shared" si="97"/>
        <v>2.406623805052506E-2</v>
      </c>
      <c r="W267" s="2"/>
      <c r="X267" s="6">
        <f t="shared" si="98"/>
        <v>-126711.94999999995</v>
      </c>
      <c r="Y267" s="2"/>
      <c r="Z267" s="7">
        <f t="shared" si="99"/>
        <v>-0.15061915633174353</v>
      </c>
    </row>
    <row r="268" spans="1:26" s="27" customFormat="1" outlineLevel="1" collapsed="1" x14ac:dyDescent="0.25">
      <c r="A268" s="25"/>
      <c r="B268" s="13" t="str">
        <f>CONCATENATE("     ","Rent                                              ")</f>
        <v xml:space="preserve">     Rent                                              </v>
      </c>
      <c r="C268" s="13"/>
      <c r="D268" s="1">
        <f>SUM(OSRRefD22_17x_0)</f>
        <v>9900</v>
      </c>
      <c r="E268" s="1"/>
      <c r="F268" s="5">
        <f t="shared" si="92"/>
        <v>1.9557778478170144E-2</v>
      </c>
      <c r="G268" s="1"/>
      <c r="H268" s="1">
        <f>SUM(OSRRefH22_17x_0)</f>
        <v>9900</v>
      </c>
      <c r="I268" s="1"/>
      <c r="J268" s="5">
        <f t="shared" si="93"/>
        <v>3.6993165053144394E-3</v>
      </c>
      <c r="K268" s="1"/>
      <c r="L268" s="1">
        <f t="shared" si="94"/>
        <v>0</v>
      </c>
      <c r="M268" s="1"/>
      <c r="N268" s="5">
        <f t="shared" si="95"/>
        <v>0</v>
      </c>
      <c r="O268" s="13"/>
      <c r="P268" s="1">
        <f>SUM(OSRRefP22_17x_0)</f>
        <v>108900</v>
      </c>
      <c r="Q268" s="1"/>
      <c r="R268" s="5">
        <f t="shared" si="96"/>
        <v>3.8823744444097569E-3</v>
      </c>
      <c r="S268" s="1"/>
      <c r="T268" s="1">
        <f>SUM(OSRRefT22_17x_0)</f>
        <v>109001.08</v>
      </c>
      <c r="U268" s="1"/>
      <c r="V268" s="5">
        <f t="shared" si="97"/>
        <v>3.118183329903209E-3</v>
      </c>
      <c r="W268" s="1"/>
      <c r="X268" s="1">
        <f t="shared" si="98"/>
        <v>-101.08000000000175</v>
      </c>
      <c r="Y268" s="1"/>
      <c r="Z268" s="5">
        <f t="shared" si="99"/>
        <v>-9.2733026131485807E-4</v>
      </c>
    </row>
    <row r="269" spans="1:26" s="24" customFormat="1" hidden="1" outlineLevel="2" x14ac:dyDescent="0.25">
      <c r="A269" s="26"/>
      <c r="B269" s="11" t="str">
        <f>CONCATENATE("          ", "6273", " - ", "RENT")</f>
        <v xml:space="preserve">          6273 - RENT</v>
      </c>
      <c r="C269" s="11"/>
      <c r="D269" s="6">
        <v>9900</v>
      </c>
      <c r="E269" s="2"/>
      <c r="F269" s="7">
        <f t="shared" si="92"/>
        <v>1.9557778478170144E-2</v>
      </c>
      <c r="G269" s="2"/>
      <c r="H269" s="6">
        <v>9900</v>
      </c>
      <c r="I269" s="2"/>
      <c r="J269" s="7">
        <f t="shared" si="93"/>
        <v>3.6993165053144394E-3</v>
      </c>
      <c r="K269" s="2"/>
      <c r="L269" s="6">
        <f t="shared" si="94"/>
        <v>0</v>
      </c>
      <c r="M269" s="2"/>
      <c r="N269" s="7">
        <f t="shared" si="95"/>
        <v>0</v>
      </c>
      <c r="O269" s="11"/>
      <c r="P269" s="6">
        <v>108900</v>
      </c>
      <c r="Q269" s="2"/>
      <c r="R269" s="7">
        <f t="shared" si="96"/>
        <v>3.8823744444097569E-3</v>
      </c>
      <c r="S269" s="2"/>
      <c r="T269" s="6">
        <v>109001.08</v>
      </c>
      <c r="U269" s="2"/>
      <c r="V269" s="7">
        <f t="shared" si="97"/>
        <v>3.118183329903209E-3</v>
      </c>
      <c r="W269" s="2"/>
      <c r="X269" s="6">
        <f t="shared" si="98"/>
        <v>-101.08000000000175</v>
      </c>
      <c r="Y269" s="2"/>
      <c r="Z269" s="7">
        <f t="shared" si="99"/>
        <v>-9.2733026131485807E-4</v>
      </c>
    </row>
    <row r="270" spans="1:26" s="27" customFormat="1" outlineLevel="1" collapsed="1" x14ac:dyDescent="0.25">
      <c r="A270" s="25"/>
      <c r="B270" s="13" t="str">
        <f>CONCATENATE("     ","Repair and Maintenance                            ")</f>
        <v xml:space="preserve">     Repair and Maintenance                            </v>
      </c>
      <c r="C270" s="13"/>
      <c r="D270" s="1">
        <f>SUM(OSRRefD22_18x_0)</f>
        <v>13186.75</v>
      </c>
      <c r="E270" s="1"/>
      <c r="F270" s="5">
        <f t="shared" si="92"/>
        <v>2.6050862156263649E-2</v>
      </c>
      <c r="G270" s="1"/>
      <c r="H270" s="1">
        <f>SUM(OSRRefH22_18x_0)</f>
        <v>83025.859999999986</v>
      </c>
      <c r="I270" s="1"/>
      <c r="J270" s="5">
        <f t="shared" si="93"/>
        <v>3.1024134774335944E-2</v>
      </c>
      <c r="K270" s="1"/>
      <c r="L270" s="1">
        <f t="shared" si="94"/>
        <v>-69839.109999999986</v>
      </c>
      <c r="M270" s="1"/>
      <c r="N270" s="5">
        <f t="shared" si="95"/>
        <v>-0.84117297911759059</v>
      </c>
      <c r="O270" s="13"/>
      <c r="P270" s="1">
        <f>SUM(OSRRefP22_18x_0)</f>
        <v>561189.75</v>
      </c>
      <c r="Q270" s="1"/>
      <c r="R270" s="5">
        <f t="shared" si="96"/>
        <v>2.0006875517582189E-2</v>
      </c>
      <c r="S270" s="1"/>
      <c r="T270" s="1">
        <f>SUM(OSRRefT22_18x_0)</f>
        <v>649174.02</v>
      </c>
      <c r="U270" s="1"/>
      <c r="V270" s="5">
        <f t="shared" si="97"/>
        <v>1.8570858264617674E-2</v>
      </c>
      <c r="W270" s="1"/>
      <c r="X270" s="1">
        <f t="shared" si="98"/>
        <v>-87984.270000000019</v>
      </c>
      <c r="Y270" s="1"/>
      <c r="Z270" s="5">
        <f t="shared" si="99"/>
        <v>-0.13553264192550407</v>
      </c>
    </row>
    <row r="271" spans="1:26" s="24" customFormat="1" hidden="1" outlineLevel="2" x14ac:dyDescent="0.25">
      <c r="A271" s="26"/>
      <c r="B271" s="11" t="str">
        <f>CONCATENATE("          ", "6371", " - ", "COMPUTER SOFTWARE MAINTENANCE")</f>
        <v xml:space="preserve">          6371 - COMPUTER SOFTWARE MAINTENANCE</v>
      </c>
      <c r="C271" s="11"/>
      <c r="D271" s="6"/>
      <c r="E271" s="2"/>
      <c r="F271" s="7">
        <f t="shared" si="92"/>
        <v>0</v>
      </c>
      <c r="G271" s="2"/>
      <c r="H271" s="6">
        <v>53474</v>
      </c>
      <c r="I271" s="2"/>
      <c r="J271" s="7">
        <f t="shared" si="93"/>
        <v>1.9981540485372155E-2</v>
      </c>
      <c r="K271" s="2"/>
      <c r="L271" s="6">
        <f t="shared" si="94"/>
        <v>-53474</v>
      </c>
      <c r="M271" s="2"/>
      <c r="N271" s="7">
        <f t="shared" si="95"/>
        <v>-1</v>
      </c>
      <c r="O271" s="11"/>
      <c r="P271" s="6">
        <v>92162.36</v>
      </c>
      <c r="Q271" s="2"/>
      <c r="R271" s="7">
        <f t="shared" si="96"/>
        <v>3.2856638310421672E-3</v>
      </c>
      <c r="S271" s="2"/>
      <c r="T271" s="6">
        <v>127932.04</v>
      </c>
      <c r="U271" s="2"/>
      <c r="V271" s="7">
        <f t="shared" si="97"/>
        <v>3.6597394676136279E-3</v>
      </c>
      <c r="W271" s="2"/>
      <c r="X271" s="6">
        <f t="shared" si="98"/>
        <v>-35769.679999999993</v>
      </c>
      <c r="Y271" s="2"/>
      <c r="Z271" s="7">
        <f t="shared" si="99"/>
        <v>-0.27959907463368827</v>
      </c>
    </row>
    <row r="272" spans="1:26" s="24" customFormat="1" hidden="1" outlineLevel="2" x14ac:dyDescent="0.25">
      <c r="A272" s="26"/>
      <c r="B272" s="11" t="str">
        <f>CONCATENATE("          ", "6372", " - ", "COMPUTER HARDWARE MAINTENANCE")</f>
        <v xml:space="preserve">          6372 - COMPUTER HARDWARE MAINTENANCE</v>
      </c>
      <c r="C272" s="11"/>
      <c r="D272" s="6"/>
      <c r="E272" s="2"/>
      <c r="F272" s="7">
        <f t="shared" si="92"/>
        <v>0</v>
      </c>
      <c r="G272" s="2"/>
      <c r="H272" s="6"/>
      <c r="I272" s="2"/>
      <c r="J272" s="7">
        <f t="shared" si="93"/>
        <v>0</v>
      </c>
      <c r="K272" s="2"/>
      <c r="L272" s="6">
        <f t="shared" si="94"/>
        <v>0</v>
      </c>
      <c r="M272" s="2"/>
      <c r="N272" s="7">
        <f t="shared" si="95"/>
        <v>0</v>
      </c>
      <c r="O272" s="11"/>
      <c r="P272" s="6">
        <v>8195.19</v>
      </c>
      <c r="Q272" s="2"/>
      <c r="R272" s="7">
        <f t="shared" si="96"/>
        <v>2.9216525457375942E-4</v>
      </c>
      <c r="S272" s="2"/>
      <c r="T272" s="6">
        <v>932.75</v>
      </c>
      <c r="U272" s="2"/>
      <c r="V272" s="7">
        <f t="shared" si="97"/>
        <v>2.6683088836984164E-5</v>
      </c>
      <c r="W272" s="2"/>
      <c r="X272" s="6">
        <f t="shared" si="98"/>
        <v>7262.4400000000005</v>
      </c>
      <c r="Y272" s="2"/>
      <c r="Z272" s="7">
        <f t="shared" si="99"/>
        <v>7.786051996783705</v>
      </c>
    </row>
    <row r="273" spans="1:26" s="24" customFormat="1" hidden="1" outlineLevel="2" x14ac:dyDescent="0.25">
      <c r="A273" s="26"/>
      <c r="B273" s="11" t="str">
        <f>CONCATENATE("          ", "6373", " - ", "MAINTENANCE CONTRACTS")</f>
        <v xml:space="preserve">          6373 - MAINTENANCE CONTRACTS</v>
      </c>
      <c r="C273" s="11"/>
      <c r="D273" s="6">
        <v>10545.77</v>
      </c>
      <c r="E273" s="2"/>
      <c r="F273" s="7">
        <f t="shared" si="92"/>
        <v>2.0833518539568923E-2</v>
      </c>
      <c r="G273" s="2"/>
      <c r="H273" s="6">
        <v>18336.649999999998</v>
      </c>
      <c r="I273" s="2"/>
      <c r="J273" s="7">
        <f t="shared" si="93"/>
        <v>6.8518254542600009E-3</v>
      </c>
      <c r="K273" s="2"/>
      <c r="L273" s="6">
        <f t="shared" si="94"/>
        <v>-7790.8799999999974</v>
      </c>
      <c r="M273" s="2"/>
      <c r="N273" s="7">
        <f t="shared" si="95"/>
        <v>-0.42488022621362126</v>
      </c>
      <c r="O273" s="11"/>
      <c r="P273" s="6">
        <v>290632.78000000003</v>
      </c>
      <c r="Q273" s="2"/>
      <c r="R273" s="7">
        <f t="shared" si="96"/>
        <v>1.0361297316618579E-2</v>
      </c>
      <c r="S273" s="2"/>
      <c r="T273" s="6">
        <v>326106.34000000003</v>
      </c>
      <c r="U273" s="2"/>
      <c r="V273" s="7">
        <f t="shared" si="97"/>
        <v>9.3288924583476429E-3</v>
      </c>
      <c r="W273" s="2"/>
      <c r="X273" s="6">
        <f t="shared" si="98"/>
        <v>-35473.56</v>
      </c>
      <c r="Y273" s="2"/>
      <c r="Z273" s="7">
        <f t="shared" si="99"/>
        <v>-0.1087791178791556</v>
      </c>
    </row>
    <row r="274" spans="1:26" s="24" customFormat="1" hidden="1" outlineLevel="2" x14ac:dyDescent="0.25">
      <c r="A274" s="26"/>
      <c r="B274" s="11" t="str">
        <f>CONCATENATE("          ", "6375", " - ", "OUTSIDE REPAIRS &amp; MAINTENANCE")</f>
        <v xml:space="preserve">          6375 - OUTSIDE REPAIRS &amp; MAINTENANCE</v>
      </c>
      <c r="C274" s="11"/>
      <c r="D274" s="6">
        <v>2640.98</v>
      </c>
      <c r="E274" s="2"/>
      <c r="F274" s="7">
        <f t="shared" si="92"/>
        <v>5.2173436166947258E-3</v>
      </c>
      <c r="G274" s="2"/>
      <c r="H274" s="6">
        <v>11215.21</v>
      </c>
      <c r="I274" s="2"/>
      <c r="J274" s="7">
        <f t="shared" si="93"/>
        <v>4.1907688347037932E-3</v>
      </c>
      <c r="K274" s="2"/>
      <c r="L274" s="6">
        <f t="shared" si="94"/>
        <v>-8574.23</v>
      </c>
      <c r="M274" s="2"/>
      <c r="N274" s="7">
        <f t="shared" si="95"/>
        <v>-0.76451800724195096</v>
      </c>
      <c r="O274" s="11"/>
      <c r="P274" s="6">
        <v>170199.41999999998</v>
      </c>
      <c r="Q274" s="2"/>
      <c r="R274" s="7">
        <f t="shared" si="96"/>
        <v>6.0677491153476844E-3</v>
      </c>
      <c r="S274" s="2"/>
      <c r="T274" s="6">
        <v>194202.89</v>
      </c>
      <c r="U274" s="2"/>
      <c r="V274" s="7">
        <f t="shared" si="97"/>
        <v>5.55554324981942E-3</v>
      </c>
      <c r="W274" s="2"/>
      <c r="X274" s="6">
        <f t="shared" si="98"/>
        <v>-24003.47000000003</v>
      </c>
      <c r="Y274" s="2"/>
      <c r="Z274" s="7">
        <f t="shared" si="99"/>
        <v>-0.12359996290477464</v>
      </c>
    </row>
    <row r="275" spans="1:26" s="27" customFormat="1" outlineLevel="1" collapsed="1" x14ac:dyDescent="0.25">
      <c r="A275" s="25"/>
      <c r="B275" s="13" t="str">
        <f>CONCATENATE("     ","Royalty &amp; Commissions                             ")</f>
        <v xml:space="preserve">     Royalty &amp; Commissions                             </v>
      </c>
      <c r="C275" s="13"/>
      <c r="D275" s="1">
        <f>SUM(OSRRefD22_19x_0)</f>
        <v>0</v>
      </c>
      <c r="E275" s="1"/>
      <c r="F275" s="5">
        <f t="shared" ref="F275:F278" si="100">IF(D$12=0,0,D275/D$12)</f>
        <v>0</v>
      </c>
      <c r="G275" s="1"/>
      <c r="H275" s="1">
        <f>SUM(OSRRefH22_19x_0)</f>
        <v>121323.42</v>
      </c>
      <c r="I275" s="1"/>
      <c r="J275" s="5">
        <f t="shared" ref="J275:J278" si="101">IF(H$12=0,0,H275/H$12)</f>
        <v>4.5334720210827871E-2</v>
      </c>
      <c r="K275" s="1"/>
      <c r="L275" s="1">
        <f t="shared" ref="L275:L278" si="102">+D275-H275</f>
        <v>-121323.42</v>
      </c>
      <c r="M275" s="1"/>
      <c r="N275" s="5">
        <f t="shared" ref="N275:N278" si="103">IF(H275=0,0,L275/H275)</f>
        <v>-1</v>
      </c>
      <c r="O275" s="13"/>
      <c r="P275" s="1">
        <f>SUM(OSRRefP22_19x_0)</f>
        <v>381769.01</v>
      </c>
      <c r="Q275" s="1"/>
      <c r="R275" s="5">
        <f t="shared" ref="R275:R278" si="104">IF(P$12=0,0,P275/P$12)</f>
        <v>1.3610378770354573E-2</v>
      </c>
      <c r="S275" s="1"/>
      <c r="T275" s="1">
        <f>SUM(OSRRefT22_19x_0)</f>
        <v>627145.54</v>
      </c>
      <c r="U275" s="1"/>
      <c r="V275" s="5">
        <f t="shared" ref="V275:V278" si="105">IF(T$12=0,0,T275/T$12)</f>
        <v>1.7940691672515045E-2</v>
      </c>
      <c r="W275" s="1"/>
      <c r="X275" s="1">
        <f t="shared" ref="X275:X278" si="106">+P275-T275</f>
        <v>-245376.53000000003</v>
      </c>
      <c r="Y275" s="1"/>
      <c r="Z275" s="5">
        <f t="shared" ref="Z275:Z278" si="107">IF(T275=0,0,X275/T275)</f>
        <v>-0.3912593080068783</v>
      </c>
    </row>
    <row r="276" spans="1:26" s="24" customFormat="1" hidden="1" outlineLevel="2" x14ac:dyDescent="0.25">
      <c r="A276" s="26"/>
      <c r="B276" s="11" t="str">
        <f>CONCATENATE("          ", "6253", " - ", "ROYALTY DUE ATHLETICS-LRG")</f>
        <v xml:space="preserve">          6253 - ROYALTY DUE ATHLETICS-LRG</v>
      </c>
      <c r="C276" s="11"/>
      <c r="D276" s="6"/>
      <c r="E276" s="2"/>
      <c r="F276" s="7">
        <f t="shared" si="100"/>
        <v>0</v>
      </c>
      <c r="G276" s="2"/>
      <c r="H276" s="6"/>
      <c r="I276" s="2"/>
      <c r="J276" s="7">
        <f t="shared" si="101"/>
        <v>0</v>
      </c>
      <c r="K276" s="2"/>
      <c r="L276" s="6">
        <f t="shared" si="102"/>
        <v>0</v>
      </c>
      <c r="M276" s="2"/>
      <c r="N276" s="7">
        <f t="shared" si="103"/>
        <v>0</v>
      </c>
      <c r="O276" s="11"/>
      <c r="P276" s="6">
        <v>32870.44</v>
      </c>
      <c r="Q276" s="2"/>
      <c r="R276" s="7">
        <f t="shared" si="104"/>
        <v>1.1718581839532071E-3</v>
      </c>
      <c r="S276" s="2"/>
      <c r="T276" s="6">
        <v>41365.990000000005</v>
      </c>
      <c r="U276" s="2"/>
      <c r="V276" s="7">
        <f t="shared" si="105"/>
        <v>1.1833528662554798E-3</v>
      </c>
      <c r="W276" s="2"/>
      <c r="X276" s="6">
        <f t="shared" si="106"/>
        <v>-8495.5500000000029</v>
      </c>
      <c r="Y276" s="2"/>
      <c r="Z276" s="7">
        <f t="shared" si="107"/>
        <v>-0.20537523700025073</v>
      </c>
    </row>
    <row r="277" spans="1:26" s="24" customFormat="1" hidden="1" outlineLevel="2" x14ac:dyDescent="0.25">
      <c r="A277" s="26"/>
      <c r="B277" s="11" t="str">
        <f>CONCATENATE("          ", "6254", " - ", "ROYALTY &amp; COMMISSIONS")</f>
        <v xml:space="preserve">          6254 - ROYALTY &amp; COMMISSIONS</v>
      </c>
      <c r="C277" s="11"/>
      <c r="D277" s="6"/>
      <c r="E277" s="2"/>
      <c r="F277" s="7">
        <f t="shared" si="100"/>
        <v>0</v>
      </c>
      <c r="G277" s="2"/>
      <c r="H277" s="6">
        <v>105763.28</v>
      </c>
      <c r="I277" s="2"/>
      <c r="J277" s="7">
        <f t="shared" si="101"/>
        <v>3.9520388622241671E-2</v>
      </c>
      <c r="K277" s="2"/>
      <c r="L277" s="6">
        <f t="shared" si="102"/>
        <v>-105763.28</v>
      </c>
      <c r="M277" s="2"/>
      <c r="N277" s="7">
        <f t="shared" si="103"/>
        <v>-1</v>
      </c>
      <c r="O277" s="11"/>
      <c r="P277" s="6">
        <v>161620.87</v>
      </c>
      <c r="Q277" s="2"/>
      <c r="R277" s="7">
        <f t="shared" si="104"/>
        <v>5.7619167619033197E-3</v>
      </c>
      <c r="S277" s="2"/>
      <c r="T277" s="6">
        <v>335779.86000000004</v>
      </c>
      <c r="U277" s="2"/>
      <c r="V277" s="7">
        <f t="shared" si="105"/>
        <v>9.6056219073171883E-3</v>
      </c>
      <c r="W277" s="2"/>
      <c r="X277" s="6">
        <f t="shared" si="106"/>
        <v>-174158.99000000005</v>
      </c>
      <c r="Y277" s="2"/>
      <c r="Z277" s="7">
        <f t="shared" si="107"/>
        <v>-0.51867014894818297</v>
      </c>
    </row>
    <row r="278" spans="1:26" s="24" customFormat="1" hidden="1" outlineLevel="2" x14ac:dyDescent="0.25">
      <c r="A278" s="26"/>
      <c r="B278" s="11" t="str">
        <f>CONCATENATE("          ", "6259", " - ", "ROYALTY &amp; COMMISSIONS")</f>
        <v xml:space="preserve">          6259 - ROYALTY &amp; COMMISSIONS</v>
      </c>
      <c r="C278" s="11"/>
      <c r="D278" s="6"/>
      <c r="E278" s="2"/>
      <c r="F278" s="7">
        <f t="shared" si="100"/>
        <v>0</v>
      </c>
      <c r="G278" s="2"/>
      <c r="H278" s="6">
        <v>15560.14</v>
      </c>
      <c r="I278" s="2"/>
      <c r="J278" s="7">
        <f t="shared" si="101"/>
        <v>5.8143315885862039E-3</v>
      </c>
      <c r="K278" s="2"/>
      <c r="L278" s="6">
        <f t="shared" si="102"/>
        <v>-15560.14</v>
      </c>
      <c r="M278" s="2"/>
      <c r="N278" s="7">
        <f t="shared" si="103"/>
        <v>-1</v>
      </c>
      <c r="O278" s="11"/>
      <c r="P278" s="6">
        <v>187277.7</v>
      </c>
      <c r="Q278" s="2"/>
      <c r="R278" s="7">
        <f t="shared" si="104"/>
        <v>6.6766038244980459E-3</v>
      </c>
      <c r="S278" s="2"/>
      <c r="T278" s="6">
        <v>249999.68999999997</v>
      </c>
      <c r="U278" s="2"/>
      <c r="V278" s="7">
        <f t="shared" si="105"/>
        <v>7.1517168989423761E-3</v>
      </c>
      <c r="W278" s="2"/>
      <c r="X278" s="6">
        <f t="shared" si="106"/>
        <v>-62721.989999999962</v>
      </c>
      <c r="Y278" s="2"/>
      <c r="Z278" s="7">
        <f t="shared" si="107"/>
        <v>-0.25088827110145606</v>
      </c>
    </row>
    <row r="279" spans="1:26" s="27" customFormat="1" outlineLevel="1" collapsed="1" x14ac:dyDescent="0.25">
      <c r="A279" s="25"/>
      <c r="B279" s="13" t="str">
        <f>CONCATENATE("     ","Services                                          ")</f>
        <v xml:space="preserve">     Services                                          </v>
      </c>
      <c r="C279" s="13"/>
      <c r="D279" s="1">
        <f>SUM(OSRRefD22_20x_0)</f>
        <v>17599.589999999997</v>
      </c>
      <c r="E279" s="1"/>
      <c r="F279" s="5">
        <f t="shared" ref="F279:F284" si="108">IF(D$12=0,0,D279/D$12)</f>
        <v>3.4768573992587717E-2</v>
      </c>
      <c r="G279" s="1"/>
      <c r="H279" s="1">
        <f>SUM(OSRRefH22_20x_0)</f>
        <v>55226.28</v>
      </c>
      <c r="I279" s="1"/>
      <c r="J279" s="5">
        <f t="shared" ref="J279:J284" si="109">IF(H$12=0,0,H279/H$12)</f>
        <v>2.0636312033446132E-2</v>
      </c>
      <c r="K279" s="1"/>
      <c r="L279" s="1">
        <f t="shared" ref="L279:L284" si="110">+D279-H279</f>
        <v>-37626.69</v>
      </c>
      <c r="M279" s="1"/>
      <c r="N279" s="5">
        <f t="shared" ref="N279:N284" si="111">IF(H279=0,0,L279/H279)</f>
        <v>-0.68131856789919587</v>
      </c>
      <c r="O279" s="13"/>
      <c r="P279" s="1">
        <f>SUM(OSRRefP22_20x_0)</f>
        <v>468686.82000000007</v>
      </c>
      <c r="Q279" s="1"/>
      <c r="R279" s="5">
        <f t="shared" ref="R279:R284" si="112">IF(P$12=0,0,P279/P$12)</f>
        <v>1.6709070086314746E-2</v>
      </c>
      <c r="S279" s="1"/>
      <c r="T279" s="1">
        <f>SUM(OSRRefT22_20x_0)</f>
        <v>504132.61</v>
      </c>
      <c r="U279" s="1"/>
      <c r="V279" s="5">
        <f t="shared" ref="V279:V284" si="113">IF(T$12=0,0,T279/T$12)</f>
        <v>1.4421672707853864E-2</v>
      </c>
      <c r="W279" s="1"/>
      <c r="X279" s="1">
        <f t="shared" ref="X279:X284" si="114">+P279-T279</f>
        <v>-35445.789999999921</v>
      </c>
      <c r="Y279" s="1"/>
      <c r="Z279" s="5">
        <f t="shared" ref="Z279:Z284" si="115">IF(T279=0,0,X279/T279)</f>
        <v>-7.0310448673415363E-2</v>
      </c>
    </row>
    <row r="280" spans="1:26" s="24" customFormat="1" hidden="1" outlineLevel="2" x14ac:dyDescent="0.25">
      <c r="A280" s="26"/>
      <c r="B280" s="11" t="str">
        <f>CONCATENATE("          ", "6282", " - ", "JANITORIAL/EXTERMINATOR EXPENS")</f>
        <v xml:space="preserve">          6282 - JANITORIAL/EXTERMINATOR EXPENS</v>
      </c>
      <c r="C280" s="11"/>
      <c r="D280" s="6">
        <v>1808.53</v>
      </c>
      <c r="E280" s="2"/>
      <c r="F280" s="7">
        <f t="shared" si="108"/>
        <v>3.5728110213257623E-3</v>
      </c>
      <c r="G280" s="2"/>
      <c r="H280" s="6">
        <v>6463.92</v>
      </c>
      <c r="I280" s="2"/>
      <c r="J280" s="7">
        <f t="shared" si="109"/>
        <v>2.4153622166699102E-3</v>
      </c>
      <c r="K280" s="2"/>
      <c r="L280" s="6">
        <f t="shared" si="110"/>
        <v>-4655.3900000000003</v>
      </c>
      <c r="M280" s="2"/>
      <c r="N280" s="7">
        <f t="shared" si="111"/>
        <v>-0.72021157440067329</v>
      </c>
      <c r="O280" s="11"/>
      <c r="P280" s="6">
        <v>40080.68</v>
      </c>
      <c r="Q280" s="2"/>
      <c r="R280" s="7">
        <f t="shared" si="112"/>
        <v>1.4289091620437581E-3</v>
      </c>
      <c r="S280" s="2"/>
      <c r="T280" s="6">
        <v>39749.049999999996</v>
      </c>
      <c r="U280" s="2"/>
      <c r="V280" s="7">
        <f t="shared" si="113"/>
        <v>1.1370972204081751E-3</v>
      </c>
      <c r="W280" s="2"/>
      <c r="X280" s="6">
        <f t="shared" si="114"/>
        <v>331.63000000000466</v>
      </c>
      <c r="Y280" s="2"/>
      <c r="Z280" s="7">
        <f t="shared" si="115"/>
        <v>8.3430924764240823E-3</v>
      </c>
    </row>
    <row r="281" spans="1:26" s="24" customFormat="1" hidden="1" outlineLevel="2" x14ac:dyDescent="0.25">
      <c r="A281" s="26"/>
      <c r="B281" s="11" t="str">
        <f>CONCATENATE("          ", "6283", " - ", "PLANT SERVICE")</f>
        <v xml:space="preserve">          6283 - PLANT SERVICE</v>
      </c>
      <c r="C281" s="11"/>
      <c r="D281" s="6"/>
      <c r="E281" s="2"/>
      <c r="F281" s="7">
        <f t="shared" si="108"/>
        <v>0</v>
      </c>
      <c r="G281" s="2"/>
      <c r="H281" s="6">
        <v>349</v>
      </c>
      <c r="I281" s="2"/>
      <c r="J281" s="7">
        <f t="shared" si="109"/>
        <v>1.3041024852068075E-4</v>
      </c>
      <c r="K281" s="2"/>
      <c r="L281" s="6">
        <f t="shared" si="110"/>
        <v>-349</v>
      </c>
      <c r="M281" s="2"/>
      <c r="N281" s="7">
        <f t="shared" si="111"/>
        <v>-1</v>
      </c>
      <c r="O281" s="11"/>
      <c r="P281" s="6">
        <v>2340</v>
      </c>
      <c r="Q281" s="2"/>
      <c r="R281" s="7">
        <f t="shared" si="112"/>
        <v>8.3422921945994783E-5</v>
      </c>
      <c r="S281" s="2"/>
      <c r="T281" s="6">
        <v>3961.5</v>
      </c>
      <c r="U281" s="2"/>
      <c r="V281" s="7">
        <f t="shared" si="113"/>
        <v>1.1332624650518656E-4</v>
      </c>
      <c r="W281" s="2"/>
      <c r="X281" s="6">
        <f t="shared" si="114"/>
        <v>-1621.5</v>
      </c>
      <c r="Y281" s="2"/>
      <c r="Z281" s="7">
        <f t="shared" si="115"/>
        <v>-0.40931465354032565</v>
      </c>
    </row>
    <row r="282" spans="1:26" s="24" customFormat="1" hidden="1" outlineLevel="2" x14ac:dyDescent="0.25">
      <c r="A282" s="26"/>
      <c r="B282" s="11" t="str">
        <f>CONCATENATE("          ", "6284", " - ", "TRASH REMOVAL EXPENSE")</f>
        <v xml:space="preserve">          6284 - TRASH REMOVAL EXPENSE</v>
      </c>
      <c r="C282" s="11"/>
      <c r="D282" s="6">
        <v>5553.82</v>
      </c>
      <c r="E282" s="2"/>
      <c r="F282" s="7">
        <f t="shared" si="108"/>
        <v>1.097175568359908E-2</v>
      </c>
      <c r="G282" s="2"/>
      <c r="H282" s="6">
        <v>4557.46</v>
      </c>
      <c r="I282" s="2"/>
      <c r="J282" s="7">
        <f t="shared" si="109"/>
        <v>1.7029784848798329E-3</v>
      </c>
      <c r="K282" s="2"/>
      <c r="L282" s="6">
        <f t="shared" si="110"/>
        <v>996.35999999999967</v>
      </c>
      <c r="M282" s="2"/>
      <c r="N282" s="7">
        <f t="shared" si="111"/>
        <v>0.21862177616479347</v>
      </c>
      <c r="O282" s="11"/>
      <c r="P282" s="6">
        <v>53202.02</v>
      </c>
      <c r="Q282" s="2"/>
      <c r="R282" s="7">
        <f t="shared" si="112"/>
        <v>1.8966957101834412E-3</v>
      </c>
      <c r="S282" s="2"/>
      <c r="T282" s="6">
        <v>59492.060000000005</v>
      </c>
      <c r="U282" s="2"/>
      <c r="V282" s="7">
        <f t="shared" si="113"/>
        <v>1.7018835937552316E-3</v>
      </c>
      <c r="W282" s="2"/>
      <c r="X282" s="6">
        <f t="shared" si="114"/>
        <v>-6290.0400000000081</v>
      </c>
      <c r="Y282" s="2"/>
      <c r="Z282" s="7">
        <f t="shared" si="115"/>
        <v>-0.10572906703852594</v>
      </c>
    </row>
    <row r="283" spans="1:26" s="24" customFormat="1" hidden="1" outlineLevel="2" x14ac:dyDescent="0.25">
      <c r="A283" s="26"/>
      <c r="B283" s="11" t="str">
        <f>CONCATENATE("          ", "6285", " - ", "JANITORIAL SERVICES")</f>
        <v xml:space="preserve">          6285 - JANITORIAL SERVICES</v>
      </c>
      <c r="C283" s="11"/>
      <c r="D283" s="6">
        <v>10107.709999999999</v>
      </c>
      <c r="E283" s="2"/>
      <c r="F283" s="7">
        <f t="shared" si="108"/>
        <v>1.9968116474907587E-2</v>
      </c>
      <c r="G283" s="2"/>
      <c r="H283" s="6">
        <v>33930.35</v>
      </c>
      <c r="I283" s="2"/>
      <c r="J283" s="7">
        <f t="shared" si="109"/>
        <v>1.2678697352130886E-2</v>
      </c>
      <c r="K283" s="2"/>
      <c r="L283" s="6">
        <f t="shared" si="110"/>
        <v>-23822.639999999999</v>
      </c>
      <c r="M283" s="2"/>
      <c r="N283" s="7">
        <f t="shared" si="111"/>
        <v>-0.70210416338175119</v>
      </c>
      <c r="O283" s="11"/>
      <c r="P283" s="6">
        <v>298328.35000000003</v>
      </c>
      <c r="Q283" s="2"/>
      <c r="R283" s="7">
        <f t="shared" si="112"/>
        <v>1.0635650707832229E-2</v>
      </c>
      <c r="S283" s="2"/>
      <c r="T283" s="6">
        <v>309609.57</v>
      </c>
      <c r="U283" s="2"/>
      <c r="V283" s="7">
        <f t="shared" si="113"/>
        <v>8.8569709580171192E-3</v>
      </c>
      <c r="W283" s="2"/>
      <c r="X283" s="6">
        <f t="shared" si="114"/>
        <v>-11281.219999999972</v>
      </c>
      <c r="Y283" s="2"/>
      <c r="Z283" s="7">
        <f t="shared" si="115"/>
        <v>-3.6436922799253174E-2</v>
      </c>
    </row>
    <row r="284" spans="1:26" s="24" customFormat="1" hidden="1" outlineLevel="2" x14ac:dyDescent="0.25">
      <c r="A284" s="26"/>
      <c r="B284" s="11" t="str">
        <f>CONCATENATE("          ", "6286", " - ", "LAUNDRY EXPENSE")</f>
        <v xml:space="preserve">          6286 - LAUNDRY EXPENSE</v>
      </c>
      <c r="C284" s="11"/>
      <c r="D284" s="6">
        <v>129.53</v>
      </c>
      <c r="E284" s="2"/>
      <c r="F284" s="7">
        <f t="shared" si="108"/>
        <v>2.5589081275529074E-4</v>
      </c>
      <c r="G284" s="2"/>
      <c r="H284" s="6">
        <v>9925.5499999999993</v>
      </c>
      <c r="I284" s="2"/>
      <c r="J284" s="7">
        <f t="shared" si="109"/>
        <v>3.7088637312448214E-3</v>
      </c>
      <c r="K284" s="2"/>
      <c r="L284" s="6">
        <f t="shared" si="110"/>
        <v>-9796.0199999999986</v>
      </c>
      <c r="M284" s="2"/>
      <c r="N284" s="7">
        <f t="shared" si="111"/>
        <v>-0.98694984157049226</v>
      </c>
      <c r="O284" s="11"/>
      <c r="P284" s="6">
        <v>74735.77</v>
      </c>
      <c r="Q284" s="2"/>
      <c r="R284" s="7">
        <f t="shared" si="112"/>
        <v>2.6643915843093239E-3</v>
      </c>
      <c r="S284" s="2"/>
      <c r="T284" s="6">
        <v>91320.43</v>
      </c>
      <c r="U284" s="2"/>
      <c r="V284" s="7">
        <f t="shared" si="113"/>
        <v>2.6123946891681519E-3</v>
      </c>
      <c r="W284" s="2"/>
      <c r="X284" s="6">
        <f t="shared" si="114"/>
        <v>-16584.659999999989</v>
      </c>
      <c r="Y284" s="2"/>
      <c r="Z284" s="7">
        <f t="shared" si="115"/>
        <v>-0.18160952592973981</v>
      </c>
    </row>
    <row r="285" spans="1:26" s="27" customFormat="1" outlineLevel="1" collapsed="1" x14ac:dyDescent="0.25">
      <c r="A285" s="25"/>
      <c r="B285" s="13" t="str">
        <f>CONCATENATE("     ","Subscriptions &amp; Dues                              ")</f>
        <v xml:space="preserve">     Subscriptions &amp; Dues                              </v>
      </c>
      <c r="C285" s="13"/>
      <c r="D285" s="1">
        <f>SUM(OSRRefD22_21x_0)</f>
        <v>1175</v>
      </c>
      <c r="E285" s="1"/>
      <c r="F285" s="5">
        <f t="shared" ref="F285:F287" si="116">IF(D$12=0,0,D285/D$12)</f>
        <v>2.3212514860454464E-3</v>
      </c>
      <c r="G285" s="1"/>
      <c r="H285" s="1">
        <f>SUM(OSRRefH22_21x_0)</f>
        <v>2026.78</v>
      </c>
      <c r="I285" s="1"/>
      <c r="J285" s="5">
        <f t="shared" ref="J285:J287" si="117">IF(H$12=0,0,H285/H$12)</f>
        <v>7.5734350572133325E-4</v>
      </c>
      <c r="K285" s="1"/>
      <c r="L285" s="1">
        <f t="shared" ref="L285:L287" si="118">+D285-H285</f>
        <v>-851.78</v>
      </c>
      <c r="M285" s="1"/>
      <c r="N285" s="5">
        <f t="shared" ref="N285:N287" si="119">IF(H285=0,0,L285/H285)</f>
        <v>-0.42026268267892913</v>
      </c>
      <c r="O285" s="13"/>
      <c r="P285" s="1">
        <f>SUM(OSRRefP22_21x_0)</f>
        <v>12924.099999999999</v>
      </c>
      <c r="Q285" s="1"/>
      <c r="R285" s="5">
        <f t="shared" ref="R285:R287" si="120">IF(P$12=0,0,P285/P$12)</f>
        <v>4.6075478013770553E-4</v>
      </c>
      <c r="S285" s="1"/>
      <c r="T285" s="1">
        <f>SUM(OSRRefT22_21x_0)</f>
        <v>20171.599999999999</v>
      </c>
      <c r="U285" s="1"/>
      <c r="V285" s="5">
        <f t="shared" ref="V285:V287" si="121">IF(T$12=0,0,T285/T$12)</f>
        <v>5.7704700593311144E-4</v>
      </c>
      <c r="W285" s="1"/>
      <c r="X285" s="1">
        <f t="shared" ref="X285:X287" si="122">+P285-T285</f>
        <v>-7247.5</v>
      </c>
      <c r="Y285" s="1"/>
      <c r="Z285" s="5">
        <f t="shared" ref="Z285:Z287" si="123">IF(T285=0,0,X285/T285)</f>
        <v>-0.35929227230363486</v>
      </c>
    </row>
    <row r="286" spans="1:26" s="24" customFormat="1" hidden="1" outlineLevel="2" x14ac:dyDescent="0.25">
      <c r="A286" s="26"/>
      <c r="B286" s="11" t="str">
        <f>CONCATENATE("          ", "6258", " - ", "MEMBERSHIP DUES")</f>
        <v xml:space="preserve">          6258 - MEMBERSHIP DUES</v>
      </c>
      <c r="C286" s="11"/>
      <c r="D286" s="6">
        <v>1175</v>
      </c>
      <c r="E286" s="2"/>
      <c r="F286" s="7">
        <f t="shared" si="116"/>
        <v>2.3212514860454464E-3</v>
      </c>
      <c r="G286" s="2"/>
      <c r="H286" s="6">
        <v>1165</v>
      </c>
      <c r="I286" s="2"/>
      <c r="J286" s="7">
        <f t="shared" si="117"/>
        <v>4.3532360895871938E-4</v>
      </c>
      <c r="K286" s="2"/>
      <c r="L286" s="6">
        <f t="shared" si="118"/>
        <v>10</v>
      </c>
      <c r="M286" s="2"/>
      <c r="N286" s="7">
        <f t="shared" si="119"/>
        <v>8.5836909871244635E-3</v>
      </c>
      <c r="O286" s="11"/>
      <c r="P286" s="6">
        <v>5149.91</v>
      </c>
      <c r="Q286" s="2"/>
      <c r="R286" s="7">
        <f t="shared" si="120"/>
        <v>1.8359852134995638E-4</v>
      </c>
      <c r="S286" s="2"/>
      <c r="T286" s="6">
        <v>4452.84</v>
      </c>
      <c r="U286" s="2"/>
      <c r="V286" s="7">
        <f t="shared" si="121"/>
        <v>1.273819622587795E-4</v>
      </c>
      <c r="W286" s="2"/>
      <c r="X286" s="6">
        <f t="shared" si="122"/>
        <v>697.06999999999971</v>
      </c>
      <c r="Y286" s="2"/>
      <c r="Z286" s="7">
        <f t="shared" si="123"/>
        <v>0.15654503642619086</v>
      </c>
    </row>
    <row r="287" spans="1:26" s="24" customFormat="1" hidden="1" outlineLevel="2" x14ac:dyDescent="0.25">
      <c r="A287" s="26"/>
      <c r="B287" s="11" t="str">
        <f>CONCATENATE("          ", "6275", " - ", "SUBSCRIPTIONS")</f>
        <v xml:space="preserve">          6275 - SUBSCRIPTIONS</v>
      </c>
      <c r="C287" s="11"/>
      <c r="D287" s="6"/>
      <c r="E287" s="2"/>
      <c r="F287" s="7">
        <f t="shared" si="116"/>
        <v>0</v>
      </c>
      <c r="G287" s="2"/>
      <c r="H287" s="6">
        <v>861.78</v>
      </c>
      <c r="I287" s="2"/>
      <c r="J287" s="7">
        <f t="shared" si="117"/>
        <v>3.2201989676261387E-4</v>
      </c>
      <c r="K287" s="2"/>
      <c r="L287" s="6">
        <f t="shared" si="118"/>
        <v>-861.78</v>
      </c>
      <c r="M287" s="2"/>
      <c r="N287" s="7">
        <f t="shared" si="119"/>
        <v>-1</v>
      </c>
      <c r="O287" s="11"/>
      <c r="P287" s="6">
        <v>7774.19</v>
      </c>
      <c r="Q287" s="2"/>
      <c r="R287" s="7">
        <f t="shared" si="120"/>
        <v>2.7715625878774918E-4</v>
      </c>
      <c r="S287" s="2"/>
      <c r="T287" s="6">
        <v>15718.76</v>
      </c>
      <c r="U287" s="2"/>
      <c r="V287" s="7">
        <f t="shared" si="121"/>
        <v>4.4966504367433208E-4</v>
      </c>
      <c r="W287" s="2"/>
      <c r="X287" s="6">
        <f t="shared" si="122"/>
        <v>-7944.5700000000006</v>
      </c>
      <c r="Y287" s="2"/>
      <c r="Z287" s="7">
        <f t="shared" si="123"/>
        <v>-0.5054196386992359</v>
      </c>
    </row>
    <row r="288" spans="1:26" s="27" customFormat="1" outlineLevel="1" collapsed="1" x14ac:dyDescent="0.25">
      <c r="A288" s="25"/>
      <c r="B288" s="13" t="str">
        <f>CONCATENATE("     ","Supplies                                          ")</f>
        <v xml:space="preserve">     Supplies                                          </v>
      </c>
      <c r="C288" s="13"/>
      <c r="D288" s="1">
        <f>SUM(OSRRefD22_22x_0)</f>
        <v>9861.0399999999991</v>
      </c>
      <c r="E288" s="1"/>
      <c r="F288" s="5">
        <f t="shared" ref="F288:F298" si="124">IF(D$12=0,0,D288/D$12)</f>
        <v>1.9480811705492412E-2</v>
      </c>
      <c r="G288" s="1"/>
      <c r="H288" s="1">
        <f>SUM(OSRRefH22_22x_0)</f>
        <v>45552.089999999989</v>
      </c>
      <c r="I288" s="1"/>
      <c r="J288" s="5">
        <f t="shared" ref="J288:J298" si="125">IF(H$12=0,0,H288/H$12)</f>
        <v>1.7021373574602906E-2</v>
      </c>
      <c r="K288" s="1"/>
      <c r="L288" s="1">
        <f t="shared" ref="L288:L298" si="126">+D288-H288</f>
        <v>-35691.049999999988</v>
      </c>
      <c r="M288" s="1"/>
      <c r="N288" s="5">
        <f t="shared" ref="N288:N298" si="127">IF(H288=0,0,L288/H288)</f>
        <v>-0.78352167814912543</v>
      </c>
      <c r="O288" s="13"/>
      <c r="P288" s="1">
        <f>SUM(OSRRefP22_22x_0)</f>
        <v>532810.6100000001</v>
      </c>
      <c r="Q288" s="1"/>
      <c r="R288" s="5">
        <f t="shared" ref="R288:R298" si="128">IF(P$12=0,0,P288/P$12)</f>
        <v>1.8995135867533278E-2</v>
      </c>
      <c r="S288" s="1"/>
      <c r="T288" s="1">
        <f>SUM(OSRRefT22_22x_0)</f>
        <v>702114.12</v>
      </c>
      <c r="U288" s="1"/>
      <c r="V288" s="5">
        <f t="shared" ref="V288:V298" si="129">IF(T$12=0,0,T288/T$12)</f>
        <v>2.0085310573745335E-2</v>
      </c>
      <c r="W288" s="1"/>
      <c r="X288" s="1">
        <f t="shared" ref="X288:X298" si="130">+P288-T288</f>
        <v>-169303.50999999989</v>
      </c>
      <c r="Y288" s="1"/>
      <c r="Z288" s="5">
        <f t="shared" ref="Z288:Z298" si="131">IF(T288=0,0,X288/T288)</f>
        <v>-0.24113389145342909</v>
      </c>
    </row>
    <row r="289" spans="1:26" s="24" customFormat="1" hidden="1" outlineLevel="2" x14ac:dyDescent="0.25">
      <c r="A289" s="26"/>
      <c r="B289" s="11" t="str">
        <f>CONCATENATE("          ", "6234", " - ", "EXPENDABLE SUPPLIES &amp; EQUIPMEN")</f>
        <v xml:space="preserve">          6234 - EXPENDABLE SUPPLIES &amp; EQUIPMEN</v>
      </c>
      <c r="C289" s="11"/>
      <c r="D289" s="6">
        <v>700.76</v>
      </c>
      <c r="E289" s="2"/>
      <c r="F289" s="7">
        <f t="shared" si="124"/>
        <v>1.3843746309457081E-3</v>
      </c>
      <c r="G289" s="2"/>
      <c r="H289" s="6">
        <v>206.32</v>
      </c>
      <c r="I289" s="2"/>
      <c r="J289" s="7">
        <f t="shared" si="125"/>
        <v>7.709525064408839E-5</v>
      </c>
      <c r="K289" s="2"/>
      <c r="L289" s="6">
        <f t="shared" si="126"/>
        <v>494.44</v>
      </c>
      <c r="M289" s="2"/>
      <c r="N289" s="7">
        <f t="shared" si="127"/>
        <v>2.3964715005816211</v>
      </c>
      <c r="O289" s="11"/>
      <c r="P289" s="6">
        <v>20453.12</v>
      </c>
      <c r="Q289" s="2"/>
      <c r="R289" s="7">
        <f t="shared" si="128"/>
        <v>7.2917052705643789E-4</v>
      </c>
      <c r="S289" s="2"/>
      <c r="T289" s="6">
        <v>12594.95</v>
      </c>
      <c r="U289" s="2"/>
      <c r="V289" s="7">
        <f t="shared" si="129"/>
        <v>3.6030251380045428E-4</v>
      </c>
      <c r="W289" s="2"/>
      <c r="X289" s="6">
        <f t="shared" si="130"/>
        <v>7858.1699999999983</v>
      </c>
      <c r="Y289" s="2"/>
      <c r="Z289" s="7">
        <f t="shared" si="131"/>
        <v>0.62391434662305112</v>
      </c>
    </row>
    <row r="290" spans="1:26" s="24" customFormat="1" hidden="1" outlineLevel="2" x14ac:dyDescent="0.25">
      <c r="A290" s="26"/>
      <c r="B290" s="11" t="str">
        <f>CONCATENATE("          ", "6235", " - ", "COVID-19 EXPENSES")</f>
        <v xml:space="preserve">          6235 - COVID-19 EXPENSES</v>
      </c>
      <c r="C290" s="11"/>
      <c r="D290" s="6">
        <v>3501.11</v>
      </c>
      <c r="E290" s="2"/>
      <c r="F290" s="7">
        <f t="shared" si="124"/>
        <v>6.9165589704753812E-3</v>
      </c>
      <c r="G290" s="2"/>
      <c r="H290" s="6"/>
      <c r="I290" s="2"/>
      <c r="J290" s="7">
        <f t="shared" si="125"/>
        <v>0</v>
      </c>
      <c r="K290" s="2"/>
      <c r="L290" s="6">
        <f t="shared" si="126"/>
        <v>3501.11</v>
      </c>
      <c r="M290" s="2"/>
      <c r="N290" s="7">
        <f t="shared" si="127"/>
        <v>0</v>
      </c>
      <c r="O290" s="11"/>
      <c r="P290" s="6">
        <v>3501.11</v>
      </c>
      <c r="Q290" s="2"/>
      <c r="R290" s="7">
        <f t="shared" si="128"/>
        <v>1.2481744711724009E-4</v>
      </c>
      <c r="S290" s="2"/>
      <c r="T290" s="6"/>
      <c r="U290" s="2"/>
      <c r="V290" s="7">
        <f t="shared" si="129"/>
        <v>0</v>
      </c>
      <c r="W290" s="2"/>
      <c r="X290" s="6">
        <f t="shared" si="130"/>
        <v>3501.11</v>
      </c>
      <c r="Y290" s="2"/>
      <c r="Z290" s="7">
        <f t="shared" si="131"/>
        <v>0</v>
      </c>
    </row>
    <row r="291" spans="1:26" s="24" customFormat="1" hidden="1" outlineLevel="2" x14ac:dyDescent="0.25">
      <c r="A291" s="26"/>
      <c r="B291" s="11" t="str">
        <f>CONCATENATE("          ", "6237", " - ", "JANITORIAL SUPPLIES")</f>
        <v xml:space="preserve">          6237 - JANITORIAL SUPPLIES</v>
      </c>
      <c r="C291" s="11"/>
      <c r="D291" s="6">
        <v>1123.01</v>
      </c>
      <c r="E291" s="2"/>
      <c r="F291" s="7">
        <f t="shared" si="124"/>
        <v>2.2185435160373586E-3</v>
      </c>
      <c r="G291" s="2"/>
      <c r="H291" s="6">
        <v>6742.13</v>
      </c>
      <c r="I291" s="2"/>
      <c r="J291" s="7">
        <f t="shared" si="125"/>
        <v>2.5193204838359234E-3</v>
      </c>
      <c r="K291" s="2"/>
      <c r="L291" s="6">
        <f t="shared" si="126"/>
        <v>-5619.12</v>
      </c>
      <c r="M291" s="2"/>
      <c r="N291" s="7">
        <f t="shared" si="127"/>
        <v>-0.83343394446562136</v>
      </c>
      <c r="O291" s="11"/>
      <c r="P291" s="6">
        <v>132411.94</v>
      </c>
      <c r="Q291" s="2"/>
      <c r="R291" s="7">
        <f t="shared" si="128"/>
        <v>4.7205944168110013E-3</v>
      </c>
      <c r="S291" s="2"/>
      <c r="T291" s="6">
        <v>163161.01999999999</v>
      </c>
      <c r="U291" s="2"/>
      <c r="V291" s="7">
        <f t="shared" si="129"/>
        <v>4.6675314836697396E-3</v>
      </c>
      <c r="W291" s="2"/>
      <c r="X291" s="6">
        <f t="shared" si="130"/>
        <v>-30749.079999999987</v>
      </c>
      <c r="Y291" s="2"/>
      <c r="Z291" s="7">
        <f t="shared" si="131"/>
        <v>-0.18845849333376311</v>
      </c>
    </row>
    <row r="292" spans="1:26" s="24" customFormat="1" hidden="1" outlineLevel="2" x14ac:dyDescent="0.25">
      <c r="A292" s="26"/>
      <c r="B292" s="11" t="str">
        <f>CONCATENATE("          ", "6239", " - ", "KITCHEN SUPPLIES")</f>
        <v xml:space="preserve">          6239 - KITCHEN SUPPLIES</v>
      </c>
      <c r="C292" s="11"/>
      <c r="D292" s="6">
        <v>50</v>
      </c>
      <c r="E292" s="2"/>
      <c r="F292" s="7">
        <f t="shared" si="124"/>
        <v>9.8776658980657291E-5</v>
      </c>
      <c r="G292" s="2"/>
      <c r="H292" s="6">
        <v>15751.289999999999</v>
      </c>
      <c r="I292" s="2"/>
      <c r="J292" s="7">
        <f t="shared" si="125"/>
        <v>5.885758290605482E-3</v>
      </c>
      <c r="K292" s="2"/>
      <c r="L292" s="6">
        <f t="shared" si="126"/>
        <v>-15701.289999999999</v>
      </c>
      <c r="M292" s="2"/>
      <c r="N292" s="7">
        <f t="shared" si="127"/>
        <v>-0.9968256568192192</v>
      </c>
      <c r="O292" s="11"/>
      <c r="P292" s="6">
        <v>72815.33</v>
      </c>
      <c r="Q292" s="2"/>
      <c r="R292" s="7">
        <f t="shared" si="128"/>
        <v>2.5959263209666033E-3</v>
      </c>
      <c r="S292" s="2"/>
      <c r="T292" s="6">
        <v>86129.83</v>
      </c>
      <c r="U292" s="2"/>
      <c r="V292" s="7">
        <f t="shared" si="129"/>
        <v>2.4639076981016819E-3</v>
      </c>
      <c r="W292" s="2"/>
      <c r="X292" s="6">
        <f t="shared" si="130"/>
        <v>-13314.5</v>
      </c>
      <c r="Y292" s="2"/>
      <c r="Z292" s="7">
        <f t="shared" si="131"/>
        <v>-0.15458639590952403</v>
      </c>
    </row>
    <row r="293" spans="1:26" s="24" customFormat="1" hidden="1" outlineLevel="2" x14ac:dyDescent="0.25">
      <c r="A293" s="26"/>
      <c r="B293" s="11" t="str">
        <f>CONCATENATE("          ", "6241", " - ", "OFFICE EXPENSE")</f>
        <v xml:space="preserve">          6241 - OFFICE EXPENSE</v>
      </c>
      <c r="C293" s="11"/>
      <c r="D293" s="6">
        <v>1542.51</v>
      </c>
      <c r="E293" s="2"/>
      <c r="F293" s="7">
        <f t="shared" si="124"/>
        <v>3.0472796848850735E-3</v>
      </c>
      <c r="G293" s="2"/>
      <c r="H293" s="6">
        <v>7037.27</v>
      </c>
      <c r="I293" s="2"/>
      <c r="J293" s="7">
        <f t="shared" si="125"/>
        <v>2.6296049558943583E-3</v>
      </c>
      <c r="K293" s="2"/>
      <c r="L293" s="6">
        <f t="shared" si="126"/>
        <v>-5494.76</v>
      </c>
      <c r="M293" s="2"/>
      <c r="N293" s="7">
        <f t="shared" si="127"/>
        <v>-0.78080846691970041</v>
      </c>
      <c r="O293" s="11"/>
      <c r="P293" s="6">
        <v>98605.6</v>
      </c>
      <c r="Q293" s="2"/>
      <c r="R293" s="7">
        <f t="shared" si="128"/>
        <v>3.5153706291615313E-3</v>
      </c>
      <c r="S293" s="2"/>
      <c r="T293" s="6">
        <v>142974.41</v>
      </c>
      <c r="U293" s="2"/>
      <c r="V293" s="7">
        <f t="shared" si="129"/>
        <v>4.090055088121573E-3</v>
      </c>
      <c r="W293" s="2"/>
      <c r="X293" s="6">
        <f t="shared" si="130"/>
        <v>-44368.81</v>
      </c>
      <c r="Y293" s="2"/>
      <c r="Z293" s="7">
        <f t="shared" si="131"/>
        <v>-0.31032693193138544</v>
      </c>
    </row>
    <row r="294" spans="1:26" s="24" customFormat="1" hidden="1" outlineLevel="2" x14ac:dyDescent="0.25">
      <c r="A294" s="26"/>
      <c r="B294" s="11" t="str">
        <f>CONCATENATE("          ", "6243", " - ", "PAPER SUPPLIES")</f>
        <v xml:space="preserve">          6243 - PAPER SUPPLIES</v>
      </c>
      <c r="C294" s="11"/>
      <c r="D294" s="6">
        <v>1312.96</v>
      </c>
      <c r="E294" s="2"/>
      <c r="F294" s="7">
        <f t="shared" si="124"/>
        <v>2.5937960435048757E-3</v>
      </c>
      <c r="G294" s="2"/>
      <c r="H294" s="6">
        <v>10997.4</v>
      </c>
      <c r="I294" s="2"/>
      <c r="J294" s="7">
        <f t="shared" si="125"/>
        <v>4.1093801349035364E-3</v>
      </c>
      <c r="K294" s="2"/>
      <c r="L294" s="6">
        <f t="shared" si="126"/>
        <v>-9684.4399999999987</v>
      </c>
      <c r="M294" s="2"/>
      <c r="N294" s="7">
        <f t="shared" si="127"/>
        <v>-0.88061178096641013</v>
      </c>
      <c r="O294" s="11"/>
      <c r="P294" s="6">
        <v>112012.53</v>
      </c>
      <c r="Q294" s="2"/>
      <c r="R294" s="7">
        <f t="shared" si="128"/>
        <v>3.9933386953689733E-3</v>
      </c>
      <c r="S294" s="2"/>
      <c r="T294" s="6">
        <v>164227.76</v>
      </c>
      <c r="U294" s="2"/>
      <c r="V294" s="7">
        <f t="shared" si="129"/>
        <v>4.6980476114488502E-3</v>
      </c>
      <c r="W294" s="2"/>
      <c r="X294" s="6">
        <f t="shared" si="130"/>
        <v>-52215.23000000001</v>
      </c>
      <c r="Y294" s="2"/>
      <c r="Z294" s="7">
        <f t="shared" si="131"/>
        <v>-0.31794399436489912</v>
      </c>
    </row>
    <row r="295" spans="1:26" s="24" customFormat="1" hidden="1" outlineLevel="2" x14ac:dyDescent="0.25">
      <c r="A295" s="26"/>
      <c r="B295" s="11" t="str">
        <f>CONCATENATE("          ", "6245", " - ", "PRINTING")</f>
        <v xml:space="preserve">          6245 - PRINTING</v>
      </c>
      <c r="C295" s="11"/>
      <c r="D295" s="6">
        <v>66.150000000000006</v>
      </c>
      <c r="E295" s="2"/>
      <c r="F295" s="7">
        <f t="shared" si="124"/>
        <v>1.3068151983140961E-4</v>
      </c>
      <c r="G295" s="2"/>
      <c r="H295" s="6">
        <v>2684.99</v>
      </c>
      <c r="I295" s="2"/>
      <c r="J295" s="7">
        <f t="shared" si="125"/>
        <v>1.0032957397580016E-3</v>
      </c>
      <c r="K295" s="2"/>
      <c r="L295" s="6">
        <f t="shared" si="126"/>
        <v>-2618.8399999999997</v>
      </c>
      <c r="M295" s="2"/>
      <c r="N295" s="7">
        <f t="shared" si="127"/>
        <v>-0.9753630367338425</v>
      </c>
      <c r="O295" s="11"/>
      <c r="P295" s="6">
        <v>12795.58</v>
      </c>
      <c r="Q295" s="2"/>
      <c r="R295" s="7">
        <f t="shared" si="128"/>
        <v>4.5617293657851789E-4</v>
      </c>
      <c r="S295" s="2"/>
      <c r="T295" s="6">
        <v>18272.14</v>
      </c>
      <c r="U295" s="2"/>
      <c r="V295" s="7">
        <f t="shared" si="129"/>
        <v>5.2270933783094269E-4</v>
      </c>
      <c r="W295" s="2"/>
      <c r="X295" s="6">
        <f t="shared" si="130"/>
        <v>-5476.5599999999995</v>
      </c>
      <c r="Y295" s="2"/>
      <c r="Z295" s="7">
        <f t="shared" si="131"/>
        <v>-0.29972187165816372</v>
      </c>
    </row>
    <row r="296" spans="1:26" s="24" customFormat="1" hidden="1" outlineLevel="2" x14ac:dyDescent="0.25">
      <c r="A296" s="26"/>
      <c r="B296" s="11" t="str">
        <f>CONCATENATE("          ", "6246", " - ", "REPLACEMENTS")</f>
        <v xml:space="preserve">          6246 - REPLACEMENTS</v>
      </c>
      <c r="C296" s="11"/>
      <c r="D296" s="6"/>
      <c r="E296" s="2"/>
      <c r="F296" s="7">
        <f t="shared" si="124"/>
        <v>0</v>
      </c>
      <c r="G296" s="2"/>
      <c r="H296" s="6"/>
      <c r="I296" s="2"/>
      <c r="J296" s="7">
        <f t="shared" si="125"/>
        <v>0</v>
      </c>
      <c r="K296" s="2"/>
      <c r="L296" s="6">
        <f t="shared" si="126"/>
        <v>0</v>
      </c>
      <c r="M296" s="2"/>
      <c r="N296" s="7">
        <f t="shared" si="127"/>
        <v>0</v>
      </c>
      <c r="O296" s="11"/>
      <c r="P296" s="6">
        <v>25.87</v>
      </c>
      <c r="Q296" s="2"/>
      <c r="R296" s="7">
        <f t="shared" si="128"/>
        <v>9.2228674818072003E-7</v>
      </c>
      <c r="S296" s="2"/>
      <c r="T296" s="6"/>
      <c r="U296" s="2"/>
      <c r="V296" s="7">
        <f t="shared" si="129"/>
        <v>0</v>
      </c>
      <c r="W296" s="2"/>
      <c r="X296" s="6">
        <f t="shared" si="130"/>
        <v>25.87</v>
      </c>
      <c r="Y296" s="2"/>
      <c r="Z296" s="7">
        <f t="shared" si="131"/>
        <v>0</v>
      </c>
    </row>
    <row r="297" spans="1:26" s="24" customFormat="1" hidden="1" outlineLevel="2" x14ac:dyDescent="0.25">
      <c r="A297" s="26"/>
      <c r="B297" s="11" t="str">
        <f>CONCATENATE("          ", "6247", " - ", "STORE SUPPLIES")</f>
        <v xml:space="preserve">          6247 - STORE SUPPLIES</v>
      </c>
      <c r="C297" s="11"/>
      <c r="D297" s="6">
        <v>1523.47</v>
      </c>
      <c r="E297" s="2"/>
      <c r="F297" s="7">
        <f t="shared" si="124"/>
        <v>3.0096655331452392E-3</v>
      </c>
      <c r="G297" s="2"/>
      <c r="H297" s="6">
        <v>1337.1</v>
      </c>
      <c r="I297" s="2"/>
      <c r="J297" s="7">
        <f t="shared" si="125"/>
        <v>4.9963192921777136E-4</v>
      </c>
      <c r="K297" s="2"/>
      <c r="L297" s="6">
        <f t="shared" si="126"/>
        <v>186.37000000000012</v>
      </c>
      <c r="M297" s="2"/>
      <c r="N297" s="7">
        <f t="shared" si="127"/>
        <v>0.13938374093186756</v>
      </c>
      <c r="O297" s="11"/>
      <c r="P297" s="6">
        <v>75354.349999999991</v>
      </c>
      <c r="Q297" s="2"/>
      <c r="R297" s="7">
        <f t="shared" si="128"/>
        <v>2.6864444693765685E-3</v>
      </c>
      <c r="S297" s="2"/>
      <c r="T297" s="6">
        <v>91357.88</v>
      </c>
      <c r="U297" s="2"/>
      <c r="V297" s="7">
        <f t="shared" si="129"/>
        <v>2.6134660176880611E-3</v>
      </c>
      <c r="W297" s="2"/>
      <c r="X297" s="6">
        <f t="shared" si="130"/>
        <v>-16003.530000000013</v>
      </c>
      <c r="Y297" s="2"/>
      <c r="Z297" s="7">
        <f t="shared" si="131"/>
        <v>-0.17517405176214698</v>
      </c>
    </row>
    <row r="298" spans="1:26" s="24" customFormat="1" hidden="1" outlineLevel="2" x14ac:dyDescent="0.25">
      <c r="A298" s="26"/>
      <c r="B298" s="11" t="str">
        <f>CONCATENATE("          ", "6248", " - ", "UNIFORMS")</f>
        <v xml:space="preserve">          6248 - UNIFORMS</v>
      </c>
      <c r="C298" s="11"/>
      <c r="D298" s="6">
        <v>41.07</v>
      </c>
      <c r="E298" s="2"/>
      <c r="F298" s="7">
        <f t="shared" si="124"/>
        <v>8.1135147686711901E-5</v>
      </c>
      <c r="G298" s="2"/>
      <c r="H298" s="6">
        <v>795.59</v>
      </c>
      <c r="I298" s="2"/>
      <c r="J298" s="7">
        <f t="shared" si="125"/>
        <v>2.9728678974374898E-4</v>
      </c>
      <c r="K298" s="2"/>
      <c r="L298" s="6">
        <f t="shared" si="126"/>
        <v>-754.52</v>
      </c>
      <c r="M298" s="2"/>
      <c r="N298" s="7">
        <f t="shared" si="127"/>
        <v>-0.94837793335763387</v>
      </c>
      <c r="O298" s="11"/>
      <c r="P298" s="6">
        <v>4835.18</v>
      </c>
      <c r="Q298" s="2"/>
      <c r="R298" s="7">
        <f t="shared" si="128"/>
        <v>1.7237813834822011E-4</v>
      </c>
      <c r="S298" s="2"/>
      <c r="T298" s="6">
        <v>23396.129999999997</v>
      </c>
      <c r="U298" s="2"/>
      <c r="V298" s="7">
        <f t="shared" si="129"/>
        <v>6.6929082308403139E-4</v>
      </c>
      <c r="W298" s="2"/>
      <c r="X298" s="6">
        <f t="shared" si="130"/>
        <v>-18560.949999999997</v>
      </c>
      <c r="Y298" s="2"/>
      <c r="Z298" s="7">
        <f t="shared" si="131"/>
        <v>-0.79333419672398808</v>
      </c>
    </row>
    <row r="299" spans="1:26" s="27" customFormat="1" outlineLevel="1" collapsed="1" x14ac:dyDescent="0.25">
      <c r="A299" s="25"/>
      <c r="B299" s="13" t="str">
        <f>CONCATENATE("     ","Telephone/Data Lines                              ")</f>
        <v xml:space="preserve">     Telephone/Data Lines                              </v>
      </c>
      <c r="C299" s="13"/>
      <c r="D299" s="1">
        <f>SUM(OSRRefD22_23x_0)</f>
        <v>5686.23</v>
      </c>
      <c r="E299" s="1"/>
      <c r="F299" s="5">
        <f t="shared" ref="F299:F301" si="132">IF(D$12=0,0,D299/D$12)</f>
        <v>1.1233336031911657E-2</v>
      </c>
      <c r="G299" s="1"/>
      <c r="H299" s="1">
        <f>SUM(OSRRefH22_23x_0)</f>
        <v>6580.38</v>
      </c>
      <c r="I299" s="1"/>
      <c r="J299" s="5">
        <f t="shared" ref="J299:J301" si="133">IF(H$12=0,0,H299/H$12)</f>
        <v>2.4588796308324273E-3</v>
      </c>
      <c r="K299" s="1"/>
      <c r="L299" s="1">
        <f t="shared" ref="L299:L301" si="134">+D299-H299</f>
        <v>-894.15000000000055</v>
      </c>
      <c r="M299" s="1"/>
      <c r="N299" s="5">
        <f t="shared" ref="N299:N301" si="135">IF(H299=0,0,L299/H299)</f>
        <v>-0.13588121050759994</v>
      </c>
      <c r="O299" s="13"/>
      <c r="P299" s="1">
        <f>SUM(OSRRefP22_23x_0)</f>
        <v>64761.859999999993</v>
      </c>
      <c r="Q299" s="1"/>
      <c r="R299" s="5">
        <f t="shared" ref="R299:R301" si="136">IF(P$12=0,0,P299/P$12)</f>
        <v>2.3088135007937782E-3</v>
      </c>
      <c r="S299" s="1"/>
      <c r="T299" s="1">
        <f>SUM(OSRRefT22_23x_0)</f>
        <v>70563.13</v>
      </c>
      <c r="U299" s="1"/>
      <c r="V299" s="5">
        <f t="shared" ref="V299:V301" si="137">IF(T$12=0,0,T299/T$12)</f>
        <v>2.0185926201079204E-3</v>
      </c>
      <c r="W299" s="1"/>
      <c r="X299" s="1">
        <f t="shared" ref="X299:X301" si="138">+P299-T299</f>
        <v>-5801.2700000000114</v>
      </c>
      <c r="Y299" s="1"/>
      <c r="Z299" s="5">
        <f t="shared" ref="Z299:Z301" si="139">IF(T299=0,0,X299/T299)</f>
        <v>-8.2213898391412216E-2</v>
      </c>
    </row>
    <row r="300" spans="1:26" s="24" customFormat="1" hidden="1" outlineLevel="2" x14ac:dyDescent="0.25">
      <c r="A300" s="26"/>
      <c r="B300" s="11" t="str">
        <f>CONCATENATE("          ", "6303", " - ", "DATA PHONE LINES")</f>
        <v xml:space="preserve">          6303 - DATA PHONE LINES</v>
      </c>
      <c r="C300" s="11"/>
      <c r="D300" s="6">
        <v>590</v>
      </c>
      <c r="E300" s="2"/>
      <c r="F300" s="7">
        <f t="shared" si="132"/>
        <v>1.165564575971756E-3</v>
      </c>
      <c r="G300" s="2"/>
      <c r="H300" s="6">
        <v>590</v>
      </c>
      <c r="I300" s="2"/>
      <c r="J300" s="7">
        <f t="shared" si="133"/>
        <v>2.2046431698338577E-4</v>
      </c>
      <c r="K300" s="2"/>
      <c r="L300" s="6">
        <f t="shared" si="134"/>
        <v>0</v>
      </c>
      <c r="M300" s="2"/>
      <c r="N300" s="7">
        <f t="shared" si="135"/>
        <v>0</v>
      </c>
      <c r="O300" s="11"/>
      <c r="P300" s="6">
        <v>2950</v>
      </c>
      <c r="Q300" s="2"/>
      <c r="R300" s="7">
        <f t="shared" si="136"/>
        <v>1.0516992296610453E-4</v>
      </c>
      <c r="S300" s="2"/>
      <c r="T300" s="6">
        <v>3245</v>
      </c>
      <c r="U300" s="2"/>
      <c r="V300" s="7">
        <f t="shared" si="137"/>
        <v>9.2829400456728611E-5</v>
      </c>
      <c r="W300" s="2"/>
      <c r="X300" s="6">
        <f t="shared" si="138"/>
        <v>-295</v>
      </c>
      <c r="Y300" s="2"/>
      <c r="Z300" s="7">
        <f t="shared" si="139"/>
        <v>-9.0909090909090912E-2</v>
      </c>
    </row>
    <row r="301" spans="1:26" s="24" customFormat="1" hidden="1" outlineLevel="2" x14ac:dyDescent="0.25">
      <c r="A301" s="26"/>
      <c r="B301" s="11" t="str">
        <f>CONCATENATE("          ", "6309", " - ", "TELEPHONE")</f>
        <v xml:space="preserve">          6309 - TELEPHONE</v>
      </c>
      <c r="C301" s="11"/>
      <c r="D301" s="6">
        <v>5096.2299999999996</v>
      </c>
      <c r="E301" s="2"/>
      <c r="F301" s="7">
        <f t="shared" si="132"/>
        <v>1.00677714559399E-2</v>
      </c>
      <c r="G301" s="2"/>
      <c r="H301" s="6">
        <v>5990.38</v>
      </c>
      <c r="I301" s="2"/>
      <c r="J301" s="7">
        <f t="shared" si="133"/>
        <v>2.2384153138490415E-3</v>
      </c>
      <c r="K301" s="2"/>
      <c r="L301" s="6">
        <f t="shared" si="134"/>
        <v>-894.15000000000055</v>
      </c>
      <c r="M301" s="2"/>
      <c r="N301" s="7">
        <f t="shared" si="135"/>
        <v>-0.14926432046047172</v>
      </c>
      <c r="O301" s="11"/>
      <c r="P301" s="6">
        <v>61811.859999999993</v>
      </c>
      <c r="Q301" s="2"/>
      <c r="R301" s="7">
        <f t="shared" si="136"/>
        <v>2.2036435778276737E-3</v>
      </c>
      <c r="S301" s="2"/>
      <c r="T301" s="6">
        <v>67318.13</v>
      </c>
      <c r="U301" s="2"/>
      <c r="V301" s="7">
        <f t="shared" si="137"/>
        <v>1.9257632196511916E-3</v>
      </c>
      <c r="W301" s="2"/>
      <c r="X301" s="6">
        <f t="shared" si="138"/>
        <v>-5506.2700000000114</v>
      </c>
      <c r="Y301" s="2"/>
      <c r="Z301" s="7">
        <f t="shared" si="139"/>
        <v>-8.1794755736679117E-2</v>
      </c>
    </row>
    <row r="302" spans="1:26" s="27" customFormat="1" outlineLevel="1" collapsed="1" x14ac:dyDescent="0.25">
      <c r="A302" s="25"/>
      <c r="B302" s="13" t="str">
        <f>CONCATENATE("     ","Training                                          ")</f>
        <v xml:space="preserve">     Training                                          </v>
      </c>
      <c r="C302" s="13"/>
      <c r="D302" s="1">
        <f>SUM(OSRRefD22_24x_0)</f>
        <v>2140.13</v>
      </c>
      <c r="E302" s="1"/>
      <c r="F302" s="5">
        <f t="shared" ref="F302:F307" si="140">IF(D$12=0,0,D302/D$12)</f>
        <v>4.2278978236854814E-3</v>
      </c>
      <c r="G302" s="1"/>
      <c r="H302" s="1">
        <f>SUM(OSRRefH22_24x_0)</f>
        <v>1408.99</v>
      </c>
      <c r="I302" s="1"/>
      <c r="J302" s="5">
        <f t="shared" ref="J302:J307" si="141">IF(H$12=0,0,H302/H$12)</f>
        <v>5.2649494573969616E-4</v>
      </c>
      <c r="K302" s="1"/>
      <c r="L302" s="1">
        <f t="shared" ref="L302:L307" si="142">+D302-H302</f>
        <v>731.1400000000001</v>
      </c>
      <c r="M302" s="1"/>
      <c r="N302" s="5">
        <f t="shared" ref="N302:N307" si="143">IF(H302=0,0,L302/H302)</f>
        <v>0.51891070908948966</v>
      </c>
      <c r="O302" s="13"/>
      <c r="P302" s="1">
        <f>SUM(OSRRefP22_24x_0)</f>
        <v>37550.239999999998</v>
      </c>
      <c r="Q302" s="1"/>
      <c r="R302" s="5">
        <f t="shared" ref="R302:R307" si="144">IF(P$12=0,0,P302/P$12)</f>
        <v>1.3386968976809278E-3</v>
      </c>
      <c r="S302" s="1"/>
      <c r="T302" s="1">
        <f>SUM(OSRRefT22_24x_0)</f>
        <v>38124.71</v>
      </c>
      <c r="U302" s="1"/>
      <c r="V302" s="5">
        <f t="shared" ref="V302:V307" si="145">IF(T$12=0,0,T302/T$12)</f>
        <v>1.0906298834781651E-3</v>
      </c>
      <c r="W302" s="1"/>
      <c r="X302" s="1">
        <f t="shared" ref="X302:X307" si="146">+P302-T302</f>
        <v>-574.47000000000116</v>
      </c>
      <c r="Y302" s="1"/>
      <c r="Z302" s="5">
        <f t="shared" ref="Z302:Z307" si="147">IF(T302=0,0,X302/T302)</f>
        <v>-1.5068180190747711E-2</v>
      </c>
    </row>
    <row r="303" spans="1:26" s="24" customFormat="1" hidden="1" outlineLevel="2" x14ac:dyDescent="0.25">
      <c r="A303" s="26"/>
      <c r="B303" s="11" t="str">
        <f>CONCATENATE("          ", "6376", " - ", "TRAINING")</f>
        <v xml:space="preserve">          6376 - TRAINING</v>
      </c>
      <c r="C303" s="11"/>
      <c r="D303" s="6">
        <v>2140.13</v>
      </c>
      <c r="E303" s="2"/>
      <c r="F303" s="7">
        <f t="shared" si="140"/>
        <v>4.2278978236854814E-3</v>
      </c>
      <c r="G303" s="2"/>
      <c r="H303" s="6">
        <v>1408.99</v>
      </c>
      <c r="I303" s="2"/>
      <c r="J303" s="7">
        <f t="shared" si="141"/>
        <v>5.2649494573969616E-4</v>
      </c>
      <c r="K303" s="2"/>
      <c r="L303" s="6">
        <f t="shared" si="142"/>
        <v>731.1400000000001</v>
      </c>
      <c r="M303" s="2"/>
      <c r="N303" s="7">
        <f t="shared" si="143"/>
        <v>0.51891070908948966</v>
      </c>
      <c r="O303" s="11"/>
      <c r="P303" s="6">
        <v>37550.239999999998</v>
      </c>
      <c r="Q303" s="2"/>
      <c r="R303" s="7">
        <f t="shared" si="144"/>
        <v>1.3386968976809278E-3</v>
      </c>
      <c r="S303" s="2"/>
      <c r="T303" s="6">
        <v>38124.71</v>
      </c>
      <c r="U303" s="2"/>
      <c r="V303" s="7">
        <f t="shared" si="145"/>
        <v>1.0906298834781651E-3</v>
      </c>
      <c r="W303" s="2"/>
      <c r="X303" s="6">
        <f t="shared" si="146"/>
        <v>-574.47000000000116</v>
      </c>
      <c r="Y303" s="2"/>
      <c r="Z303" s="7">
        <f t="shared" si="147"/>
        <v>-1.5068180190747711E-2</v>
      </c>
    </row>
    <row r="304" spans="1:26" s="27" customFormat="1" outlineLevel="1" collapsed="1" x14ac:dyDescent="0.25">
      <c r="A304" s="25"/>
      <c r="B304" s="13" t="str">
        <f>CONCATENATE("     ","Travel                                            ")</f>
        <v xml:space="preserve">     Travel                                            </v>
      </c>
      <c r="C304" s="13"/>
      <c r="D304" s="1">
        <f>SUM(OSRRefD22_25x_0)</f>
        <v>0</v>
      </c>
      <c r="E304" s="1"/>
      <c r="F304" s="5">
        <f t="shared" si="140"/>
        <v>0</v>
      </c>
      <c r="G304" s="1"/>
      <c r="H304" s="1">
        <f>SUM(OSRRefH22_25x_0)</f>
        <v>1034.76</v>
      </c>
      <c r="I304" s="1"/>
      <c r="J304" s="5">
        <f t="shared" si="141"/>
        <v>3.8665704515547164E-4</v>
      </c>
      <c r="K304" s="1"/>
      <c r="L304" s="1">
        <f t="shared" si="142"/>
        <v>-1034.76</v>
      </c>
      <c r="M304" s="1"/>
      <c r="N304" s="5">
        <f t="shared" si="143"/>
        <v>-1</v>
      </c>
      <c r="O304" s="13"/>
      <c r="P304" s="1">
        <f>SUM(OSRRefP22_25x_0)</f>
        <v>9441.3100000000013</v>
      </c>
      <c r="Q304" s="1"/>
      <c r="R304" s="5">
        <f t="shared" si="144"/>
        <v>3.3659045606749573E-4</v>
      </c>
      <c r="S304" s="1"/>
      <c r="T304" s="1">
        <f>SUM(OSRRefT22_25x_0)</f>
        <v>11924.810000000001</v>
      </c>
      <c r="U304" s="1"/>
      <c r="V304" s="5">
        <f t="shared" si="145"/>
        <v>3.4113188377824411E-4</v>
      </c>
      <c r="W304" s="1"/>
      <c r="X304" s="1">
        <f t="shared" si="146"/>
        <v>-2483.5</v>
      </c>
      <c r="Y304" s="1"/>
      <c r="Z304" s="5">
        <f t="shared" si="147"/>
        <v>-0.20826327631215924</v>
      </c>
    </row>
    <row r="305" spans="1:26" s="24" customFormat="1" hidden="1" outlineLevel="2" x14ac:dyDescent="0.25">
      <c r="A305" s="26"/>
      <c r="B305" s="11" t="str">
        <f>CONCATENATE("          ", "6292", " - ", "TRAVEL/CONFERENCE")</f>
        <v xml:space="preserve">          6292 - TRAVEL/CONFERENCE</v>
      </c>
      <c r="C305" s="11"/>
      <c r="D305" s="6"/>
      <c r="E305" s="2"/>
      <c r="F305" s="7">
        <f t="shared" si="140"/>
        <v>0</v>
      </c>
      <c r="G305" s="2"/>
      <c r="H305" s="6">
        <v>753.24</v>
      </c>
      <c r="I305" s="2"/>
      <c r="J305" s="7">
        <f t="shared" si="141"/>
        <v>2.8146193580434834E-4</v>
      </c>
      <c r="K305" s="2"/>
      <c r="L305" s="6">
        <f t="shared" si="142"/>
        <v>-753.24</v>
      </c>
      <c r="M305" s="2"/>
      <c r="N305" s="7">
        <f t="shared" si="143"/>
        <v>-1</v>
      </c>
      <c r="O305" s="11"/>
      <c r="P305" s="6">
        <v>7216.54</v>
      </c>
      <c r="Q305" s="2"/>
      <c r="R305" s="7">
        <f t="shared" si="144"/>
        <v>2.57275578265021E-4</v>
      </c>
      <c r="S305" s="2"/>
      <c r="T305" s="6">
        <v>7178.51</v>
      </c>
      <c r="U305" s="2"/>
      <c r="V305" s="7">
        <f t="shared" si="145"/>
        <v>2.0535493974503264E-4</v>
      </c>
      <c r="W305" s="2"/>
      <c r="X305" s="6">
        <f t="shared" si="146"/>
        <v>38.029999999999745</v>
      </c>
      <c r="Y305" s="2"/>
      <c r="Z305" s="7">
        <f t="shared" si="147"/>
        <v>5.2977567768241239E-3</v>
      </c>
    </row>
    <row r="306" spans="1:26" s="24" customFormat="1" hidden="1" outlineLevel="2" x14ac:dyDescent="0.25">
      <c r="A306" s="26"/>
      <c r="B306" s="11" t="str">
        <f>CONCATENATE("          ", "6294", " - ", "TRAVEL OPERATIONAL")</f>
        <v xml:space="preserve">          6294 - TRAVEL OPERATIONAL</v>
      </c>
      <c r="C306" s="11"/>
      <c r="D306" s="6"/>
      <c r="E306" s="2"/>
      <c r="F306" s="7">
        <f t="shared" si="140"/>
        <v>0</v>
      </c>
      <c r="G306" s="2"/>
      <c r="H306" s="6"/>
      <c r="I306" s="2"/>
      <c r="J306" s="7">
        <f t="shared" si="141"/>
        <v>0</v>
      </c>
      <c r="K306" s="2"/>
      <c r="L306" s="6">
        <f t="shared" si="142"/>
        <v>0</v>
      </c>
      <c r="M306" s="2"/>
      <c r="N306" s="7">
        <f t="shared" si="143"/>
        <v>0</v>
      </c>
      <c r="O306" s="11"/>
      <c r="P306" s="6">
        <v>418.6</v>
      </c>
      <c r="Q306" s="2"/>
      <c r="R306" s="7">
        <f t="shared" si="144"/>
        <v>1.4923433814783512E-5</v>
      </c>
      <c r="S306" s="2"/>
      <c r="T306" s="6">
        <v>2811.36</v>
      </c>
      <c r="U306" s="2"/>
      <c r="V306" s="7">
        <f t="shared" si="145"/>
        <v>8.0424303010178297E-5</v>
      </c>
      <c r="W306" s="2"/>
      <c r="X306" s="6">
        <f t="shared" si="146"/>
        <v>-2392.7600000000002</v>
      </c>
      <c r="Y306" s="2"/>
      <c r="Z306" s="7">
        <f t="shared" si="147"/>
        <v>-0.85110409196972292</v>
      </c>
    </row>
    <row r="307" spans="1:26" s="24" customFormat="1" hidden="1" outlineLevel="2" x14ac:dyDescent="0.25">
      <c r="A307" s="26"/>
      <c r="B307" s="11" t="str">
        <f>CONCATENATE("          ", "6298", " - ", "VEHICLE MILEAGE")</f>
        <v xml:space="preserve">          6298 - VEHICLE MILEAGE</v>
      </c>
      <c r="C307" s="11"/>
      <c r="D307" s="6"/>
      <c r="E307" s="2"/>
      <c r="F307" s="7">
        <f t="shared" si="140"/>
        <v>0</v>
      </c>
      <c r="G307" s="2"/>
      <c r="H307" s="6">
        <v>281.52</v>
      </c>
      <c r="I307" s="2"/>
      <c r="J307" s="7">
        <f t="shared" si="141"/>
        <v>1.0519510935112333E-4</v>
      </c>
      <c r="K307" s="2"/>
      <c r="L307" s="6">
        <f t="shared" si="142"/>
        <v>-281.52</v>
      </c>
      <c r="M307" s="2"/>
      <c r="N307" s="7">
        <f t="shared" si="143"/>
        <v>-1</v>
      </c>
      <c r="O307" s="11"/>
      <c r="P307" s="6">
        <v>1806.17</v>
      </c>
      <c r="Q307" s="2"/>
      <c r="R307" s="7">
        <f t="shared" si="144"/>
        <v>6.439144398769119E-5</v>
      </c>
      <c r="S307" s="2"/>
      <c r="T307" s="6">
        <v>1934.94</v>
      </c>
      <c r="U307" s="2"/>
      <c r="V307" s="7">
        <f t="shared" si="145"/>
        <v>5.5352641023033118E-5</v>
      </c>
      <c r="W307" s="2"/>
      <c r="X307" s="6">
        <f t="shared" si="146"/>
        <v>-128.76999999999998</v>
      </c>
      <c r="Y307" s="2"/>
      <c r="Z307" s="7">
        <f t="shared" si="147"/>
        <v>-6.6549867179344052E-2</v>
      </c>
    </row>
    <row r="308" spans="1:26" s="27" customFormat="1" outlineLevel="1" collapsed="1" x14ac:dyDescent="0.25">
      <c r="A308" s="25"/>
      <c r="B308" s="13" t="str">
        <f>CONCATENATE("     ","Utilities                                         ")</f>
        <v xml:space="preserve">     Utilities                                         </v>
      </c>
      <c r="C308" s="13"/>
      <c r="D308" s="1">
        <f>SUM(OSRRefD22_26x_0)</f>
        <v>22851.43</v>
      </c>
      <c r="E308" s="1"/>
      <c r="F308" s="5">
        <f t="shared" ref="F308:F309" si="148">IF(D$12=0,0,D308/D$12)</f>
        <v>4.5143758166607227E-2</v>
      </c>
      <c r="G308" s="1"/>
      <c r="H308" s="1">
        <f>SUM(OSRRefH22_26x_0)</f>
        <v>20367.190000000002</v>
      </c>
      <c r="I308" s="1"/>
      <c r="J308" s="5">
        <f t="shared" ref="J308:J309" si="149">IF(H$12=0,0,H308/H$12)</f>
        <v>7.6105739529166872E-3</v>
      </c>
      <c r="K308" s="1"/>
      <c r="L308" s="1">
        <f t="shared" ref="L308:L309" si="150">+D308-H308</f>
        <v>2484.239999999998</v>
      </c>
      <c r="M308" s="1"/>
      <c r="N308" s="5">
        <f t="shared" ref="N308:N309" si="151">IF(H308=0,0,L308/H308)</f>
        <v>0.12197264325613881</v>
      </c>
      <c r="O308" s="13"/>
      <c r="P308" s="1">
        <f>SUM(OSRRefP22_26x_0)</f>
        <v>251770.52000000002</v>
      </c>
      <c r="Q308" s="1"/>
      <c r="R308" s="5">
        <f t="shared" ref="R308:R309" si="152">IF(P$12=0,0,P308/P$12)</f>
        <v>8.9758258283173156E-3</v>
      </c>
      <c r="S308" s="1"/>
      <c r="T308" s="1">
        <f>SUM(OSRRefT22_26x_0)</f>
        <v>189147.43</v>
      </c>
      <c r="U308" s="1"/>
      <c r="V308" s="5">
        <f t="shared" ref="V308:V309" si="153">IF(T$12=0,0,T308/T$12)</f>
        <v>5.4109221956336034E-3</v>
      </c>
      <c r="W308" s="1"/>
      <c r="X308" s="1">
        <f t="shared" ref="X308:X309" si="154">+P308-T308</f>
        <v>62623.090000000026</v>
      </c>
      <c r="Y308" s="1"/>
      <c r="Z308" s="5">
        <f t="shared" ref="Z308:Z309" si="155">IF(T308=0,0,X308/T308)</f>
        <v>0.3310808399564299</v>
      </c>
    </row>
    <row r="309" spans="1:26" s="24" customFormat="1" hidden="1" outlineLevel="2" x14ac:dyDescent="0.25">
      <c r="A309" s="26"/>
      <c r="B309" s="11" t="str">
        <f>CONCATENATE("          ", "6274", " - ", "UTILITIES")</f>
        <v xml:space="preserve">          6274 - UTILITIES</v>
      </c>
      <c r="C309" s="11"/>
      <c r="D309" s="6">
        <v>22851.43</v>
      </c>
      <c r="E309" s="2"/>
      <c r="F309" s="7">
        <f t="shared" si="148"/>
        <v>4.5143758166607227E-2</v>
      </c>
      <c r="G309" s="2"/>
      <c r="H309" s="6">
        <v>20367.190000000002</v>
      </c>
      <c r="I309" s="2"/>
      <c r="J309" s="7">
        <f t="shared" si="149"/>
        <v>7.6105739529166872E-3</v>
      </c>
      <c r="K309" s="2"/>
      <c r="L309" s="6">
        <f t="shared" si="150"/>
        <v>2484.239999999998</v>
      </c>
      <c r="M309" s="2"/>
      <c r="N309" s="7">
        <f t="shared" si="151"/>
        <v>0.12197264325613881</v>
      </c>
      <c r="O309" s="11"/>
      <c r="P309" s="6">
        <v>251770.52000000002</v>
      </c>
      <c r="Q309" s="2"/>
      <c r="R309" s="7">
        <f t="shared" si="152"/>
        <v>8.9758258283173156E-3</v>
      </c>
      <c r="S309" s="2"/>
      <c r="T309" s="6">
        <v>189147.43</v>
      </c>
      <c r="U309" s="2"/>
      <c r="V309" s="7">
        <f t="shared" si="153"/>
        <v>5.4109221956336034E-3</v>
      </c>
      <c r="W309" s="2"/>
      <c r="X309" s="6">
        <f t="shared" si="154"/>
        <v>62623.090000000026</v>
      </c>
      <c r="Y309" s="2"/>
      <c r="Z309" s="7">
        <f t="shared" si="155"/>
        <v>0.3310808399564299</v>
      </c>
    </row>
    <row r="310" spans="1:26" s="58" customFormat="1" x14ac:dyDescent="0.25">
      <c r="A310" s="37"/>
      <c r="B310" s="37"/>
      <c r="C310" s="37"/>
      <c r="D310" s="1"/>
      <c r="E310" s="1"/>
      <c r="F310" s="5"/>
      <c r="G310" s="1"/>
      <c r="H310" s="1"/>
      <c r="I310" s="1"/>
      <c r="J310" s="5"/>
      <c r="K310" s="1"/>
      <c r="L310" s="1"/>
      <c r="M310" s="1"/>
      <c r="N310" s="5"/>
      <c r="O310" s="37"/>
      <c r="P310" s="1"/>
      <c r="Q310" s="1"/>
      <c r="R310" s="5"/>
      <c r="S310" s="1"/>
      <c r="T310" s="1"/>
      <c r="U310" s="1"/>
      <c r="V310" s="5"/>
      <c r="W310" s="1"/>
      <c r="X310" s="1"/>
      <c r="Y310" s="1"/>
      <c r="Z310" s="5"/>
    </row>
    <row r="311" spans="1:26" s="23" customFormat="1" collapsed="1" x14ac:dyDescent="0.25">
      <c r="A311" s="10"/>
      <c r="B311" s="28" t="s">
        <v>0</v>
      </c>
      <c r="C311" s="10"/>
      <c r="D311" s="4">
        <f>SUM(OSRRefD25x_0)</f>
        <v>114560.20999999999</v>
      </c>
      <c r="E311" s="4"/>
      <c r="F311" s="12">
        <f t="shared" ref="F311:F324" si="156">IF(D$12=0,0,D311/D$12)</f>
        <v>0.22631749591844968</v>
      </c>
      <c r="G311" s="4"/>
      <c r="H311" s="4">
        <f>SUM(OSRRefH25x_0)</f>
        <v>188920.42</v>
      </c>
      <c r="I311" s="4"/>
      <c r="J311" s="12">
        <f t="shared" ref="J311:J324" si="157">IF(H$12=0,0,H311/H$12)</f>
        <v>7.0593578575448096E-2</v>
      </c>
      <c r="K311" s="4"/>
      <c r="L311" s="4">
        <f t="shared" ref="L311:L324" si="158">+D311-H311</f>
        <v>-74360.210000000021</v>
      </c>
      <c r="M311" s="4"/>
      <c r="N311" s="12">
        <f t="shared" ref="N311:N324" si="159">IF(H311=0,0,L311/H311)</f>
        <v>-0.39360599558269038</v>
      </c>
      <c r="O311" s="10"/>
      <c r="P311" s="4">
        <f>SUM(OSRRefP25x_0)</f>
        <v>1890337.32</v>
      </c>
      <c r="Q311" s="4"/>
      <c r="R311" s="12">
        <f t="shared" ref="R311:R324" si="160">IF(P$12=0,0,P311/P$12)</f>
        <v>6.7392078076051687E-2</v>
      </c>
      <c r="S311" s="4"/>
      <c r="T311" s="4">
        <f>SUM(OSRRefT25x_0)</f>
        <v>1917368.8199999998</v>
      </c>
      <c r="U311" s="4"/>
      <c r="V311" s="12">
        <f t="shared" ref="V311:V324" si="161">IF(T$12=0,0,T311/T$12)</f>
        <v>5.4849983979976945E-2</v>
      </c>
      <c r="W311" s="4"/>
      <c r="X311" s="4">
        <f t="shared" ref="X311:X324" si="162">+P311-T311</f>
        <v>-27031.499999999767</v>
      </c>
      <c r="Y311" s="4"/>
      <c r="Z311" s="12">
        <f t="shared" ref="Z311:Z324" si="163">IF(T311=0,0,X311/T311)</f>
        <v>-1.4098226547774867E-2</v>
      </c>
    </row>
    <row r="312" spans="1:26" s="24" customFormat="1" hidden="1" outlineLevel="1" x14ac:dyDescent="0.25">
      <c r="A312" s="44"/>
      <c r="B312" s="11" t="str">
        <f>CONCATENATE("          ", "4098", " - ", "TAXABLE SALES-GRAD RENTALS")</f>
        <v xml:space="preserve">          4098 - TAXABLE SALES-GRAD RENTALS</v>
      </c>
      <c r="C312" s="11"/>
      <c r="D312" s="2">
        <f>-152</f>
        <v>-152</v>
      </c>
      <c r="E312" s="2"/>
      <c r="F312" s="19">
        <f t="shared" si="156"/>
        <v>-3.0028104330119814E-4</v>
      </c>
      <c r="G312" s="2"/>
      <c r="H312" s="2">
        <f>--70358.28</f>
        <v>70358.28</v>
      </c>
      <c r="I312" s="2"/>
      <c r="J312" s="19">
        <f t="shared" si="157"/>
        <v>2.6290661261569172E-2</v>
      </c>
      <c r="K312" s="2"/>
      <c r="L312" s="2">
        <f t="shared" si="158"/>
        <v>-70510.28</v>
      </c>
      <c r="M312" s="2"/>
      <c r="N312" s="19">
        <f t="shared" si="159"/>
        <v>-1.0021603711745086</v>
      </c>
      <c r="O312" s="11"/>
      <c r="P312" s="2">
        <f>--1946.85</f>
        <v>1946.85</v>
      </c>
      <c r="Q312" s="2"/>
      <c r="R312" s="19">
        <f t="shared" si="160"/>
        <v>6.9406801534427324E-5</v>
      </c>
      <c r="S312" s="2"/>
      <c r="T312" s="2">
        <f>--77432.28</f>
        <v>77432.28</v>
      </c>
      <c r="U312" s="2"/>
      <c r="V312" s="19">
        <f t="shared" si="161"/>
        <v>2.2150977283197345E-3</v>
      </c>
      <c r="W312" s="2"/>
      <c r="X312" s="2">
        <f t="shared" si="162"/>
        <v>-75485.429999999993</v>
      </c>
      <c r="Y312" s="2"/>
      <c r="Z312" s="19">
        <f t="shared" si="163"/>
        <v>-0.97485738505956421</v>
      </c>
    </row>
    <row r="313" spans="1:26" s="24" customFormat="1" hidden="1" outlineLevel="1" x14ac:dyDescent="0.25">
      <c r="A313" s="44"/>
      <c r="B313" s="11" t="str">
        <f>CONCATENATE("          ", "4187", " - ", "NON-TAXABLE SALES-COMPUTER REP")</f>
        <v xml:space="preserve">          4187 - NON-TAXABLE SALES-COMPUTER REP</v>
      </c>
      <c r="C313" s="11"/>
      <c r="D313" s="2">
        <f>--99.99</f>
        <v>99.99</v>
      </c>
      <c r="E313" s="2"/>
      <c r="F313" s="19">
        <f t="shared" si="156"/>
        <v>1.9753356262951842E-4</v>
      </c>
      <c r="G313" s="2"/>
      <c r="H313" s="2">
        <f>--423.21</f>
        <v>423.21</v>
      </c>
      <c r="I313" s="2"/>
      <c r="J313" s="19">
        <f t="shared" si="157"/>
        <v>1.5814017557718422E-4</v>
      </c>
      <c r="K313" s="2"/>
      <c r="L313" s="2">
        <f t="shared" si="158"/>
        <v>-323.21999999999997</v>
      </c>
      <c r="M313" s="2"/>
      <c r="N313" s="19">
        <f t="shared" si="159"/>
        <v>-0.76373431629687383</v>
      </c>
      <c r="O313" s="11"/>
      <c r="P313" s="2">
        <f>--16283.19</f>
        <v>16283.19</v>
      </c>
      <c r="Q313" s="2"/>
      <c r="R313" s="19">
        <f t="shared" si="160"/>
        <v>5.8050909760760797E-4</v>
      </c>
      <c r="S313" s="2"/>
      <c r="T313" s="2">
        <f>--7255.58</f>
        <v>7255.58</v>
      </c>
      <c r="U313" s="2"/>
      <c r="V313" s="19">
        <f t="shared" si="161"/>
        <v>2.0755967376450879E-4</v>
      </c>
      <c r="W313" s="2"/>
      <c r="X313" s="2">
        <f t="shared" si="162"/>
        <v>9027.61</v>
      </c>
      <c r="Y313" s="2"/>
      <c r="Z313" s="19">
        <f t="shared" si="163"/>
        <v>1.2442299581839082</v>
      </c>
    </row>
    <row r="314" spans="1:26" s="24" customFormat="1" hidden="1" outlineLevel="1" x14ac:dyDescent="0.25">
      <c r="A314" s="44"/>
      <c r="B314" s="11" t="str">
        <f>CONCATENATE("          ", "4197", " - ", "NON-TAXABLE SALES-RETURNED CHE")</f>
        <v xml:space="preserve">          4197 - NON-TAXABLE SALES-RETURNED CHE</v>
      </c>
      <c r="C314" s="11"/>
      <c r="D314" s="2">
        <f>0</f>
        <v>0</v>
      </c>
      <c r="E314" s="2"/>
      <c r="F314" s="19">
        <f t="shared" si="156"/>
        <v>0</v>
      </c>
      <c r="G314" s="2"/>
      <c r="H314" s="2">
        <f>0</f>
        <v>0</v>
      </c>
      <c r="I314" s="2"/>
      <c r="J314" s="19">
        <f t="shared" si="157"/>
        <v>0</v>
      </c>
      <c r="K314" s="2"/>
      <c r="L314" s="2">
        <f t="shared" si="158"/>
        <v>0</v>
      </c>
      <c r="M314" s="2"/>
      <c r="N314" s="19">
        <f t="shared" si="159"/>
        <v>0</v>
      </c>
      <c r="O314" s="11"/>
      <c r="P314" s="2">
        <f>--30</f>
        <v>30</v>
      </c>
      <c r="Q314" s="2"/>
      <c r="R314" s="19">
        <f t="shared" si="160"/>
        <v>1.0695246403332663E-6</v>
      </c>
      <c r="S314" s="2"/>
      <c r="T314" s="2">
        <f>--335</f>
        <v>335</v>
      </c>
      <c r="U314" s="2"/>
      <c r="V314" s="19">
        <f t="shared" si="161"/>
        <v>9.5833125278903193E-6</v>
      </c>
      <c r="W314" s="2"/>
      <c r="X314" s="2">
        <f t="shared" si="162"/>
        <v>-305</v>
      </c>
      <c r="Y314" s="2"/>
      <c r="Z314" s="19">
        <f t="shared" si="163"/>
        <v>-0.91044776119402981</v>
      </c>
    </row>
    <row r="315" spans="1:26" s="24" customFormat="1" hidden="1" outlineLevel="1" x14ac:dyDescent="0.25">
      <c r="A315" s="44"/>
      <c r="B315" s="11" t="str">
        <f>CONCATENATE("          ", "4198", " - ", "NON-TAXABLE SALES-GRAD RENTALS")</f>
        <v xml:space="preserve">          4198 - NON-TAXABLE SALES-GRAD RENTALS</v>
      </c>
      <c r="C315" s="11"/>
      <c r="D315" s="2">
        <f>-3469.7</f>
        <v>-3469.7</v>
      </c>
      <c r="E315" s="2"/>
      <c r="F315" s="19">
        <f t="shared" si="156"/>
        <v>-6.8545074733037314E-3</v>
      </c>
      <c r="G315" s="2"/>
      <c r="H315" s="2">
        <f>--1245</f>
        <v>1245</v>
      </c>
      <c r="I315" s="2"/>
      <c r="J315" s="19">
        <f t="shared" si="157"/>
        <v>4.65217075668331E-4</v>
      </c>
      <c r="K315" s="2"/>
      <c r="L315" s="2">
        <f t="shared" si="158"/>
        <v>-4714.7</v>
      </c>
      <c r="M315" s="2"/>
      <c r="N315" s="19">
        <f t="shared" si="159"/>
        <v>-3.7869076305220881</v>
      </c>
      <c r="O315" s="11"/>
      <c r="P315" s="2">
        <f>--163.76</f>
        <v>163.76</v>
      </c>
      <c r="Q315" s="2"/>
      <c r="R315" s="19">
        <f t="shared" si="160"/>
        <v>5.8381785033658563E-6</v>
      </c>
      <c r="S315" s="2"/>
      <c r="T315" s="2">
        <f>--385810.85</f>
        <v>385810.85</v>
      </c>
      <c r="U315" s="2"/>
      <c r="V315" s="19">
        <f t="shared" si="161"/>
        <v>1.1036853588659738E-2</v>
      </c>
      <c r="W315" s="2"/>
      <c r="X315" s="2">
        <f t="shared" si="162"/>
        <v>-385647.08999999997</v>
      </c>
      <c r="Y315" s="2"/>
      <c r="Z315" s="19">
        <f t="shared" si="163"/>
        <v>-0.99957554330055776</v>
      </c>
    </row>
    <row r="316" spans="1:26" s="24" customFormat="1" hidden="1" outlineLevel="1" x14ac:dyDescent="0.25">
      <c r="A316" s="44"/>
      <c r="B316" s="11" t="str">
        <f>CONCATENATE("          ", "4387", " - ", "SALES RETURN NON TAXABLE-COMPU")</f>
        <v xml:space="preserve">          4387 - SALES RETURN NON TAXABLE-COMPU</v>
      </c>
      <c r="C316" s="11"/>
      <c r="D316" s="2">
        <f>0</f>
        <v>0</v>
      </c>
      <c r="E316" s="2"/>
      <c r="F316" s="19">
        <f t="shared" si="156"/>
        <v>0</v>
      </c>
      <c r="G316" s="2"/>
      <c r="H316" s="2">
        <f t="shared" ref="H316:H317" si="164">0</f>
        <v>0</v>
      </c>
      <c r="I316" s="2"/>
      <c r="J316" s="19">
        <f t="shared" si="157"/>
        <v>0</v>
      </c>
      <c r="K316" s="2"/>
      <c r="L316" s="2">
        <f t="shared" si="158"/>
        <v>0</v>
      </c>
      <c r="M316" s="2"/>
      <c r="N316" s="19">
        <f t="shared" si="159"/>
        <v>0</v>
      </c>
      <c r="O316" s="11"/>
      <c r="P316" s="2">
        <f>-7889</f>
        <v>-7889</v>
      </c>
      <c r="Q316" s="2"/>
      <c r="R316" s="19">
        <f t="shared" si="160"/>
        <v>-2.8124932958630461E-4</v>
      </c>
      <c r="S316" s="2"/>
      <c r="T316" s="2">
        <f>0</f>
        <v>0</v>
      </c>
      <c r="U316" s="2"/>
      <c r="V316" s="19">
        <f t="shared" si="161"/>
        <v>0</v>
      </c>
      <c r="W316" s="2"/>
      <c r="X316" s="2">
        <f t="shared" si="162"/>
        <v>-7889</v>
      </c>
      <c r="Y316" s="2"/>
      <c r="Z316" s="19">
        <f t="shared" si="163"/>
        <v>0</v>
      </c>
    </row>
    <row r="317" spans="1:26" s="24" customFormat="1" hidden="1" outlineLevel="1" x14ac:dyDescent="0.25">
      <c r="A317" s="44"/>
      <c r="B317" s="11" t="str">
        <f>CONCATENATE("          ", "5087", " - ", "PURCHASES @ COST-COMPUTER REPA")</f>
        <v xml:space="preserve">          5087 - PURCHASES @ COST-COMPUTER REPA</v>
      </c>
      <c r="C317" s="11"/>
      <c r="D317" s="2">
        <f>--32.7</f>
        <v>32.700000000000003</v>
      </c>
      <c r="E317" s="2"/>
      <c r="F317" s="19">
        <f t="shared" si="156"/>
        <v>6.4599934973349864E-5</v>
      </c>
      <c r="G317" s="2"/>
      <c r="H317" s="2">
        <f t="shared" si="164"/>
        <v>0</v>
      </c>
      <c r="I317" s="2"/>
      <c r="J317" s="19">
        <f t="shared" si="157"/>
        <v>0</v>
      </c>
      <c r="K317" s="2"/>
      <c r="L317" s="2">
        <f t="shared" si="158"/>
        <v>32.700000000000003</v>
      </c>
      <c r="M317" s="2"/>
      <c r="N317" s="19">
        <f t="shared" si="159"/>
        <v>0</v>
      </c>
      <c r="O317" s="11"/>
      <c r="P317" s="2">
        <f>-72.06</f>
        <v>-72.06</v>
      </c>
      <c r="Q317" s="2"/>
      <c r="R317" s="19">
        <f t="shared" si="160"/>
        <v>-2.5689981860805057E-6</v>
      </c>
      <c r="S317" s="2"/>
      <c r="T317" s="2">
        <f>-240.2</f>
        <v>-240.2</v>
      </c>
      <c r="U317" s="2"/>
      <c r="V317" s="19">
        <f t="shared" si="161"/>
        <v>-6.8713781170127005E-6</v>
      </c>
      <c r="W317" s="2"/>
      <c r="X317" s="2">
        <f t="shared" si="162"/>
        <v>168.14</v>
      </c>
      <c r="Y317" s="2"/>
      <c r="Z317" s="19">
        <f t="shared" si="163"/>
        <v>-0.7</v>
      </c>
    </row>
    <row r="318" spans="1:26" s="24" customFormat="1" hidden="1" outlineLevel="1" x14ac:dyDescent="0.25">
      <c r="A318" s="44"/>
      <c r="B318" s="11" t="str">
        <f>CONCATENATE("          ", "9150", " - ", "MISC. INCOME")</f>
        <v xml:space="preserve">          9150 - MISC. INCOME</v>
      </c>
      <c r="C318" s="11"/>
      <c r="D318" s="2">
        <f>--47998.15</f>
        <v>47998.15</v>
      </c>
      <c r="E318" s="2"/>
      <c r="F318" s="19">
        <f t="shared" si="156"/>
        <v>9.482193788504871E-2</v>
      </c>
      <c r="G318" s="2"/>
      <c r="H318" s="2">
        <f>--78621.54</f>
        <v>78621.539999999994</v>
      </c>
      <c r="I318" s="2"/>
      <c r="J318" s="19">
        <f t="shared" si="157"/>
        <v>2.9378379858104989E-2</v>
      </c>
      <c r="K318" s="2"/>
      <c r="L318" s="2">
        <f t="shared" si="158"/>
        <v>-30623.389999999992</v>
      </c>
      <c r="M318" s="2"/>
      <c r="N318" s="19">
        <f t="shared" si="159"/>
        <v>-0.38950381791046063</v>
      </c>
      <c r="O318" s="11"/>
      <c r="P318" s="2">
        <f>--815733.81</f>
        <v>815733.81</v>
      </c>
      <c r="Q318" s="2"/>
      <c r="R318" s="19">
        <f t="shared" si="160"/>
        <v>2.9081580324931171E-2</v>
      </c>
      <c r="S318" s="2"/>
      <c r="T318" s="2">
        <f>--994781.64</f>
        <v>994781.64</v>
      </c>
      <c r="U318" s="2"/>
      <c r="V318" s="19">
        <f t="shared" si="161"/>
        <v>2.8457621949633666E-2</v>
      </c>
      <c r="W318" s="2"/>
      <c r="X318" s="2">
        <f t="shared" si="162"/>
        <v>-179047.82999999996</v>
      </c>
      <c r="Y318" s="2"/>
      <c r="Z318" s="19">
        <f t="shared" si="163"/>
        <v>-0.17998706731258124</v>
      </c>
    </row>
    <row r="319" spans="1:26" s="24" customFormat="1" hidden="1" outlineLevel="1" x14ac:dyDescent="0.25">
      <c r="A319" s="44"/>
      <c r="B319" s="11" t="str">
        <f>CONCATENATE("          ", "9151", " - ", "MISC. INCOME")</f>
        <v xml:space="preserve">          9151 - MISC. INCOME</v>
      </c>
      <c r="C319" s="11"/>
      <c r="D319" s="2">
        <f>0</f>
        <v>0</v>
      </c>
      <c r="E319" s="2"/>
      <c r="F319" s="19">
        <f t="shared" si="156"/>
        <v>0</v>
      </c>
      <c r="G319" s="2"/>
      <c r="H319" s="2">
        <f>--33793.79</f>
        <v>33793.79</v>
      </c>
      <c r="I319" s="2"/>
      <c r="J319" s="19">
        <f t="shared" si="157"/>
        <v>1.262766920445758E-2</v>
      </c>
      <c r="K319" s="2"/>
      <c r="L319" s="2">
        <f t="shared" si="158"/>
        <v>-33793.79</v>
      </c>
      <c r="M319" s="2"/>
      <c r="N319" s="19">
        <f t="shared" si="159"/>
        <v>-1</v>
      </c>
      <c r="O319" s="11"/>
      <c r="P319" s="2">
        <f>--169392.7</f>
        <v>169392.7</v>
      </c>
      <c r="Q319" s="2"/>
      <c r="R319" s="19">
        <f t="shared" si="160"/>
        <v>6.0389888847526968E-3</v>
      </c>
      <c r="S319" s="2"/>
      <c r="T319" s="2">
        <f>--498.26</f>
        <v>498.26</v>
      </c>
      <c r="U319" s="2"/>
      <c r="V319" s="19">
        <f t="shared" si="161"/>
        <v>1.4253675522825763E-5</v>
      </c>
      <c r="W319" s="2"/>
      <c r="X319" s="2">
        <f t="shared" si="162"/>
        <v>168894.44</v>
      </c>
      <c r="Y319" s="2"/>
      <c r="Z319" s="19">
        <f t="shared" si="163"/>
        <v>338.96849034640547</v>
      </c>
    </row>
    <row r="320" spans="1:26" s="24" customFormat="1" hidden="1" outlineLevel="1" x14ac:dyDescent="0.25">
      <c r="A320" s="44"/>
      <c r="B320" s="11" t="str">
        <f>CONCATENATE("          ", "9152", " - ", "MISC. INCOME")</f>
        <v xml:space="preserve">          9152 - MISC. INCOME</v>
      </c>
      <c r="C320" s="11"/>
      <c r="D320" s="2">
        <f>--5092.84</f>
        <v>5092.84</v>
      </c>
      <c r="E320" s="2"/>
      <c r="F320" s="19">
        <f t="shared" si="156"/>
        <v>1.0061074398461014E-2</v>
      </c>
      <c r="G320" s="2"/>
      <c r="H320" s="2">
        <f>--542.75</f>
        <v>542.75</v>
      </c>
      <c r="I320" s="2"/>
      <c r="J320" s="19">
        <f t="shared" si="157"/>
        <v>2.0280848820802141E-4</v>
      </c>
      <c r="K320" s="2"/>
      <c r="L320" s="2">
        <f t="shared" si="158"/>
        <v>4550.09</v>
      </c>
      <c r="M320" s="2"/>
      <c r="N320" s="19">
        <f t="shared" si="159"/>
        <v>8.3833993551358823</v>
      </c>
      <c r="O320" s="11"/>
      <c r="P320" s="2">
        <f>--9874.89</f>
        <v>9874.89</v>
      </c>
      <c r="Q320" s="2"/>
      <c r="R320" s="19">
        <f t="shared" si="160"/>
        <v>3.5204793918601891E-4</v>
      </c>
      <c r="S320" s="2"/>
      <c r="T320" s="2">
        <f>--11239.64</f>
        <v>11239.64</v>
      </c>
      <c r="U320" s="2"/>
      <c r="V320" s="19">
        <f t="shared" si="161"/>
        <v>3.2153129200291686E-4</v>
      </c>
      <c r="W320" s="2"/>
      <c r="X320" s="2">
        <f t="shared" si="162"/>
        <v>-1364.75</v>
      </c>
      <c r="Y320" s="2"/>
      <c r="Z320" s="19">
        <f t="shared" si="163"/>
        <v>-0.12142292813648836</v>
      </c>
    </row>
    <row r="321" spans="1:26" s="24" customFormat="1" hidden="1" outlineLevel="1" x14ac:dyDescent="0.25">
      <c r="A321" s="44"/>
      <c r="B321" s="11" t="str">
        <f>CONCATENATE("          ", "9153", " - ", "MISC. INCOME")</f>
        <v xml:space="preserve">          9153 - MISC. INCOME</v>
      </c>
      <c r="C321" s="11"/>
      <c r="D321" s="2">
        <f t="shared" ref="D321:D322" si="165">0</f>
        <v>0</v>
      </c>
      <c r="E321" s="2"/>
      <c r="F321" s="19">
        <f t="shared" si="156"/>
        <v>0</v>
      </c>
      <c r="G321" s="2"/>
      <c r="H321" s="2">
        <f>0</f>
        <v>0</v>
      </c>
      <c r="I321" s="2"/>
      <c r="J321" s="19">
        <f t="shared" si="157"/>
        <v>0</v>
      </c>
      <c r="K321" s="2"/>
      <c r="L321" s="2">
        <f t="shared" si="158"/>
        <v>0</v>
      </c>
      <c r="M321" s="2"/>
      <c r="N321" s="19">
        <f t="shared" si="159"/>
        <v>0</v>
      </c>
      <c r="O321" s="11"/>
      <c r="P321" s="2">
        <f>--450</f>
        <v>450</v>
      </c>
      <c r="Q321" s="2"/>
      <c r="R321" s="19">
        <f t="shared" si="160"/>
        <v>1.6042869604998995E-5</v>
      </c>
      <c r="S321" s="2"/>
      <c r="T321" s="2">
        <f>--180</f>
        <v>180</v>
      </c>
      <c r="U321" s="2"/>
      <c r="V321" s="19">
        <f t="shared" si="161"/>
        <v>5.1492425522992762E-6</v>
      </c>
      <c r="W321" s="2"/>
      <c r="X321" s="2">
        <f t="shared" si="162"/>
        <v>270</v>
      </c>
      <c r="Y321" s="2"/>
      <c r="Z321" s="19">
        <f t="shared" si="163"/>
        <v>1.5</v>
      </c>
    </row>
    <row r="322" spans="1:26" s="24" customFormat="1" hidden="1" outlineLevel="1" x14ac:dyDescent="0.25">
      <c r="A322" s="44"/>
      <c r="B322" s="11" t="str">
        <f>CONCATENATE("          ", "9160", " - ", "MISC. INCOME")</f>
        <v xml:space="preserve">          9160 - MISC. INCOME</v>
      </c>
      <c r="C322" s="11"/>
      <c r="D322" s="2">
        <f t="shared" si="165"/>
        <v>0</v>
      </c>
      <c r="E322" s="2"/>
      <c r="F322" s="19">
        <f t="shared" si="156"/>
        <v>0</v>
      </c>
      <c r="G322" s="2"/>
      <c r="H322" s="2">
        <f>-870</f>
        <v>-870</v>
      </c>
      <c r="I322" s="2"/>
      <c r="J322" s="19">
        <f t="shared" si="157"/>
        <v>-3.2509145046702648E-4</v>
      </c>
      <c r="K322" s="2"/>
      <c r="L322" s="2">
        <f t="shared" si="158"/>
        <v>870</v>
      </c>
      <c r="M322" s="2"/>
      <c r="N322" s="19">
        <f t="shared" si="159"/>
        <v>-1</v>
      </c>
      <c r="O322" s="11"/>
      <c r="P322" s="2">
        <f>--152564.32</f>
        <v>152564.32</v>
      </c>
      <c r="Q322" s="2"/>
      <c r="R322" s="19">
        <f t="shared" si="160"/>
        <v>5.4390433158563118E-3</v>
      </c>
      <c r="S322" s="2"/>
      <c r="T322" s="2">
        <f>--126749.91</f>
        <v>126749.91</v>
      </c>
      <c r="U322" s="2"/>
      <c r="V322" s="19">
        <f t="shared" si="161"/>
        <v>3.6259223892894641E-3</v>
      </c>
      <c r="W322" s="2"/>
      <c r="X322" s="2">
        <f t="shared" si="162"/>
        <v>25814.410000000003</v>
      </c>
      <c r="Y322" s="2"/>
      <c r="Z322" s="19">
        <f t="shared" si="163"/>
        <v>0.20366412883448992</v>
      </c>
    </row>
    <row r="323" spans="1:26" s="24" customFormat="1" hidden="1" outlineLevel="1" x14ac:dyDescent="0.25">
      <c r="A323" s="44"/>
      <c r="B323" s="11" t="str">
        <f>CONCATENATE("          ", "9163", " - ", "MISC. INCOME")</f>
        <v xml:space="preserve">          9163 - MISC. INCOME</v>
      </c>
      <c r="C323" s="11"/>
      <c r="D323" s="2">
        <f>--58333.34</f>
        <v>58333.34</v>
      </c>
      <c r="E323" s="2"/>
      <c r="F323" s="19">
        <f t="shared" si="156"/>
        <v>0.11523944864765469</v>
      </c>
      <c r="G323" s="2"/>
      <c r="H323" s="2">
        <f>0</f>
        <v>0</v>
      </c>
      <c r="I323" s="2"/>
      <c r="J323" s="19">
        <f t="shared" si="157"/>
        <v>0</v>
      </c>
      <c r="K323" s="2"/>
      <c r="L323" s="2">
        <f t="shared" si="158"/>
        <v>58333.34</v>
      </c>
      <c r="M323" s="2"/>
      <c r="N323" s="19">
        <f t="shared" si="159"/>
        <v>0</v>
      </c>
      <c r="O323" s="11"/>
      <c r="P323" s="2">
        <f>--488733.84</f>
        <v>488733.84</v>
      </c>
      <c r="Q323" s="2"/>
      <c r="R323" s="19">
        <f t="shared" si="160"/>
        <v>1.7423762814823204E-2</v>
      </c>
      <c r="S323" s="2"/>
      <c r="T323" s="2">
        <f>--68330.75</f>
        <v>68330.75</v>
      </c>
      <c r="U323" s="2"/>
      <c r="V323" s="19">
        <f t="shared" si="161"/>
        <v>1.9547311418362432E-3</v>
      </c>
      <c r="W323" s="2"/>
      <c r="X323" s="2">
        <f t="shared" si="162"/>
        <v>420403.09</v>
      </c>
      <c r="Y323" s="2"/>
      <c r="Z323" s="19">
        <f t="shared" si="163"/>
        <v>6.152472934952419</v>
      </c>
    </row>
    <row r="324" spans="1:26" s="24" customFormat="1" hidden="1" outlineLevel="1" x14ac:dyDescent="0.25">
      <c r="A324" s="44"/>
      <c r="B324" s="11" t="str">
        <f>CONCATENATE("          ", "9165", " - ", "OTHER INCOME")</f>
        <v xml:space="preserve">          9165 - OTHER INCOME</v>
      </c>
      <c r="C324" s="11"/>
      <c r="D324" s="2">
        <f>--6624.89</f>
        <v>6624.89</v>
      </c>
      <c r="E324" s="2"/>
      <c r="F324" s="19">
        <f t="shared" si="156"/>
        <v>1.3087690006287334E-2</v>
      </c>
      <c r="G324" s="2"/>
      <c r="H324" s="2">
        <f>--4805.85</f>
        <v>4805.8500000000004</v>
      </c>
      <c r="I324" s="2"/>
      <c r="J324" s="19">
        <f t="shared" si="157"/>
        <v>1.7957939623298384E-3</v>
      </c>
      <c r="K324" s="2"/>
      <c r="L324" s="2">
        <f t="shared" si="158"/>
        <v>1819.04</v>
      </c>
      <c r="M324" s="2"/>
      <c r="N324" s="19">
        <f t="shared" si="159"/>
        <v>0.37850536325519935</v>
      </c>
      <c r="O324" s="11"/>
      <c r="P324" s="2">
        <f>--243125.02</f>
        <v>243125.02</v>
      </c>
      <c r="Q324" s="2"/>
      <c r="R324" s="19">
        <f t="shared" si="160"/>
        <v>8.6676066523839398E-3</v>
      </c>
      <c r="S324" s="2"/>
      <c r="T324" s="2">
        <f>--244995.11</f>
        <v>244995.11</v>
      </c>
      <c r="U324" s="2"/>
      <c r="V324" s="19">
        <f t="shared" si="161"/>
        <v>7.0085513639846766E-3</v>
      </c>
      <c r="W324" s="2"/>
      <c r="X324" s="2">
        <f t="shared" si="162"/>
        <v>-1870.0899999999965</v>
      </c>
      <c r="Y324" s="2"/>
      <c r="Z324" s="19">
        <f t="shared" si="163"/>
        <v>-7.6331727600603807E-3</v>
      </c>
    </row>
    <row r="325" spans="1:26" x14ac:dyDescent="0.25">
      <c r="A325" s="9"/>
      <c r="B325" s="10"/>
      <c r="C325" s="10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O325" s="10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3" customFormat="1" x14ac:dyDescent="0.25">
      <c r="A326" s="10"/>
      <c r="B326" s="29" t="s">
        <v>3</v>
      </c>
      <c r="C326" s="29"/>
      <c r="D326" s="21">
        <f>+D211-D213+D311</f>
        <v>-291552.91999999993</v>
      </c>
      <c r="E326" s="14"/>
      <c r="F326" s="20">
        <f>IF(D$12=0,0,D326/D$12)</f>
        <v>-0.57597246707309691</v>
      </c>
      <c r="G326" s="14"/>
      <c r="H326" s="21">
        <f>+H211-H213+H311</f>
        <v>31411.109999999724</v>
      </c>
      <c r="I326" s="14"/>
      <c r="J326" s="20">
        <f>IF(H$12=0,0,H326/H$12)</f>
        <v>1.173733713871176E-2</v>
      </c>
      <c r="K326" s="16"/>
      <c r="L326" s="21">
        <f>+D326-H326</f>
        <v>-322964.02999999968</v>
      </c>
      <c r="M326" s="16"/>
      <c r="N326" s="20">
        <f>IF(H326=0,0,L326/H326)</f>
        <v>-10.281840724508065</v>
      </c>
      <c r="O326" s="28"/>
      <c r="P326" s="21">
        <f>+P211-P213+P311</f>
        <v>2449509.3900000062</v>
      </c>
      <c r="Q326" s="14"/>
      <c r="R326" s="20">
        <f>IF(P$12=0,0,P326/P$12)</f>
        <v>8.7327021644423838E-2</v>
      </c>
      <c r="S326" s="14"/>
      <c r="T326" s="21">
        <f>+T211-T213+T311</f>
        <v>5436439.3499999978</v>
      </c>
      <c r="U326" s="14"/>
      <c r="V326" s="20">
        <f>IF(T$12=0,0,T326/T$12)</f>
        <v>0.15551969352230113</v>
      </c>
      <c r="W326" s="16"/>
      <c r="X326" s="21">
        <f>+P326-T326</f>
        <v>-2986929.9599999916</v>
      </c>
      <c r="Y326" s="16"/>
      <c r="Z326" s="20">
        <f>IF(T326=0,0,X326/T326)</f>
        <v>-0.54942762490305219</v>
      </c>
    </row>
    <row r="327" spans="1:26" x14ac:dyDescent="0.25">
      <c r="A327" s="9"/>
      <c r="B327" s="10"/>
      <c r="C327" s="9"/>
      <c r="D327" s="3"/>
      <c r="E327" s="3"/>
      <c r="F327" s="8"/>
      <c r="G327" s="3"/>
      <c r="H327" s="3"/>
      <c r="I327" s="3"/>
      <c r="J327" s="8"/>
      <c r="K327" s="3"/>
      <c r="L327" s="3"/>
      <c r="M327" s="3"/>
      <c r="N327" s="8"/>
      <c r="P327" s="3"/>
      <c r="Q327" s="3"/>
      <c r="R327" s="8"/>
      <c r="S327" s="3"/>
      <c r="T327" s="3"/>
      <c r="U327" s="3"/>
      <c r="V327" s="8"/>
      <c r="W327" s="3"/>
      <c r="X327" s="3"/>
      <c r="Y327" s="3"/>
      <c r="Z327" s="8"/>
    </row>
    <row r="328" spans="1:26" s="23" customFormat="1" x14ac:dyDescent="0.25">
      <c r="A328" s="51"/>
      <c r="B328" s="10" t="s">
        <v>13</v>
      </c>
      <c r="C328" s="10"/>
      <c r="D328" s="4">
        <v>194155.12000000002</v>
      </c>
      <c r="E328" s="4"/>
      <c r="F328" s="12">
        <f>IF(D$12=0,0,D328/D$12)</f>
        <v>0.3835598815517719</v>
      </c>
      <c r="G328" s="4"/>
      <c r="H328" s="4">
        <v>280169.14999999997</v>
      </c>
      <c r="I328" s="4"/>
      <c r="J328" s="12">
        <f>IF(H$12=0,0,H328/H$12)</f>
        <v>0.10469033948231483</v>
      </c>
      <c r="K328" s="4"/>
      <c r="L328" s="4">
        <f>+D328-H328</f>
        <v>-86014.029999999941</v>
      </c>
      <c r="M328" s="4"/>
      <c r="N328" s="12">
        <f>IF(H328=0,0,L328/H328)</f>
        <v>-0.30700749886274042</v>
      </c>
      <c r="O328" s="10"/>
      <c r="P328" s="4">
        <v>3321539.68</v>
      </c>
      <c r="Q328" s="4"/>
      <c r="R328" s="12">
        <f>IF(P$12=0,0,P328/P$12)</f>
        <v>0.11841561772015576</v>
      </c>
      <c r="S328" s="4"/>
      <c r="T328" s="4">
        <v>3635995.6500000004</v>
      </c>
      <c r="U328" s="4"/>
      <c r="V328" s="12">
        <f>IF(T$12=0,0,T328/T$12)</f>
        <v>0.10401457511641704</v>
      </c>
      <c r="W328" s="4"/>
      <c r="X328" s="4">
        <f>+P328-T328</f>
        <v>-314455.9700000002</v>
      </c>
      <c r="Y328" s="4"/>
      <c r="Z328" s="12">
        <f>IF(T328=0,0,X328/T328)</f>
        <v>-8.6484143621018958E-2</v>
      </c>
    </row>
    <row r="329" spans="1:26" x14ac:dyDescent="0.25">
      <c r="A329" s="9"/>
      <c r="B329" s="10"/>
      <c r="C329" s="10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O329" s="10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3" customFormat="1" ht="15.75" thickBot="1" x14ac:dyDescent="0.3">
      <c r="A330" s="10"/>
      <c r="B330" s="29" t="s">
        <v>4</v>
      </c>
      <c r="C330" s="29"/>
      <c r="D330" s="35">
        <f>+D326-D328</f>
        <v>-485708.03999999992</v>
      </c>
      <c r="E330" s="14"/>
      <c r="F330" s="32">
        <f>IF(D$12=0,0,D330/D$12)</f>
        <v>-0.9595323486248688</v>
      </c>
      <c r="G330" s="14"/>
      <c r="H330" s="35">
        <f>+H326-H328</f>
        <v>-248758.04000000024</v>
      </c>
      <c r="I330" s="14"/>
      <c r="J330" s="32">
        <f>IF(H$12=0,0,H330/H$12)</f>
        <v>-9.2953002343603069E-2</v>
      </c>
      <c r="K330" s="16"/>
      <c r="L330" s="35">
        <f>D330-H330</f>
        <v>-236949.99999999968</v>
      </c>
      <c r="M330" s="16"/>
      <c r="N330" s="32">
        <f>IF(H330=0,0,L330/H330)</f>
        <v>0.95253202670353665</v>
      </c>
      <c r="O330" s="28"/>
      <c r="P330" s="35">
        <f>+P326-P328</f>
        <v>-872030.28999999398</v>
      </c>
      <c r="Q330" s="14"/>
      <c r="R330" s="32">
        <f>IF(P$12=0,0,P330/P$12)</f>
        <v>-3.1088596075731917E-2</v>
      </c>
      <c r="S330" s="14"/>
      <c r="T330" s="35">
        <f>+T326-T328</f>
        <v>1800443.6999999974</v>
      </c>
      <c r="U330" s="14"/>
      <c r="V330" s="32">
        <f>IF(T$12=0,0,T330/T$12)</f>
        <v>5.1505118405884107E-2</v>
      </c>
      <c r="W330" s="16"/>
      <c r="X330" s="35">
        <f>P330-T330</f>
        <v>-2672473.9899999914</v>
      </c>
      <c r="Y330" s="16"/>
      <c r="Z330" s="32">
        <f>IF(T330=0,0,X330/T330)</f>
        <v>-1.4843418819483194</v>
      </c>
    </row>
    <row r="331" spans="1:26" ht="15.75" thickTop="1" x14ac:dyDescent="0.25">
      <c r="A331" s="9"/>
      <c r="B331" s="9"/>
      <c r="C331" s="9"/>
      <c r="D331" s="3"/>
      <c r="E331" s="3"/>
      <c r="F331" s="8"/>
      <c r="G331" s="3"/>
      <c r="H331" s="3"/>
      <c r="I331" s="3"/>
      <c r="J331" s="8"/>
      <c r="K331" s="3"/>
      <c r="L331" s="3"/>
      <c r="M331" s="3"/>
      <c r="N331" s="8"/>
      <c r="P331" s="3"/>
      <c r="Q331" s="3"/>
      <c r="R331" s="8"/>
      <c r="S331" s="3"/>
      <c r="T331" s="3"/>
      <c r="U331" s="3"/>
      <c r="V331" s="8"/>
      <c r="W331" s="3"/>
      <c r="X331" s="3"/>
      <c r="Y331" s="3"/>
      <c r="Z331" s="8"/>
    </row>
    <row r="332" spans="1:26" s="23" customFormat="1" x14ac:dyDescent="0.25">
      <c r="A332" s="51"/>
      <c r="B332" s="10" t="s">
        <v>2</v>
      </c>
      <c r="C332" s="10"/>
      <c r="D332" s="4">
        <f>--502115.75</f>
        <v>502115.75</v>
      </c>
      <c r="E332" s="4"/>
      <c r="F332" s="12">
        <f t="shared" ref="F332:F333" si="166">IF(D$12=0,0,D332/D$12)</f>
        <v>0.99194632413133932</v>
      </c>
      <c r="G332" s="4"/>
      <c r="H332" s="4">
        <f>-505590.93</f>
        <v>-505590.93</v>
      </c>
      <c r="I332" s="4"/>
      <c r="J332" s="12">
        <f t="shared" ref="J332:J333" si="167">IF(H$12=0,0,H332/H$12)</f>
        <v>-0.18892332043295731</v>
      </c>
      <c r="K332" s="4"/>
      <c r="L332" s="4">
        <f t="shared" ref="L332:L333" si="168">+D332-H332</f>
        <v>1007706.6799999999</v>
      </c>
      <c r="M332" s="4"/>
      <c r="N332" s="12">
        <f t="shared" ref="N332:N333" si="169">IF(H332=0,0,L332/H332)</f>
        <v>-1.9931264985311345</v>
      </c>
      <c r="O332" s="10"/>
      <c r="P332" s="4">
        <f>-359271.52</f>
        <v>-359271.52</v>
      </c>
      <c r="Q332" s="4"/>
      <c r="R332" s="12">
        <f t="shared" ref="R332:R333" si="170">IF(P$12=0,0,P332/P$12)</f>
        <v>-1.2808324773666198E-2</v>
      </c>
      <c r="S332" s="4"/>
      <c r="T332" s="4">
        <f>-506922.68</f>
        <v>-506922.68</v>
      </c>
      <c r="U332" s="4"/>
      <c r="V332" s="12">
        <f t="shared" ref="V332:V333" si="171">IF(T$12=0,0,T332/T$12)</f>
        <v>-1.4501487969897718E-2</v>
      </c>
      <c r="W332" s="4"/>
      <c r="X332" s="4">
        <f t="shared" ref="X332:X333" si="172">+P332-T332</f>
        <v>147651.15999999997</v>
      </c>
      <c r="Y332" s="4"/>
      <c r="Z332" s="12">
        <f t="shared" ref="Z332:Z333" si="173">IF(T332=0,0,X332/T332)</f>
        <v>-0.29126958770122491</v>
      </c>
    </row>
    <row r="333" spans="1:26" s="23" customFormat="1" x14ac:dyDescent="0.25">
      <c r="A333" s="51"/>
      <c r="B333" s="10" t="s">
        <v>1</v>
      </c>
      <c r="C333" s="10"/>
      <c r="D333" s="4">
        <f>--23915.4</f>
        <v>23915.4</v>
      </c>
      <c r="E333" s="4"/>
      <c r="F333" s="12">
        <f t="shared" si="166"/>
        <v>4.7245666203720227E-2</v>
      </c>
      <c r="G333" s="4"/>
      <c r="H333" s="4">
        <f>--17671.49</f>
        <v>17671.490000000002</v>
      </c>
      <c r="I333" s="4"/>
      <c r="J333" s="12">
        <f t="shared" si="167"/>
        <v>6.603276225302936E-3</v>
      </c>
      <c r="K333" s="4"/>
      <c r="L333" s="4">
        <f t="shared" si="168"/>
        <v>6243.91</v>
      </c>
      <c r="M333" s="4"/>
      <c r="N333" s="12">
        <f t="shared" si="169"/>
        <v>0.3533324015122663</v>
      </c>
      <c r="O333" s="10"/>
      <c r="P333" s="4">
        <f>--267586.13</f>
        <v>267586.13</v>
      </c>
      <c r="Q333" s="4"/>
      <c r="R333" s="12">
        <f t="shared" si="170"/>
        <v>9.5396653148806885E-3</v>
      </c>
      <c r="S333" s="4"/>
      <c r="T333" s="4">
        <f>--407577.88</f>
        <v>407577.88</v>
      </c>
      <c r="U333" s="4"/>
      <c r="V333" s="12">
        <f t="shared" si="171"/>
        <v>1.1659540905955156E-2</v>
      </c>
      <c r="W333" s="4"/>
      <c r="X333" s="4">
        <f t="shared" si="172"/>
        <v>-139991.75</v>
      </c>
      <c r="Y333" s="4"/>
      <c r="Z333" s="12">
        <f t="shared" si="173"/>
        <v>-0.3434723935459893</v>
      </c>
    </row>
    <row r="334" spans="1:26" x14ac:dyDescent="0.25">
      <c r="A334" s="9"/>
      <c r="B334" s="9"/>
      <c r="C334" s="9"/>
      <c r="D334" s="3"/>
      <c r="E334" s="3"/>
      <c r="F334" s="8"/>
      <c r="G334" s="3"/>
      <c r="H334" s="3"/>
      <c r="I334" s="3"/>
      <c r="J334" s="8"/>
      <c r="K334" s="3"/>
      <c r="L334" s="3"/>
      <c r="M334" s="3"/>
      <c r="N334" s="8"/>
      <c r="P334" s="3"/>
      <c r="Q334" s="3"/>
      <c r="R334" s="8"/>
      <c r="S334" s="3"/>
      <c r="T334" s="3"/>
      <c r="U334" s="3"/>
      <c r="V334" s="8"/>
      <c r="W334" s="3"/>
      <c r="X334" s="3"/>
      <c r="Y334" s="3"/>
      <c r="Z334" s="8"/>
    </row>
    <row r="335" spans="1:26" s="23" customFormat="1" ht="15.75" thickBot="1" x14ac:dyDescent="0.3">
      <c r="A335" s="10"/>
      <c r="B335" s="29" t="s">
        <v>5</v>
      </c>
      <c r="C335" s="29"/>
      <c r="D335" s="36">
        <f>SUM(D330:D334)</f>
        <v>40323.110000000081</v>
      </c>
      <c r="E335" s="14"/>
      <c r="F335" s="33">
        <f>IF(D$12=0,0,D335/D$12)</f>
        <v>7.9659641710190784E-2</v>
      </c>
      <c r="G335" s="14"/>
      <c r="H335" s="36">
        <f>SUM(H330:H334)</f>
        <v>-736677.48000000021</v>
      </c>
      <c r="I335" s="14"/>
      <c r="J335" s="33">
        <f>IF(H$12=0,0,H335/H$12)</f>
        <v>-0.27527304655125745</v>
      </c>
      <c r="K335" s="16"/>
      <c r="L335" s="36">
        <f>+D335-H335</f>
        <v>777000.59000000032</v>
      </c>
      <c r="M335" s="16"/>
      <c r="N335" s="33">
        <f>IF(H335=0,0,L335/H335)</f>
        <v>-1.0547364499319296</v>
      </c>
      <c r="O335" s="28"/>
      <c r="P335" s="36">
        <f>SUM(P330:P334)</f>
        <v>-963715.679999994</v>
      </c>
      <c r="Q335" s="14"/>
      <c r="R335" s="33">
        <f>IF(P$12=0,0,P335/P$12)</f>
        <v>-3.4357255534517427E-2</v>
      </c>
      <c r="S335" s="14"/>
      <c r="T335" s="36">
        <f>SUM(T330:T334)</f>
        <v>1701098.8999999976</v>
      </c>
      <c r="U335" s="14"/>
      <c r="V335" s="33">
        <f>IF(T$12=0,0,T335/T$12)</f>
        <v>4.866317134194155E-2</v>
      </c>
      <c r="W335" s="16"/>
      <c r="X335" s="36">
        <f>+P335-T335</f>
        <v>-2664814.5799999917</v>
      </c>
      <c r="Y335" s="16"/>
      <c r="Z335" s="33">
        <f>IF(T335=0,0,X335/T335)</f>
        <v>-1.5665253678078304</v>
      </c>
    </row>
    <row r="336" spans="1:26" ht="15.75" thickTop="1" x14ac:dyDescent="0.25">
      <c r="A336" s="9"/>
      <c r="C336" s="9"/>
      <c r="D336" s="17"/>
      <c r="E336" s="17"/>
      <c r="G336" s="17"/>
      <c r="H336" s="17"/>
      <c r="I336" s="17"/>
      <c r="J336" s="42"/>
      <c r="K336" s="17"/>
      <c r="L336" s="17"/>
      <c r="M336" s="17"/>
      <c r="P336" s="17"/>
      <c r="Q336" s="17"/>
      <c r="R336" s="42"/>
      <c r="S336" s="17"/>
      <c r="T336" s="17"/>
      <c r="U336" s="17"/>
      <c r="V336" s="42"/>
      <c r="W336" s="17"/>
      <c r="X336" s="17"/>
    </row>
    <row r="337" spans="1:24" x14ac:dyDescent="0.25">
      <c r="A337" s="9"/>
      <c r="B337" s="55">
        <v>43992.374663576389</v>
      </c>
      <c r="D337" s="17"/>
      <c r="E337" s="17"/>
      <c r="G337" s="17"/>
      <c r="H337" s="17"/>
      <c r="I337" s="17"/>
      <c r="J337" s="42"/>
      <c r="K337" s="17"/>
      <c r="L337" s="17"/>
      <c r="M337" s="17"/>
      <c r="P337" s="17"/>
      <c r="Q337" s="17"/>
      <c r="R337" s="42"/>
      <c r="S337" s="17"/>
      <c r="T337" s="17"/>
      <c r="U337" s="17"/>
      <c r="V337" s="42"/>
      <c r="W337" s="17"/>
      <c r="X337" s="17"/>
    </row>
    <row r="338" spans="1:24" x14ac:dyDescent="0.25">
      <c r="A338" s="9"/>
      <c r="B338" s="62" t="s">
        <v>313</v>
      </c>
      <c r="D338" s="17"/>
      <c r="E338" s="17"/>
      <c r="G338" s="17"/>
      <c r="H338" s="17"/>
      <c r="I338" s="17"/>
      <c r="J338" s="42"/>
      <c r="K338" s="17"/>
      <c r="L338" s="17"/>
      <c r="M338" s="17"/>
      <c r="P338" s="17"/>
      <c r="Q338" s="17"/>
      <c r="R338" s="42"/>
      <c r="S338" s="17"/>
      <c r="T338" s="17"/>
      <c r="U338" s="17"/>
      <c r="V338" s="42"/>
      <c r="W338" s="17"/>
      <c r="X338" s="17"/>
    </row>
    <row r="339" spans="1:24" x14ac:dyDescent="0.25">
      <c r="A339" s="9"/>
      <c r="B339" s="53"/>
      <c r="D339" s="17"/>
      <c r="E339" s="17"/>
      <c r="G339" s="17"/>
      <c r="H339" s="17"/>
      <c r="I339" s="17"/>
      <c r="J339" s="42"/>
      <c r="K339" s="17"/>
      <c r="L339" s="17"/>
      <c r="M339" s="17"/>
      <c r="P339" s="17"/>
      <c r="Q339" s="17"/>
      <c r="R339" s="42"/>
      <c r="S339" s="17"/>
      <c r="T339" s="17"/>
      <c r="U339" s="17"/>
      <c r="V339" s="42"/>
      <c r="W339" s="17"/>
      <c r="X339" s="17"/>
    </row>
    <row r="340" spans="1:24" x14ac:dyDescent="0.25">
      <c r="D340" s="17"/>
      <c r="E340" s="17"/>
      <c r="G340" s="17"/>
      <c r="H340" s="17"/>
      <c r="I340" s="17"/>
      <c r="J340" s="42"/>
      <c r="K340" s="17"/>
      <c r="L340" s="17"/>
      <c r="M340" s="17"/>
      <c r="P340" s="17"/>
      <c r="Q340" s="17"/>
      <c r="R340" s="42"/>
      <c r="S340" s="17"/>
      <c r="T340" s="17"/>
      <c r="U340" s="17"/>
      <c r="V340" s="42"/>
      <c r="W340" s="17"/>
      <c r="X340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8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--502115.75</f>
        <v>502115.75</v>
      </c>
      <c r="E28" s="4"/>
      <c r="F28" s="12">
        <f t="shared" ref="F28:F29" si="0">IF(D$12=0,0,D28/D$12)</f>
        <v>0</v>
      </c>
      <c r="G28" s="4"/>
      <c r="H28" s="4">
        <f>-505590.93</f>
        <v>-505590.93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1007706.6799999999</v>
      </c>
      <c r="M28" s="4"/>
      <c r="N28" s="12">
        <f t="shared" ref="N28:N29" si="3">IF(H28=0,0,L28/H28)</f>
        <v>-1.9931264985311345</v>
      </c>
      <c r="O28" s="10"/>
      <c r="P28" s="4">
        <f>-359271.52</f>
        <v>-359271.52</v>
      </c>
      <c r="Q28" s="4"/>
      <c r="R28" s="12">
        <f t="shared" ref="R28:R29" si="4">IF(P$12=0,0,P28/P$12)</f>
        <v>0</v>
      </c>
      <c r="S28" s="4"/>
      <c r="T28" s="4">
        <f>-506922.68</f>
        <v>-506922.68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147651.15999999997</v>
      </c>
      <c r="Y28" s="4"/>
      <c r="Z28" s="12">
        <f t="shared" ref="Z28:Z29" si="7">IF(T28=0,0,X28/T28)</f>
        <v>-0.29126958770122491</v>
      </c>
    </row>
    <row r="29" spans="1:26" s="23" customFormat="1" x14ac:dyDescent="0.25">
      <c r="A29" s="51"/>
      <c r="B29" s="10" t="s">
        <v>1</v>
      </c>
      <c r="C29" s="10"/>
      <c r="D29" s="4">
        <f>--23915.4</f>
        <v>23915.4</v>
      </c>
      <c r="E29" s="4"/>
      <c r="F29" s="12">
        <f t="shared" si="0"/>
        <v>0</v>
      </c>
      <c r="G29" s="4"/>
      <c r="H29" s="4">
        <f>--17671.49</f>
        <v>17671.490000000002</v>
      </c>
      <c r="I29" s="4"/>
      <c r="J29" s="12">
        <f t="shared" si="1"/>
        <v>0</v>
      </c>
      <c r="K29" s="4"/>
      <c r="L29" s="4">
        <f t="shared" si="2"/>
        <v>6243.91</v>
      </c>
      <c r="M29" s="4"/>
      <c r="N29" s="12">
        <f t="shared" si="3"/>
        <v>0.3533324015122663</v>
      </c>
      <c r="O29" s="10"/>
      <c r="P29" s="4">
        <f>--267586.13</f>
        <v>267586.13</v>
      </c>
      <c r="Q29" s="4"/>
      <c r="R29" s="12">
        <f t="shared" si="4"/>
        <v>0</v>
      </c>
      <c r="S29" s="4"/>
      <c r="T29" s="4">
        <f>--407577.88</f>
        <v>407577.88</v>
      </c>
      <c r="U29" s="4"/>
      <c r="V29" s="12">
        <f t="shared" si="5"/>
        <v>0</v>
      </c>
      <c r="W29" s="4"/>
      <c r="X29" s="4">
        <f t="shared" si="6"/>
        <v>-139991.75</v>
      </c>
      <c r="Y29" s="4"/>
      <c r="Z29" s="12">
        <f t="shared" si="7"/>
        <v>-0.3434723935459893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SUM(D26:D30)</f>
        <v>526031.15</v>
      </c>
      <c r="E31" s="14"/>
      <c r="F31" s="33">
        <f>IF(D$12=0,0,D31/D$12)</f>
        <v>0</v>
      </c>
      <c r="G31" s="14"/>
      <c r="H31" s="36">
        <f>SUM(H26:H30)</f>
        <v>-487919.44</v>
      </c>
      <c r="I31" s="14"/>
      <c r="J31" s="33">
        <f>IF(H$12=0,0,H31/H$12)</f>
        <v>0</v>
      </c>
      <c r="K31" s="16"/>
      <c r="L31" s="36">
        <f>+D31-H31</f>
        <v>1013950.5900000001</v>
      </c>
      <c r="M31" s="16"/>
      <c r="N31" s="33">
        <f>IF(H31=0,0,L31/H31)</f>
        <v>-2.07811066105503</v>
      </c>
      <c r="O31" s="28"/>
      <c r="P31" s="36">
        <f>SUM(P26:P30)</f>
        <v>-91685.390000000014</v>
      </c>
      <c r="Q31" s="14"/>
      <c r="R31" s="33">
        <f>IF(P$12=0,0,P31/P$12)</f>
        <v>0</v>
      </c>
      <c r="S31" s="14"/>
      <c r="T31" s="36">
        <f>SUM(T26:T30)</f>
        <v>-99344.799999999988</v>
      </c>
      <c r="U31" s="14"/>
      <c r="V31" s="33">
        <f>IF(T$12=0,0,T31/T$12)</f>
        <v>0</v>
      </c>
      <c r="W31" s="16"/>
      <c r="X31" s="36">
        <f>+P31-T31</f>
        <v>7659.4099999999744</v>
      </c>
      <c r="Y31" s="16"/>
      <c r="Z31" s="33">
        <f>IF(T31=0,0,X31/T31)</f>
        <v>-7.7099254314266827E-2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5">
        <v>43992.37510690972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2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194155.12000000008</v>
      </c>
      <c r="E18" s="22"/>
      <c r="F18" s="31">
        <f t="shared" ref="F18:F30" si="0">IF(D$12=0,0,D18/D$12)</f>
        <v>0</v>
      </c>
      <c r="G18" s="22"/>
      <c r="H18" s="22">
        <f>SUM(OSRRefH22x_0)</f>
        <v>280169.15000000008</v>
      </c>
      <c r="I18" s="22"/>
      <c r="J18" s="31">
        <f t="shared" ref="J18:J30" si="1">IF(H$12=0,0,H18/H$12)</f>
        <v>0</v>
      </c>
      <c r="K18" s="4"/>
      <c r="L18" s="22">
        <f t="shared" ref="L18:L30" si="2">+D18-H18</f>
        <v>-86014.03</v>
      </c>
      <c r="M18" s="4"/>
      <c r="N18" s="31">
        <f t="shared" ref="N18:N30" si="3">IF(H18=0,0,L18/H18)</f>
        <v>-0.30700749886274048</v>
      </c>
      <c r="O18" s="10"/>
      <c r="P18" s="22">
        <f>SUM(OSRRefP22x_0)</f>
        <v>3321539.6799999992</v>
      </c>
      <c r="Q18" s="22"/>
      <c r="R18" s="31">
        <f t="shared" ref="R18:R30" si="4">IF(P$12=0,0,P18/P$12)</f>
        <v>0</v>
      </c>
      <c r="S18" s="22"/>
      <c r="T18" s="22">
        <f>SUM(OSRRefT22x_0)</f>
        <v>3635995.6500000004</v>
      </c>
      <c r="U18" s="22"/>
      <c r="V18" s="31">
        <f t="shared" ref="V18:V30" si="5">IF(T$12=0,0,T18/T$12)</f>
        <v>0</v>
      </c>
      <c r="W18" s="4"/>
      <c r="X18" s="22">
        <f t="shared" ref="X18:X30" si="6">+P18-T18</f>
        <v>-314455.97000000114</v>
      </c>
      <c r="Y18" s="4"/>
      <c r="Z18" s="31">
        <f t="shared" ref="Z18:Z30" si="7">IF(T18=0,0,X18/T18)</f>
        <v>-8.6484143621019208E-2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78735.78</v>
      </c>
      <c r="E19" s="1"/>
      <c r="F19" s="5">
        <f t="shared" si="0"/>
        <v>0</v>
      </c>
      <c r="G19" s="1"/>
      <c r="H19" s="1">
        <f>SUM(OSRRefH22_0x_0)</f>
        <v>93449.88</v>
      </c>
      <c r="I19" s="1"/>
      <c r="J19" s="5">
        <f t="shared" si="1"/>
        <v>0</v>
      </c>
      <c r="K19" s="1"/>
      <c r="L19" s="1">
        <f t="shared" si="2"/>
        <v>-14714.100000000006</v>
      </c>
      <c r="M19" s="1"/>
      <c r="N19" s="5">
        <f t="shared" si="3"/>
        <v>-0.15745445580026432</v>
      </c>
      <c r="O19" s="13"/>
      <c r="P19" s="1">
        <f>SUM(OSRRefP22_0x_0)</f>
        <v>949504.83</v>
      </c>
      <c r="Q19" s="1"/>
      <c r="R19" s="5">
        <f t="shared" si="4"/>
        <v>0</v>
      </c>
      <c r="S19" s="1"/>
      <c r="T19" s="1">
        <f>SUM(OSRRefT22_0x_0)</f>
        <v>1076047.33</v>
      </c>
      <c r="U19" s="1"/>
      <c r="V19" s="5">
        <f t="shared" si="5"/>
        <v>0</v>
      </c>
      <c r="W19" s="1"/>
      <c r="X19" s="1">
        <f t="shared" si="6"/>
        <v>-126542.50000000012</v>
      </c>
      <c r="Y19" s="1"/>
      <c r="Z19" s="5">
        <f t="shared" si="7"/>
        <v>-0.11759938106068263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7354.45</v>
      </c>
      <c r="E20" s="2"/>
      <c r="F20" s="7">
        <f t="shared" si="0"/>
        <v>0</v>
      </c>
      <c r="G20" s="2"/>
      <c r="H20" s="6">
        <v>13304.41</v>
      </c>
      <c r="I20" s="2"/>
      <c r="J20" s="7">
        <f t="shared" si="1"/>
        <v>0</v>
      </c>
      <c r="K20" s="2"/>
      <c r="L20" s="6">
        <f t="shared" si="2"/>
        <v>-5949.96</v>
      </c>
      <c r="M20" s="2"/>
      <c r="N20" s="7">
        <f t="shared" si="3"/>
        <v>-0.44721712575003325</v>
      </c>
      <c r="O20" s="11"/>
      <c r="P20" s="6">
        <v>105786.9</v>
      </c>
      <c r="Q20" s="2"/>
      <c r="R20" s="7">
        <f t="shared" si="4"/>
        <v>0</v>
      </c>
      <c r="S20" s="2"/>
      <c r="T20" s="6">
        <v>112305.48</v>
      </c>
      <c r="U20" s="2"/>
      <c r="V20" s="7">
        <f t="shared" si="5"/>
        <v>0</v>
      </c>
      <c r="W20" s="2"/>
      <c r="X20" s="6">
        <f t="shared" si="6"/>
        <v>-6518.5800000000017</v>
      </c>
      <c r="Y20" s="2"/>
      <c r="Z20" s="7">
        <f t="shared" si="7"/>
        <v>-5.8043294058313114E-2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894.97</v>
      </c>
      <c r="E21" s="2"/>
      <c r="F21" s="7">
        <f t="shared" si="0"/>
        <v>0</v>
      </c>
      <c r="G21" s="2"/>
      <c r="H21" s="6">
        <v>564.34</v>
      </c>
      <c r="I21" s="2"/>
      <c r="J21" s="7">
        <f t="shared" si="1"/>
        <v>0</v>
      </c>
      <c r="K21" s="2"/>
      <c r="L21" s="6">
        <f t="shared" si="2"/>
        <v>330.63</v>
      </c>
      <c r="M21" s="2"/>
      <c r="N21" s="7">
        <f t="shared" si="3"/>
        <v>0.58587022008009348</v>
      </c>
      <c r="O21" s="11"/>
      <c r="P21" s="6">
        <v>7659.82</v>
      </c>
      <c r="Q21" s="2"/>
      <c r="R21" s="7">
        <f t="shared" si="4"/>
        <v>0</v>
      </c>
      <c r="S21" s="2"/>
      <c r="T21" s="6">
        <v>6351.91</v>
      </c>
      <c r="U21" s="2"/>
      <c r="V21" s="7">
        <f t="shared" si="5"/>
        <v>0</v>
      </c>
      <c r="W21" s="2"/>
      <c r="X21" s="6">
        <f t="shared" si="6"/>
        <v>1307.9099999999999</v>
      </c>
      <c r="Y21" s="2"/>
      <c r="Z21" s="7">
        <f t="shared" si="7"/>
        <v>0.20590814416451114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22589.05</v>
      </c>
      <c r="E22" s="2"/>
      <c r="F22" s="7">
        <f t="shared" si="0"/>
        <v>0</v>
      </c>
      <c r="G22" s="2"/>
      <c r="H22" s="6">
        <v>23349.15</v>
      </c>
      <c r="I22" s="2"/>
      <c r="J22" s="7">
        <f t="shared" si="1"/>
        <v>0</v>
      </c>
      <c r="K22" s="2"/>
      <c r="L22" s="6">
        <f t="shared" si="2"/>
        <v>-760.10000000000218</v>
      </c>
      <c r="M22" s="2"/>
      <c r="N22" s="7">
        <f t="shared" si="3"/>
        <v>-3.255364756318762E-2</v>
      </c>
      <c r="O22" s="11"/>
      <c r="P22" s="6">
        <v>253160.80000000002</v>
      </c>
      <c r="Q22" s="2"/>
      <c r="R22" s="7">
        <f t="shared" si="4"/>
        <v>0</v>
      </c>
      <c r="S22" s="2"/>
      <c r="T22" s="6">
        <v>290849.32</v>
      </c>
      <c r="U22" s="2"/>
      <c r="V22" s="7">
        <f t="shared" si="5"/>
        <v>0</v>
      </c>
      <c r="W22" s="2"/>
      <c r="X22" s="6">
        <f t="shared" si="6"/>
        <v>-37688.51999999999</v>
      </c>
      <c r="Y22" s="2"/>
      <c r="Z22" s="7">
        <f t="shared" si="7"/>
        <v>-0.12958091151803272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379.85</v>
      </c>
      <c r="E23" s="2"/>
      <c r="F23" s="7">
        <f t="shared" si="0"/>
        <v>0</v>
      </c>
      <c r="G23" s="2"/>
      <c r="H23" s="6">
        <v>327.92</v>
      </c>
      <c r="I23" s="2"/>
      <c r="J23" s="7">
        <f t="shared" si="1"/>
        <v>0</v>
      </c>
      <c r="K23" s="2"/>
      <c r="L23" s="6">
        <f t="shared" si="2"/>
        <v>51.930000000000007</v>
      </c>
      <c r="M23" s="2"/>
      <c r="N23" s="7">
        <f t="shared" si="3"/>
        <v>0.15836179555989266</v>
      </c>
      <c r="O23" s="11"/>
      <c r="P23" s="6">
        <v>4238.08</v>
      </c>
      <c r="Q23" s="2"/>
      <c r="R23" s="7">
        <f t="shared" si="4"/>
        <v>0</v>
      </c>
      <c r="S23" s="2"/>
      <c r="T23" s="6">
        <v>4303.4799999999996</v>
      </c>
      <c r="U23" s="2"/>
      <c r="V23" s="7">
        <f t="shared" si="5"/>
        <v>0</v>
      </c>
      <c r="W23" s="2"/>
      <c r="X23" s="6">
        <f t="shared" si="6"/>
        <v>-65.399999999999636</v>
      </c>
      <c r="Y23" s="2"/>
      <c r="Z23" s="7">
        <f t="shared" si="7"/>
        <v>-1.5197003355423899E-2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6869.17</v>
      </c>
      <c r="E24" s="2"/>
      <c r="F24" s="7">
        <f t="shared" si="0"/>
        <v>0</v>
      </c>
      <c r="G24" s="2"/>
      <c r="H24" s="6">
        <v>7527.3</v>
      </c>
      <c r="I24" s="2"/>
      <c r="J24" s="7">
        <f t="shared" si="1"/>
        <v>0</v>
      </c>
      <c r="K24" s="2"/>
      <c r="L24" s="6">
        <f t="shared" si="2"/>
        <v>-658.13000000000011</v>
      </c>
      <c r="M24" s="2"/>
      <c r="N24" s="7">
        <f t="shared" si="3"/>
        <v>-8.7432412684495114E-2</v>
      </c>
      <c r="O24" s="11"/>
      <c r="P24" s="6">
        <v>94454.88</v>
      </c>
      <c r="Q24" s="2"/>
      <c r="R24" s="7">
        <f t="shared" si="4"/>
        <v>0</v>
      </c>
      <c r="S24" s="2"/>
      <c r="T24" s="6">
        <v>104119.97</v>
      </c>
      <c r="U24" s="2"/>
      <c r="V24" s="7">
        <f t="shared" si="5"/>
        <v>0</v>
      </c>
      <c r="W24" s="2"/>
      <c r="X24" s="6">
        <f t="shared" si="6"/>
        <v>-9665.0899999999965</v>
      </c>
      <c r="Y24" s="2"/>
      <c r="Z24" s="7">
        <f t="shared" si="7"/>
        <v>-9.2826476995719429E-2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5070.88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2619.48</v>
      </c>
      <c r="Y25" s="2"/>
      <c r="Z25" s="7">
        <f t="shared" si="7"/>
        <v>1.0685649016888308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627.4</v>
      </c>
      <c r="E26" s="2"/>
      <c r="F26" s="7">
        <f t="shared" si="0"/>
        <v>0</v>
      </c>
      <c r="G26" s="2"/>
      <c r="H26" s="6">
        <v>616.15</v>
      </c>
      <c r="I26" s="2"/>
      <c r="J26" s="7">
        <f t="shared" si="1"/>
        <v>0</v>
      </c>
      <c r="K26" s="2"/>
      <c r="L26" s="6">
        <f t="shared" si="2"/>
        <v>11.25</v>
      </c>
      <c r="M26" s="2"/>
      <c r="N26" s="7">
        <f t="shared" si="3"/>
        <v>1.825854093970624E-2</v>
      </c>
      <c r="O26" s="11"/>
      <c r="P26" s="6">
        <v>9484.66</v>
      </c>
      <c r="Q26" s="2"/>
      <c r="R26" s="7">
        <f t="shared" si="4"/>
        <v>0</v>
      </c>
      <c r="S26" s="2"/>
      <c r="T26" s="6">
        <v>4219.8</v>
      </c>
      <c r="U26" s="2"/>
      <c r="V26" s="7">
        <f t="shared" si="5"/>
        <v>0</v>
      </c>
      <c r="W26" s="2"/>
      <c r="X26" s="6">
        <f t="shared" si="6"/>
        <v>5264.86</v>
      </c>
      <c r="Y26" s="2"/>
      <c r="Z26" s="7">
        <f t="shared" si="7"/>
        <v>1.2476562870278212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5289.6</v>
      </c>
      <c r="E27" s="2"/>
      <c r="F27" s="7">
        <f t="shared" si="0"/>
        <v>0</v>
      </c>
      <c r="G27" s="2"/>
      <c r="H27" s="6">
        <v>11496.13</v>
      </c>
      <c r="I27" s="2"/>
      <c r="J27" s="7">
        <f t="shared" si="1"/>
        <v>0</v>
      </c>
      <c r="K27" s="2"/>
      <c r="L27" s="6">
        <f t="shared" si="2"/>
        <v>-6206.5299999999988</v>
      </c>
      <c r="M27" s="2"/>
      <c r="N27" s="7">
        <f t="shared" si="3"/>
        <v>-0.53987994220663815</v>
      </c>
      <c r="O27" s="11"/>
      <c r="P27" s="6">
        <v>93063.02</v>
      </c>
      <c r="Q27" s="2"/>
      <c r="R27" s="7">
        <f t="shared" si="4"/>
        <v>0</v>
      </c>
      <c r="S27" s="2"/>
      <c r="T27" s="6">
        <v>104856.34999999999</v>
      </c>
      <c r="U27" s="2"/>
      <c r="V27" s="7">
        <f t="shared" si="5"/>
        <v>0</v>
      </c>
      <c r="W27" s="2"/>
      <c r="X27" s="6">
        <f t="shared" si="6"/>
        <v>-11793.329999999987</v>
      </c>
      <c r="Y27" s="2"/>
      <c r="Z27" s="7">
        <f t="shared" si="7"/>
        <v>-0.11247130002141013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4151.12</v>
      </c>
      <c r="E28" s="2"/>
      <c r="F28" s="7">
        <f t="shared" si="0"/>
        <v>0</v>
      </c>
      <c r="G28" s="2"/>
      <c r="H28" s="6">
        <v>4809.71</v>
      </c>
      <c r="I28" s="2"/>
      <c r="J28" s="7">
        <f t="shared" si="1"/>
        <v>0</v>
      </c>
      <c r="K28" s="2"/>
      <c r="L28" s="6">
        <f t="shared" si="2"/>
        <v>-658.59000000000015</v>
      </c>
      <c r="M28" s="2"/>
      <c r="N28" s="7">
        <f t="shared" si="3"/>
        <v>-0.1369292535308782</v>
      </c>
      <c r="O28" s="11"/>
      <c r="P28" s="6">
        <v>36508.6</v>
      </c>
      <c r="Q28" s="2"/>
      <c r="R28" s="7">
        <f t="shared" si="4"/>
        <v>0</v>
      </c>
      <c r="S28" s="2"/>
      <c r="T28" s="6">
        <v>62941.45</v>
      </c>
      <c r="U28" s="2"/>
      <c r="V28" s="7">
        <f t="shared" si="5"/>
        <v>0</v>
      </c>
      <c r="W28" s="2"/>
      <c r="X28" s="6">
        <f t="shared" si="6"/>
        <v>-26432.85</v>
      </c>
      <c r="Y28" s="2"/>
      <c r="Z28" s="7">
        <f t="shared" si="7"/>
        <v>-0.41995934316734046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6">
        <v>30337.670000000002</v>
      </c>
      <c r="E29" s="2"/>
      <c r="F29" s="7">
        <f t="shared" si="0"/>
        <v>0</v>
      </c>
      <c r="G29" s="2"/>
      <c r="H29" s="6">
        <v>29089.919999999998</v>
      </c>
      <c r="I29" s="2"/>
      <c r="J29" s="7">
        <f t="shared" si="1"/>
        <v>0</v>
      </c>
      <c r="K29" s="2"/>
      <c r="L29" s="6">
        <f t="shared" si="2"/>
        <v>1247.7500000000036</v>
      </c>
      <c r="M29" s="2"/>
      <c r="N29" s="7">
        <f t="shared" si="3"/>
        <v>4.2892864607396781E-2</v>
      </c>
      <c r="O29" s="11"/>
      <c r="P29" s="6">
        <v>317995.81</v>
      </c>
      <c r="Q29" s="2"/>
      <c r="R29" s="7">
        <f t="shared" si="4"/>
        <v>0</v>
      </c>
      <c r="S29" s="2"/>
      <c r="T29" s="6">
        <v>355621.65</v>
      </c>
      <c r="U29" s="2"/>
      <c r="V29" s="7">
        <f t="shared" si="5"/>
        <v>0</v>
      </c>
      <c r="W29" s="2"/>
      <c r="X29" s="6">
        <f t="shared" si="6"/>
        <v>-37625.840000000026</v>
      </c>
      <c r="Y29" s="2"/>
      <c r="Z29" s="7">
        <f t="shared" si="7"/>
        <v>-0.10580300721286238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242.5</v>
      </c>
      <c r="E30" s="2"/>
      <c r="F30" s="7">
        <f t="shared" si="0"/>
        <v>0</v>
      </c>
      <c r="G30" s="2"/>
      <c r="H30" s="6">
        <v>2364.85</v>
      </c>
      <c r="I30" s="2"/>
      <c r="J30" s="7">
        <f t="shared" si="1"/>
        <v>0</v>
      </c>
      <c r="K30" s="2"/>
      <c r="L30" s="6">
        <f t="shared" si="2"/>
        <v>-2122.35</v>
      </c>
      <c r="M30" s="2"/>
      <c r="N30" s="7">
        <f t="shared" si="3"/>
        <v>-0.89745649829798935</v>
      </c>
      <c r="O30" s="11"/>
      <c r="P30" s="6">
        <v>22081.38</v>
      </c>
      <c r="Q30" s="2"/>
      <c r="R30" s="7">
        <f t="shared" si="4"/>
        <v>0</v>
      </c>
      <c r="S30" s="2"/>
      <c r="T30" s="6">
        <v>28026.52</v>
      </c>
      <c r="U30" s="2"/>
      <c r="V30" s="7">
        <f t="shared" si="5"/>
        <v>0</v>
      </c>
      <c r="W30" s="2"/>
      <c r="X30" s="6">
        <f t="shared" si="6"/>
        <v>-5945.1399999999994</v>
      </c>
      <c r="Y30" s="2"/>
      <c r="Z30" s="7">
        <f t="shared" si="7"/>
        <v>-0.21212551540469524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79318.179999999993</v>
      </c>
      <c r="E31" s="1"/>
      <c r="F31" s="5">
        <f t="shared" ref="F31:F38" si="8">IF(D$12=0,0,D31/D$12)</f>
        <v>0</v>
      </c>
      <c r="G31" s="1"/>
      <c r="H31" s="1">
        <f>SUM(OSRRefH22_1x_0)</f>
        <v>139111.72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-59793.540000000008</v>
      </c>
      <c r="M31" s="1"/>
      <c r="N31" s="5">
        <f t="shared" ref="N31:N38" si="11">IF(H31=0,0,L31/H31)</f>
        <v>-0.42982388543538969</v>
      </c>
      <c r="O31" s="13"/>
      <c r="P31" s="1">
        <f>SUM(OSRRefP22_1x_0)</f>
        <v>1227632.08</v>
      </c>
      <c r="Q31" s="1"/>
      <c r="R31" s="5">
        <f t="shared" ref="R31:R38" si="12">IF(P$12=0,0,P31/P$12)</f>
        <v>0</v>
      </c>
      <c r="S31" s="1"/>
      <c r="T31" s="1">
        <f>SUM(OSRRefT22_1x_0)</f>
        <v>1374400.6199999999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-146768.5399999998</v>
      </c>
      <c r="Y31" s="1"/>
      <c r="Z31" s="5">
        <f t="shared" ref="Z31:Z38" si="15">IF(T31=0,0,X31/T31)</f>
        <v>-0.10678730630956774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23351.02</v>
      </c>
      <c r="E32" s="2"/>
      <c r="F32" s="7">
        <f t="shared" si="8"/>
        <v>0</v>
      </c>
      <c r="G32" s="2"/>
      <c r="H32" s="6">
        <v>36087.219999999994</v>
      </c>
      <c r="I32" s="2"/>
      <c r="J32" s="7">
        <f t="shared" si="9"/>
        <v>0</v>
      </c>
      <c r="K32" s="2"/>
      <c r="L32" s="6">
        <f t="shared" si="10"/>
        <v>-12736.199999999993</v>
      </c>
      <c r="M32" s="2"/>
      <c r="N32" s="7">
        <f t="shared" si="11"/>
        <v>-0.3529282665719331</v>
      </c>
      <c r="O32" s="11"/>
      <c r="P32" s="6">
        <v>275310.42000000004</v>
      </c>
      <c r="Q32" s="2"/>
      <c r="R32" s="7">
        <f t="shared" si="12"/>
        <v>0</v>
      </c>
      <c r="S32" s="2"/>
      <c r="T32" s="6">
        <v>425502.55</v>
      </c>
      <c r="U32" s="2"/>
      <c r="V32" s="7">
        <f t="shared" si="13"/>
        <v>0</v>
      </c>
      <c r="W32" s="2"/>
      <c r="X32" s="6">
        <f t="shared" si="14"/>
        <v>-150192.12999999995</v>
      </c>
      <c r="Y32" s="2"/>
      <c r="Z32" s="7">
        <f t="shared" si="15"/>
        <v>-0.35297586348189913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31095.870000000003</v>
      </c>
      <c r="E33" s="2"/>
      <c r="F33" s="7">
        <f t="shared" si="8"/>
        <v>0</v>
      </c>
      <c r="G33" s="2"/>
      <c r="H33" s="6">
        <v>55484.97</v>
      </c>
      <c r="I33" s="2"/>
      <c r="J33" s="7">
        <f t="shared" si="9"/>
        <v>0</v>
      </c>
      <c r="K33" s="2"/>
      <c r="L33" s="6">
        <f t="shared" si="10"/>
        <v>-24389.1</v>
      </c>
      <c r="M33" s="2"/>
      <c r="N33" s="7">
        <f t="shared" si="11"/>
        <v>-0.43956228146108756</v>
      </c>
      <c r="O33" s="11"/>
      <c r="P33" s="6">
        <v>523370.88</v>
      </c>
      <c r="Q33" s="2"/>
      <c r="R33" s="7">
        <f t="shared" si="12"/>
        <v>0</v>
      </c>
      <c r="S33" s="2"/>
      <c r="T33" s="6">
        <v>527018.53999999992</v>
      </c>
      <c r="U33" s="2"/>
      <c r="V33" s="7">
        <f t="shared" si="13"/>
        <v>0</v>
      </c>
      <c r="W33" s="2"/>
      <c r="X33" s="6">
        <f t="shared" si="14"/>
        <v>-3647.6599999999162</v>
      </c>
      <c r="Y33" s="2"/>
      <c r="Z33" s="7">
        <f t="shared" si="15"/>
        <v>-6.9213124836175911E-3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17283.11</v>
      </c>
      <c r="E34" s="2"/>
      <c r="F34" s="7">
        <f t="shared" si="8"/>
        <v>0</v>
      </c>
      <c r="G34" s="2"/>
      <c r="H34" s="6">
        <v>25615.09</v>
      </c>
      <c r="I34" s="2"/>
      <c r="J34" s="7">
        <f t="shared" si="9"/>
        <v>0</v>
      </c>
      <c r="K34" s="2"/>
      <c r="L34" s="6">
        <f t="shared" si="10"/>
        <v>-8331.98</v>
      </c>
      <c r="M34" s="2"/>
      <c r="N34" s="7">
        <f t="shared" si="11"/>
        <v>-0.32527623365758229</v>
      </c>
      <c r="O34" s="11"/>
      <c r="P34" s="6">
        <v>237156.58000000002</v>
      </c>
      <c r="Q34" s="2"/>
      <c r="R34" s="7">
        <f t="shared" si="12"/>
        <v>0</v>
      </c>
      <c r="S34" s="2"/>
      <c r="T34" s="6">
        <v>222863.28</v>
      </c>
      <c r="U34" s="2"/>
      <c r="V34" s="7">
        <f t="shared" si="13"/>
        <v>0</v>
      </c>
      <c r="W34" s="2"/>
      <c r="X34" s="6">
        <f t="shared" si="14"/>
        <v>14293.300000000017</v>
      </c>
      <c r="Y34" s="2"/>
      <c r="Z34" s="7">
        <f t="shared" si="15"/>
        <v>6.4134836389377461E-2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6294.12</v>
      </c>
      <c r="E35" s="2"/>
      <c r="F35" s="7">
        <f t="shared" si="8"/>
        <v>0</v>
      </c>
      <c r="G35" s="2"/>
      <c r="H35" s="6">
        <v>10947.94</v>
      </c>
      <c r="I35" s="2"/>
      <c r="J35" s="7">
        <f t="shared" si="9"/>
        <v>0</v>
      </c>
      <c r="K35" s="2"/>
      <c r="L35" s="6">
        <f t="shared" si="10"/>
        <v>-4653.8200000000006</v>
      </c>
      <c r="M35" s="2"/>
      <c r="N35" s="7">
        <f t="shared" si="11"/>
        <v>-0.42508636327930188</v>
      </c>
      <c r="O35" s="11"/>
      <c r="P35" s="6">
        <v>107584.9</v>
      </c>
      <c r="Q35" s="2"/>
      <c r="R35" s="7">
        <f t="shared" si="12"/>
        <v>0</v>
      </c>
      <c r="S35" s="2"/>
      <c r="T35" s="6">
        <v>89859.180000000008</v>
      </c>
      <c r="U35" s="2"/>
      <c r="V35" s="7">
        <f t="shared" si="13"/>
        <v>0</v>
      </c>
      <c r="W35" s="2"/>
      <c r="X35" s="6">
        <f t="shared" si="14"/>
        <v>17725.719999999987</v>
      </c>
      <c r="Y35" s="2"/>
      <c r="Z35" s="7">
        <f t="shared" si="15"/>
        <v>0.19726109230019664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4771.83</v>
      </c>
      <c r="I36" s="2"/>
      <c r="J36" s="7">
        <f t="shared" si="9"/>
        <v>0</v>
      </c>
      <c r="K36" s="2"/>
      <c r="L36" s="6">
        <f t="shared" si="10"/>
        <v>-4771.83</v>
      </c>
      <c r="M36" s="2"/>
      <c r="N36" s="7">
        <f t="shared" si="11"/>
        <v>-1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19219.72</v>
      </c>
      <c r="U36" s="2"/>
      <c r="V36" s="7">
        <f t="shared" si="13"/>
        <v>0</v>
      </c>
      <c r="W36" s="2"/>
      <c r="X36" s="6">
        <f t="shared" si="14"/>
        <v>-16858.29</v>
      </c>
      <c r="Y36" s="2"/>
      <c r="Z36" s="7">
        <f t="shared" si="15"/>
        <v>-0.87713504671243914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5553.67</v>
      </c>
      <c r="I37" s="2"/>
      <c r="J37" s="7">
        <f t="shared" si="9"/>
        <v>0</v>
      </c>
      <c r="K37" s="2"/>
      <c r="L37" s="6">
        <f t="shared" si="10"/>
        <v>-5553.67</v>
      </c>
      <c r="M37" s="2"/>
      <c r="N37" s="7">
        <f t="shared" si="11"/>
        <v>-1</v>
      </c>
      <c r="O37" s="11"/>
      <c r="P37" s="6">
        <v>62823.01</v>
      </c>
      <c r="Q37" s="2"/>
      <c r="R37" s="7">
        <f t="shared" si="12"/>
        <v>0</v>
      </c>
      <c r="S37" s="2"/>
      <c r="T37" s="6">
        <v>86976.349999999991</v>
      </c>
      <c r="U37" s="2"/>
      <c r="V37" s="7">
        <f t="shared" si="13"/>
        <v>0</v>
      </c>
      <c r="W37" s="2"/>
      <c r="X37" s="6">
        <f t="shared" si="14"/>
        <v>-24153.339999999989</v>
      </c>
      <c r="Y37" s="2"/>
      <c r="Z37" s="7">
        <f t="shared" si="15"/>
        <v>-0.27770008743756197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1294.06</v>
      </c>
      <c r="E38" s="2"/>
      <c r="F38" s="7">
        <f t="shared" si="8"/>
        <v>0</v>
      </c>
      <c r="G38" s="2"/>
      <c r="H38" s="6">
        <v>651</v>
      </c>
      <c r="I38" s="2"/>
      <c r="J38" s="7">
        <f t="shared" si="9"/>
        <v>0</v>
      </c>
      <c r="K38" s="2"/>
      <c r="L38" s="6">
        <f t="shared" si="10"/>
        <v>643.05999999999995</v>
      </c>
      <c r="M38" s="2"/>
      <c r="N38" s="7">
        <f t="shared" si="11"/>
        <v>0.9878033794162826</v>
      </c>
      <c r="O38" s="11"/>
      <c r="P38" s="6">
        <v>19024.86</v>
      </c>
      <c r="Q38" s="2"/>
      <c r="R38" s="7">
        <f t="shared" si="12"/>
        <v>0</v>
      </c>
      <c r="S38" s="2"/>
      <c r="T38" s="6">
        <v>2961</v>
      </c>
      <c r="U38" s="2"/>
      <c r="V38" s="7">
        <f t="shared" si="13"/>
        <v>0</v>
      </c>
      <c r="W38" s="2"/>
      <c r="X38" s="6">
        <f t="shared" si="14"/>
        <v>16063.86</v>
      </c>
      <c r="Y38" s="2"/>
      <c r="Z38" s="7">
        <f t="shared" si="15"/>
        <v>5.4251469098277614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173.21</v>
      </c>
      <c r="E39" s="1"/>
      <c r="F39" s="5">
        <f t="shared" ref="F39:F47" si="16">IF(D$12=0,0,D39/D$12)</f>
        <v>0</v>
      </c>
      <c r="G39" s="1"/>
      <c r="H39" s="1">
        <f>SUM(OSRRefH22_2x_0)</f>
        <v>-4592.3100000000004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4765.5200000000004</v>
      </c>
      <c r="M39" s="1"/>
      <c r="N39" s="5">
        <f t="shared" ref="N39:N47" si="19">IF(H39=0,0,L39/H39)</f>
        <v>-1.0377174014820427</v>
      </c>
      <c r="O39" s="13"/>
      <c r="P39" s="1">
        <f>SUM(OSRRefP22_2x_0)</f>
        <v>-31381.129999999997</v>
      </c>
      <c r="Q39" s="1"/>
      <c r="R39" s="5">
        <f t="shared" ref="R39:R47" si="20">IF(P$12=0,0,P39/P$12)</f>
        <v>0</v>
      </c>
      <c r="S39" s="1"/>
      <c r="T39" s="1">
        <f>SUM(OSRRefT22_2x_0)</f>
        <v>-28313.78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-3067.3499999999985</v>
      </c>
      <c r="Y39" s="1"/>
      <c r="Z39" s="5">
        <f t="shared" ref="Z39:Z47" si="23">IF(T39=0,0,X39/T39)</f>
        <v>0.1083341750907155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173.21</v>
      </c>
      <c r="E40" s="2"/>
      <c r="F40" s="7">
        <f t="shared" si="16"/>
        <v>0</v>
      </c>
      <c r="G40" s="2"/>
      <c r="H40" s="6">
        <v>-4592.3100000000004</v>
      </c>
      <c r="I40" s="2"/>
      <c r="J40" s="7">
        <f t="shared" si="17"/>
        <v>0</v>
      </c>
      <c r="K40" s="2"/>
      <c r="L40" s="6">
        <f t="shared" si="18"/>
        <v>4765.5200000000004</v>
      </c>
      <c r="M40" s="2"/>
      <c r="N40" s="7">
        <f t="shared" si="19"/>
        <v>-1.0377174014820427</v>
      </c>
      <c r="O40" s="11"/>
      <c r="P40" s="6">
        <v>-31381.129999999997</v>
      </c>
      <c r="Q40" s="2"/>
      <c r="R40" s="7">
        <f t="shared" si="20"/>
        <v>0</v>
      </c>
      <c r="S40" s="2"/>
      <c r="T40" s="6">
        <v>-28313.78</v>
      </c>
      <c r="U40" s="2"/>
      <c r="V40" s="7">
        <f t="shared" si="21"/>
        <v>0</v>
      </c>
      <c r="W40" s="2"/>
      <c r="X40" s="6">
        <f t="shared" si="22"/>
        <v>-3067.3499999999985</v>
      </c>
      <c r="Y40" s="2"/>
      <c r="Z40" s="7">
        <f t="shared" si="23"/>
        <v>0.1083341750907155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-8.33</v>
      </c>
      <c r="E41" s="1"/>
      <c r="F41" s="5">
        <f t="shared" si="16"/>
        <v>0</v>
      </c>
      <c r="G41" s="1"/>
      <c r="H41" s="1">
        <f>SUM(OSRRefH22_3x_0)</f>
        <v>2152.79</v>
      </c>
      <c r="I41" s="1"/>
      <c r="J41" s="5">
        <f t="shared" si="17"/>
        <v>0</v>
      </c>
      <c r="K41" s="1"/>
      <c r="L41" s="1">
        <f t="shared" si="18"/>
        <v>-2161.12</v>
      </c>
      <c r="M41" s="1"/>
      <c r="N41" s="5">
        <f t="shared" si="19"/>
        <v>-1.003869397386647</v>
      </c>
      <c r="O41" s="13"/>
      <c r="P41" s="1">
        <f>SUM(OSRRefP22_3x_0)</f>
        <v>53952</v>
      </c>
      <c r="Q41" s="1"/>
      <c r="R41" s="5">
        <f t="shared" si="20"/>
        <v>0</v>
      </c>
      <c r="S41" s="1"/>
      <c r="T41" s="1">
        <f>SUM(OSRRefT22_3x_0)</f>
        <v>61614.86</v>
      </c>
      <c r="U41" s="1"/>
      <c r="V41" s="5">
        <f t="shared" si="21"/>
        <v>0</v>
      </c>
      <c r="W41" s="1"/>
      <c r="X41" s="1">
        <f t="shared" si="22"/>
        <v>-7662.8600000000006</v>
      </c>
      <c r="Y41" s="1"/>
      <c r="Z41" s="5">
        <f t="shared" si="23"/>
        <v>-0.12436707638384638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-8.33</v>
      </c>
      <c r="E42" s="2"/>
      <c r="F42" s="7">
        <f t="shared" si="16"/>
        <v>0</v>
      </c>
      <c r="G42" s="2"/>
      <c r="H42" s="6">
        <v>2152.79</v>
      </c>
      <c r="I42" s="2"/>
      <c r="J42" s="7">
        <f t="shared" si="17"/>
        <v>0</v>
      </c>
      <c r="K42" s="2"/>
      <c r="L42" s="6">
        <f t="shared" si="18"/>
        <v>-2161.12</v>
      </c>
      <c r="M42" s="2"/>
      <c r="N42" s="7">
        <f t="shared" si="19"/>
        <v>-1.003869397386647</v>
      </c>
      <c r="O42" s="11"/>
      <c r="P42" s="6">
        <v>53952</v>
      </c>
      <c r="Q42" s="2"/>
      <c r="R42" s="7">
        <f t="shared" si="20"/>
        <v>0</v>
      </c>
      <c r="S42" s="2"/>
      <c r="T42" s="6">
        <v>61614.86</v>
      </c>
      <c r="U42" s="2"/>
      <c r="V42" s="7">
        <f t="shared" si="21"/>
        <v>0</v>
      </c>
      <c r="W42" s="2"/>
      <c r="X42" s="6">
        <f t="shared" si="22"/>
        <v>-7662.8600000000006</v>
      </c>
      <c r="Y42" s="2"/>
      <c r="Z42" s="7">
        <f t="shared" si="23"/>
        <v>-0.12436707638384638</v>
      </c>
    </row>
    <row r="43" spans="1:26" s="27" customFormat="1" outlineLevel="1" collapsed="1" x14ac:dyDescent="0.25">
      <c r="A43" s="25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1240</v>
      </c>
      <c r="E43" s="1"/>
      <c r="F43" s="5">
        <f t="shared" si="16"/>
        <v>0</v>
      </c>
      <c r="G43" s="1"/>
      <c r="H43" s="1">
        <f>SUM(OSRRefH22_4x_0)</f>
        <v>4127.91</v>
      </c>
      <c r="I43" s="1"/>
      <c r="J43" s="5">
        <f t="shared" si="17"/>
        <v>0</v>
      </c>
      <c r="K43" s="1"/>
      <c r="L43" s="1">
        <f t="shared" si="18"/>
        <v>-2887.91</v>
      </c>
      <c r="M43" s="1"/>
      <c r="N43" s="5">
        <f t="shared" si="19"/>
        <v>-0.69960585380979723</v>
      </c>
      <c r="O43" s="13"/>
      <c r="P43" s="1">
        <f>SUM(OSRRefP22_4x_0)</f>
        <v>40982.71</v>
      </c>
      <c r="Q43" s="1"/>
      <c r="R43" s="5">
        <f t="shared" si="20"/>
        <v>0</v>
      </c>
      <c r="S43" s="1"/>
      <c r="T43" s="1">
        <f>SUM(OSRRefT22_4x_0)</f>
        <v>73138.080000000002</v>
      </c>
      <c r="U43" s="1"/>
      <c r="V43" s="5">
        <f t="shared" si="21"/>
        <v>0</v>
      </c>
      <c r="W43" s="1"/>
      <c r="X43" s="1">
        <f t="shared" si="22"/>
        <v>-32155.370000000003</v>
      </c>
      <c r="Y43" s="1"/>
      <c r="Z43" s="5">
        <f t="shared" si="23"/>
        <v>-0.43965291404969892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6">
        <v>1240</v>
      </c>
      <c r="E44" s="2"/>
      <c r="F44" s="7">
        <f t="shared" si="16"/>
        <v>0</v>
      </c>
      <c r="G44" s="2"/>
      <c r="H44" s="6">
        <v>4127.91</v>
      </c>
      <c r="I44" s="2"/>
      <c r="J44" s="7">
        <f t="shared" si="17"/>
        <v>0</v>
      </c>
      <c r="K44" s="2"/>
      <c r="L44" s="6">
        <f t="shared" si="18"/>
        <v>-2887.91</v>
      </c>
      <c r="M44" s="2"/>
      <c r="N44" s="7">
        <f t="shared" si="19"/>
        <v>-0.69960585380979723</v>
      </c>
      <c r="O44" s="11"/>
      <c r="P44" s="6">
        <v>40982.71</v>
      </c>
      <c r="Q44" s="2"/>
      <c r="R44" s="7">
        <f t="shared" si="20"/>
        <v>0</v>
      </c>
      <c r="S44" s="2"/>
      <c r="T44" s="6">
        <v>73138.080000000002</v>
      </c>
      <c r="U44" s="2"/>
      <c r="V44" s="7">
        <f t="shared" si="21"/>
        <v>0</v>
      </c>
      <c r="W44" s="2"/>
      <c r="X44" s="6">
        <f t="shared" si="22"/>
        <v>-32155.370000000003</v>
      </c>
      <c r="Y44" s="2"/>
      <c r="Z44" s="7">
        <f t="shared" si="23"/>
        <v>-0.43965291404969892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7607.16</v>
      </c>
      <c r="E45" s="1"/>
      <c r="F45" s="5">
        <f t="shared" si="16"/>
        <v>0</v>
      </c>
      <c r="G45" s="1"/>
      <c r="H45" s="1">
        <f>SUM(OSRRefH22_5x_0)</f>
        <v>10293.75</v>
      </c>
      <c r="I45" s="1"/>
      <c r="J45" s="5">
        <f t="shared" si="17"/>
        <v>0</v>
      </c>
      <c r="K45" s="1"/>
      <c r="L45" s="1">
        <f t="shared" si="18"/>
        <v>-2686.59</v>
      </c>
      <c r="M45" s="1"/>
      <c r="N45" s="5">
        <f t="shared" si="19"/>
        <v>-0.26099234972677599</v>
      </c>
      <c r="O45" s="13"/>
      <c r="P45" s="1">
        <f>SUM(OSRRefP22_5x_0)</f>
        <v>92969.19</v>
      </c>
      <c r="Q45" s="1"/>
      <c r="R45" s="5">
        <f t="shared" si="20"/>
        <v>0</v>
      </c>
      <c r="S45" s="1"/>
      <c r="T45" s="1">
        <f>SUM(OSRRefT22_5x_0)</f>
        <v>113232.25</v>
      </c>
      <c r="U45" s="1"/>
      <c r="V45" s="5">
        <f t="shared" si="21"/>
        <v>0</v>
      </c>
      <c r="W45" s="1"/>
      <c r="X45" s="1">
        <f t="shared" si="22"/>
        <v>-20263.059999999998</v>
      </c>
      <c r="Y45" s="1"/>
      <c r="Z45" s="5">
        <f t="shared" si="23"/>
        <v>-0.17895131466521241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7607.16</v>
      </c>
      <c r="E46" s="2"/>
      <c r="F46" s="7">
        <f t="shared" si="16"/>
        <v>0</v>
      </c>
      <c r="G46" s="2"/>
      <c r="H46" s="6">
        <v>9971.7099999999991</v>
      </c>
      <c r="I46" s="2"/>
      <c r="J46" s="7">
        <f t="shared" si="17"/>
        <v>0</v>
      </c>
      <c r="K46" s="2"/>
      <c r="L46" s="6">
        <f t="shared" si="18"/>
        <v>-2364.5499999999993</v>
      </c>
      <c r="M46" s="2"/>
      <c r="N46" s="7">
        <f t="shared" si="19"/>
        <v>-0.23712582897015652</v>
      </c>
      <c r="O46" s="11"/>
      <c r="P46" s="6">
        <v>92969.19</v>
      </c>
      <c r="Q46" s="2"/>
      <c r="R46" s="7">
        <f t="shared" si="20"/>
        <v>0</v>
      </c>
      <c r="S46" s="2"/>
      <c r="T46" s="6">
        <v>109689.81</v>
      </c>
      <c r="U46" s="2"/>
      <c r="V46" s="7">
        <f t="shared" si="21"/>
        <v>0</v>
      </c>
      <c r="W46" s="2"/>
      <c r="X46" s="6">
        <f t="shared" si="22"/>
        <v>-16720.619999999995</v>
      </c>
      <c r="Y46" s="2"/>
      <c r="Z46" s="7">
        <f t="shared" si="23"/>
        <v>-0.15243549058932634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3542.44</v>
      </c>
      <c r="U47" s="2"/>
      <c r="V47" s="7">
        <f t="shared" si="21"/>
        <v>0</v>
      </c>
      <c r="W47" s="2"/>
      <c r="X47" s="6">
        <f t="shared" si="22"/>
        <v>-3542.44</v>
      </c>
      <c r="Y47" s="2"/>
      <c r="Z47" s="7">
        <f t="shared" si="23"/>
        <v>-1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64" si="24">IF(D$12=0,0,D48/D$12)</f>
        <v>0</v>
      </c>
      <c r="G48" s="1"/>
      <c r="H48" s="1">
        <f>SUM(OSRRefH22_6x_0)</f>
        <v>384.28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-384.28</v>
      </c>
      <c r="M48" s="1"/>
      <c r="N48" s="5">
        <f t="shared" ref="N48:N64" si="27">IF(H48=0,0,L48/H48)</f>
        <v>-1</v>
      </c>
      <c r="O48" s="13"/>
      <c r="P48" s="1">
        <f>SUM(OSRRefP22_6x_0)</f>
        <v>248773.19</v>
      </c>
      <c r="Q48" s="1"/>
      <c r="R48" s="5">
        <f t="shared" ref="R48:R64" si="28">IF(P$12=0,0,P48/P$12)</f>
        <v>0</v>
      </c>
      <c r="S48" s="1"/>
      <c r="T48" s="1">
        <f>SUM(OSRRefT22_6x_0)</f>
        <v>153322.4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95450.790000000008</v>
      </c>
      <c r="Y48" s="1"/>
      <c r="Z48" s="5">
        <f t="shared" ref="Z48:Z64" si="31">IF(T48=0,0,X48/T48)</f>
        <v>0.62254954266304219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>
        <v>384.28</v>
      </c>
      <c r="I49" s="2"/>
      <c r="J49" s="7">
        <f t="shared" si="25"/>
        <v>0</v>
      </c>
      <c r="K49" s="2"/>
      <c r="L49" s="6">
        <f t="shared" si="26"/>
        <v>-384.28</v>
      </c>
      <c r="M49" s="2"/>
      <c r="N49" s="7">
        <f t="shared" si="27"/>
        <v>-1</v>
      </c>
      <c r="O49" s="11"/>
      <c r="P49" s="6">
        <v>248773.19</v>
      </c>
      <c r="Q49" s="2"/>
      <c r="R49" s="7">
        <f t="shared" si="28"/>
        <v>0</v>
      </c>
      <c r="S49" s="2"/>
      <c r="T49" s="6">
        <v>153322.4</v>
      </c>
      <c r="U49" s="2"/>
      <c r="V49" s="7">
        <f t="shared" si="29"/>
        <v>0</v>
      </c>
      <c r="W49" s="2"/>
      <c r="X49" s="6">
        <f t="shared" si="30"/>
        <v>95450.790000000008</v>
      </c>
      <c r="Y49" s="2"/>
      <c r="Z49" s="7">
        <f t="shared" si="31"/>
        <v>0.62254954266304219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0</v>
      </c>
      <c r="E50" s="1"/>
      <c r="F50" s="5">
        <f t="shared" si="24"/>
        <v>0</v>
      </c>
      <c r="G50" s="1"/>
      <c r="H50" s="1">
        <f>SUM(OSRRefH22_7x_0)</f>
        <v>436.6</v>
      </c>
      <c r="I50" s="1"/>
      <c r="J50" s="5">
        <f t="shared" si="25"/>
        <v>0</v>
      </c>
      <c r="K50" s="1"/>
      <c r="L50" s="1">
        <f t="shared" si="26"/>
        <v>-436.6</v>
      </c>
      <c r="M50" s="1"/>
      <c r="N50" s="5">
        <f t="shared" si="27"/>
        <v>-1</v>
      </c>
      <c r="O50" s="13"/>
      <c r="P50" s="1">
        <f>SUM(OSRRefP22_7x_0)</f>
        <v>29556.05</v>
      </c>
      <c r="Q50" s="1"/>
      <c r="R50" s="5">
        <f t="shared" si="28"/>
        <v>0</v>
      </c>
      <c r="S50" s="1"/>
      <c r="T50" s="1">
        <f>SUM(OSRRefT22_7x_0)</f>
        <v>51982.84</v>
      </c>
      <c r="U50" s="1"/>
      <c r="V50" s="5">
        <f t="shared" si="29"/>
        <v>0</v>
      </c>
      <c r="W50" s="1"/>
      <c r="X50" s="1">
        <f t="shared" si="30"/>
        <v>-22426.789999999997</v>
      </c>
      <c r="Y50" s="1"/>
      <c r="Z50" s="5">
        <f t="shared" si="31"/>
        <v>-0.43142679391891631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4"/>
        <v>0</v>
      </c>
      <c r="G51" s="2"/>
      <c r="H51" s="6">
        <v>436.6</v>
      </c>
      <c r="I51" s="2"/>
      <c r="J51" s="7">
        <f t="shared" si="25"/>
        <v>0</v>
      </c>
      <c r="K51" s="2"/>
      <c r="L51" s="6">
        <f t="shared" si="26"/>
        <v>-436.6</v>
      </c>
      <c r="M51" s="2"/>
      <c r="N51" s="7">
        <f t="shared" si="27"/>
        <v>-1</v>
      </c>
      <c r="O51" s="11"/>
      <c r="P51" s="6">
        <v>29556.05</v>
      </c>
      <c r="Q51" s="2"/>
      <c r="R51" s="7">
        <f t="shared" si="28"/>
        <v>0</v>
      </c>
      <c r="S51" s="2"/>
      <c r="T51" s="6">
        <v>51982.84</v>
      </c>
      <c r="U51" s="2"/>
      <c r="V51" s="7">
        <f t="shared" si="29"/>
        <v>0</v>
      </c>
      <c r="W51" s="2"/>
      <c r="X51" s="6">
        <f t="shared" si="30"/>
        <v>-22426.789999999997</v>
      </c>
      <c r="Y51" s="2"/>
      <c r="Z51" s="7">
        <f t="shared" si="31"/>
        <v>-0.43142679391891631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2572.56</v>
      </c>
      <c r="Q52" s="1"/>
      <c r="R52" s="5">
        <f t="shared" si="28"/>
        <v>0</v>
      </c>
      <c r="S52" s="1"/>
      <c r="T52" s="1">
        <f>SUM(OSRRefT22_8x_0)</f>
        <v>3302.64</v>
      </c>
      <c r="U52" s="1"/>
      <c r="V52" s="5">
        <f t="shared" si="29"/>
        <v>0</v>
      </c>
      <c r="W52" s="1"/>
      <c r="X52" s="1">
        <f t="shared" si="30"/>
        <v>-730.07999999999993</v>
      </c>
      <c r="Y52" s="1"/>
      <c r="Z52" s="5">
        <f t="shared" si="31"/>
        <v>-0.22105951602354479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208.98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-91.260000000000019</v>
      </c>
      <c r="M53" s="2"/>
      <c r="N53" s="7">
        <f t="shared" si="27"/>
        <v>-0.30395683453237415</v>
      </c>
      <c r="O53" s="11"/>
      <c r="P53" s="6">
        <v>2572.56</v>
      </c>
      <c r="Q53" s="2"/>
      <c r="R53" s="7">
        <f t="shared" si="28"/>
        <v>0</v>
      </c>
      <c r="S53" s="2"/>
      <c r="T53" s="6">
        <v>3302.64</v>
      </c>
      <c r="U53" s="2"/>
      <c r="V53" s="7">
        <f t="shared" si="29"/>
        <v>0</v>
      </c>
      <c r="W53" s="2"/>
      <c r="X53" s="6">
        <f t="shared" si="30"/>
        <v>-730.07999999999993</v>
      </c>
      <c r="Y53" s="2"/>
      <c r="Z53" s="7">
        <f t="shared" si="31"/>
        <v>-0.22105951602354479</v>
      </c>
    </row>
    <row r="54" spans="1:26" s="27" customFormat="1" outlineLevel="1" collapsed="1" x14ac:dyDescent="0.25">
      <c r="A54" s="25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112</v>
      </c>
      <c r="E54" s="1"/>
      <c r="F54" s="5">
        <f t="shared" si="24"/>
        <v>0</v>
      </c>
      <c r="G54" s="1"/>
      <c r="H54" s="1">
        <f>SUM(OSRRefH22_9x_0)</f>
        <v>176.9</v>
      </c>
      <c r="I54" s="1"/>
      <c r="J54" s="5">
        <f t="shared" si="25"/>
        <v>0</v>
      </c>
      <c r="K54" s="1"/>
      <c r="L54" s="1">
        <f t="shared" si="26"/>
        <v>-64.900000000000006</v>
      </c>
      <c r="M54" s="1"/>
      <c r="N54" s="5">
        <f t="shared" si="27"/>
        <v>-0.36687394007914076</v>
      </c>
      <c r="O54" s="13"/>
      <c r="P54" s="1">
        <f>SUM(OSRRefP22_9x_0)</f>
        <v>2612.66</v>
      </c>
      <c r="Q54" s="1"/>
      <c r="R54" s="5">
        <f t="shared" si="28"/>
        <v>0</v>
      </c>
      <c r="S54" s="1"/>
      <c r="T54" s="1">
        <f>SUM(OSRRefT22_9x_0)</f>
        <v>3067.09</v>
      </c>
      <c r="U54" s="1"/>
      <c r="V54" s="5">
        <f t="shared" si="29"/>
        <v>0</v>
      </c>
      <c r="W54" s="1"/>
      <c r="X54" s="1">
        <f t="shared" si="30"/>
        <v>-454.43000000000029</v>
      </c>
      <c r="Y54" s="1"/>
      <c r="Z54" s="5">
        <f t="shared" si="31"/>
        <v>-0.14816324268280365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6">
        <v>112</v>
      </c>
      <c r="E55" s="2"/>
      <c r="F55" s="7">
        <f t="shared" si="24"/>
        <v>0</v>
      </c>
      <c r="G55" s="2"/>
      <c r="H55" s="6">
        <v>176.9</v>
      </c>
      <c r="I55" s="2"/>
      <c r="J55" s="7">
        <f t="shared" si="25"/>
        <v>0</v>
      </c>
      <c r="K55" s="2"/>
      <c r="L55" s="6">
        <f t="shared" si="26"/>
        <v>-64.900000000000006</v>
      </c>
      <c r="M55" s="2"/>
      <c r="N55" s="7">
        <f t="shared" si="27"/>
        <v>-0.36687394007914076</v>
      </c>
      <c r="O55" s="11"/>
      <c r="P55" s="6">
        <v>2612.66</v>
      </c>
      <c r="Q55" s="2"/>
      <c r="R55" s="7">
        <f t="shared" si="28"/>
        <v>0</v>
      </c>
      <c r="S55" s="2"/>
      <c r="T55" s="6">
        <v>3067.09</v>
      </c>
      <c r="U55" s="2"/>
      <c r="V55" s="7">
        <f t="shared" si="29"/>
        <v>0</v>
      </c>
      <c r="W55" s="2"/>
      <c r="X55" s="6">
        <f t="shared" si="30"/>
        <v>-454.43000000000029</v>
      </c>
      <c r="Y55" s="2"/>
      <c r="Z55" s="7">
        <f t="shared" si="31"/>
        <v>-0.14816324268280365</v>
      </c>
    </row>
    <row r="56" spans="1:26" s="27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24"/>
        <v>0</v>
      </c>
      <c r="G56" s="1"/>
      <c r="H56" s="1">
        <f>SUM(OSRRefH22_10x_0)</f>
        <v>44.03</v>
      </c>
      <c r="I56" s="1"/>
      <c r="J56" s="5">
        <f t="shared" si="25"/>
        <v>0</v>
      </c>
      <c r="K56" s="1"/>
      <c r="L56" s="1">
        <f t="shared" si="26"/>
        <v>-44.03</v>
      </c>
      <c r="M56" s="1"/>
      <c r="N56" s="5">
        <f t="shared" si="27"/>
        <v>-1</v>
      </c>
      <c r="O56" s="13"/>
      <c r="P56" s="1">
        <f>SUM(OSRRefP22_10x_0)</f>
        <v>14594.69</v>
      </c>
      <c r="Q56" s="1"/>
      <c r="R56" s="5">
        <f t="shared" si="28"/>
        <v>0</v>
      </c>
      <c r="S56" s="1"/>
      <c r="T56" s="1">
        <f>SUM(OSRRefT22_10x_0)</f>
        <v>24739.489999999998</v>
      </c>
      <c r="U56" s="1"/>
      <c r="V56" s="5">
        <f t="shared" si="29"/>
        <v>0</v>
      </c>
      <c r="W56" s="1"/>
      <c r="X56" s="1">
        <f t="shared" si="30"/>
        <v>-10144.799999999997</v>
      </c>
      <c r="Y56" s="1"/>
      <c r="Z56" s="5">
        <f t="shared" si="31"/>
        <v>-0.41006504176116798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4"/>
        <v>0</v>
      </c>
      <c r="G57" s="2"/>
      <c r="H57" s="6">
        <v>44.03</v>
      </c>
      <c r="I57" s="2"/>
      <c r="J57" s="7">
        <f t="shared" si="25"/>
        <v>0</v>
      </c>
      <c r="K57" s="2"/>
      <c r="L57" s="6">
        <f t="shared" si="26"/>
        <v>-44.03</v>
      </c>
      <c r="M57" s="2"/>
      <c r="N57" s="7">
        <f t="shared" si="27"/>
        <v>-1</v>
      </c>
      <c r="O57" s="11"/>
      <c r="P57" s="6">
        <v>14594.69</v>
      </c>
      <c r="Q57" s="2"/>
      <c r="R57" s="7">
        <f t="shared" si="28"/>
        <v>0</v>
      </c>
      <c r="S57" s="2"/>
      <c r="T57" s="6">
        <v>24739.489999999998</v>
      </c>
      <c r="U57" s="2"/>
      <c r="V57" s="7">
        <f t="shared" si="29"/>
        <v>0</v>
      </c>
      <c r="W57" s="2"/>
      <c r="X57" s="6">
        <f t="shared" si="30"/>
        <v>-10144.799999999997</v>
      </c>
      <c r="Y57" s="2"/>
      <c r="Z57" s="7">
        <f t="shared" si="31"/>
        <v>-0.41006504176116798</v>
      </c>
    </row>
    <row r="58" spans="1:26" s="27" customFormat="1" outlineLevel="1" collapsed="1" x14ac:dyDescent="0.25">
      <c r="A58" s="25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747.67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376.78</v>
      </c>
      <c r="M58" s="1"/>
      <c r="N58" s="5">
        <f t="shared" si="27"/>
        <v>1.0158807193507509</v>
      </c>
      <c r="O58" s="13"/>
      <c r="P58" s="1">
        <f>SUM(OSRRefP22_11x_0)</f>
        <v>4684.37</v>
      </c>
      <c r="Q58" s="1"/>
      <c r="R58" s="5">
        <f t="shared" si="28"/>
        <v>0</v>
      </c>
      <c r="S58" s="1"/>
      <c r="T58" s="1">
        <f>SUM(OSRRefT22_11x_0)</f>
        <v>3772.03</v>
      </c>
      <c r="U58" s="1"/>
      <c r="V58" s="5">
        <f t="shared" si="29"/>
        <v>0</v>
      </c>
      <c r="W58" s="1"/>
      <c r="X58" s="1">
        <f t="shared" si="30"/>
        <v>912.33999999999969</v>
      </c>
      <c r="Y58" s="1"/>
      <c r="Z58" s="5">
        <f t="shared" si="31"/>
        <v>0.24186976243561151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6">
        <v>747.67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376.78</v>
      </c>
      <c r="M59" s="2"/>
      <c r="N59" s="7">
        <f t="shared" si="27"/>
        <v>1.0158807193507509</v>
      </c>
      <c r="O59" s="11"/>
      <c r="P59" s="6">
        <v>4684.37</v>
      </c>
      <c r="Q59" s="2"/>
      <c r="R59" s="7">
        <f t="shared" si="28"/>
        <v>0</v>
      </c>
      <c r="S59" s="2"/>
      <c r="T59" s="6">
        <v>3772.03</v>
      </c>
      <c r="U59" s="2"/>
      <c r="V59" s="7">
        <f t="shared" si="29"/>
        <v>0</v>
      </c>
      <c r="W59" s="2"/>
      <c r="X59" s="6">
        <f t="shared" si="30"/>
        <v>912.33999999999969</v>
      </c>
      <c r="Y59" s="2"/>
      <c r="Z59" s="7">
        <f t="shared" si="31"/>
        <v>0.24186976243561151</v>
      </c>
    </row>
    <row r="60" spans="1:26" s="27" customFormat="1" outlineLevel="1" collapsed="1" x14ac:dyDescent="0.25">
      <c r="A60" s="25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0</v>
      </c>
      <c r="E60" s="1"/>
      <c r="F60" s="5">
        <f t="shared" si="24"/>
        <v>0</v>
      </c>
      <c r="G60" s="1"/>
      <c r="H60" s="1">
        <f>SUM(OSRRefH22_12x_0)</f>
        <v>-600</v>
      </c>
      <c r="I60" s="1"/>
      <c r="J60" s="5">
        <f t="shared" si="25"/>
        <v>0</v>
      </c>
      <c r="K60" s="1"/>
      <c r="L60" s="1">
        <f t="shared" si="26"/>
        <v>600</v>
      </c>
      <c r="M60" s="1"/>
      <c r="N60" s="5">
        <f t="shared" si="27"/>
        <v>-1</v>
      </c>
      <c r="O60" s="13"/>
      <c r="P60" s="1">
        <f>SUM(OSRRefP22_12x_0)</f>
        <v>201991.25999999998</v>
      </c>
      <c r="Q60" s="1"/>
      <c r="R60" s="5">
        <f t="shared" si="28"/>
        <v>0</v>
      </c>
      <c r="S60" s="1"/>
      <c r="T60" s="1">
        <f>SUM(OSRRefT22_12x_0)</f>
        <v>192466.99000000002</v>
      </c>
      <c r="U60" s="1"/>
      <c r="V60" s="5">
        <f t="shared" si="29"/>
        <v>0</v>
      </c>
      <c r="W60" s="1"/>
      <c r="X60" s="1">
        <f t="shared" si="30"/>
        <v>9524.2699999999604</v>
      </c>
      <c r="Y60" s="1"/>
      <c r="Z60" s="5">
        <f t="shared" si="31"/>
        <v>4.9485213022762813E-2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91723</v>
      </c>
      <c r="Q61" s="2"/>
      <c r="R61" s="7">
        <f t="shared" si="28"/>
        <v>0</v>
      </c>
      <c r="S61" s="2"/>
      <c r="T61" s="6">
        <v>90326</v>
      </c>
      <c r="U61" s="2"/>
      <c r="V61" s="7">
        <f t="shared" si="29"/>
        <v>0</v>
      </c>
      <c r="W61" s="2"/>
      <c r="X61" s="6">
        <f t="shared" si="30"/>
        <v>1397</v>
      </c>
      <c r="Y61" s="2"/>
      <c r="Z61" s="7">
        <f t="shared" si="31"/>
        <v>1.5466200208134977E-2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>
        <v>-600</v>
      </c>
      <c r="I62" s="2"/>
      <c r="J62" s="7">
        <f t="shared" si="25"/>
        <v>0</v>
      </c>
      <c r="K62" s="2"/>
      <c r="L62" s="6">
        <f t="shared" si="26"/>
        <v>600</v>
      </c>
      <c r="M62" s="2"/>
      <c r="N62" s="7">
        <f t="shared" si="27"/>
        <v>-1</v>
      </c>
      <c r="O62" s="11"/>
      <c r="P62" s="6">
        <v>36894.74</v>
      </c>
      <c r="Q62" s="2"/>
      <c r="R62" s="7">
        <f t="shared" si="28"/>
        <v>0</v>
      </c>
      <c r="S62" s="2"/>
      <c r="T62" s="6">
        <v>82812.5</v>
      </c>
      <c r="U62" s="2"/>
      <c r="V62" s="7">
        <f t="shared" si="29"/>
        <v>0</v>
      </c>
      <c r="W62" s="2"/>
      <c r="X62" s="6">
        <f t="shared" si="30"/>
        <v>-45917.760000000002</v>
      </c>
      <c r="Y62" s="2"/>
      <c r="Z62" s="7">
        <f t="shared" si="31"/>
        <v>-0.55447861132075471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39175</v>
      </c>
      <c r="Q63" s="2"/>
      <c r="R63" s="7">
        <f t="shared" si="28"/>
        <v>0</v>
      </c>
      <c r="S63" s="2"/>
      <c r="T63" s="6">
        <v>2942.79</v>
      </c>
      <c r="U63" s="2"/>
      <c r="V63" s="7">
        <f t="shared" si="29"/>
        <v>0</v>
      </c>
      <c r="W63" s="2"/>
      <c r="X63" s="6">
        <f t="shared" si="30"/>
        <v>36232.21</v>
      </c>
      <c r="Y63" s="2"/>
      <c r="Z63" s="7">
        <f t="shared" si="31"/>
        <v>12.31219692876488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0</v>
      </c>
      <c r="M64" s="2"/>
      <c r="N64" s="7">
        <f t="shared" si="27"/>
        <v>0</v>
      </c>
      <c r="O64" s="11"/>
      <c r="P64" s="6">
        <v>34198.519999999997</v>
      </c>
      <c r="Q64" s="2"/>
      <c r="R64" s="7">
        <f t="shared" si="28"/>
        <v>0</v>
      </c>
      <c r="S64" s="2"/>
      <c r="T64" s="6">
        <v>16385.7</v>
      </c>
      <c r="U64" s="2"/>
      <c r="V64" s="7">
        <f t="shared" si="29"/>
        <v>0</v>
      </c>
      <c r="W64" s="2"/>
      <c r="X64" s="6">
        <f t="shared" si="30"/>
        <v>17812.819999999996</v>
      </c>
      <c r="Y64" s="2"/>
      <c r="Z64" s="7">
        <f t="shared" si="31"/>
        <v>1.0870954551834828</v>
      </c>
    </row>
    <row r="65" spans="1:26" s="27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24602.65</v>
      </c>
      <c r="E65" s="1"/>
      <c r="F65" s="5">
        <f t="shared" ref="F65:F69" si="32">IF(D$12=0,0,D65/D$12)</f>
        <v>0</v>
      </c>
      <c r="G65" s="1"/>
      <c r="H65" s="1">
        <f>SUM(OSRRefH22_13x_0)</f>
        <v>25254.11</v>
      </c>
      <c r="I65" s="1"/>
      <c r="J65" s="5">
        <f t="shared" ref="J65:J69" si="33">IF(H$12=0,0,H65/H$12)</f>
        <v>0</v>
      </c>
      <c r="K65" s="1"/>
      <c r="L65" s="1">
        <f t="shared" ref="L65:L69" si="34">+D65-H65</f>
        <v>-651.45999999999913</v>
      </c>
      <c r="M65" s="1"/>
      <c r="N65" s="5">
        <f t="shared" ref="N65:N69" si="35">IF(H65=0,0,L65/H65)</f>
        <v>-2.5796197133852634E-2</v>
      </c>
      <c r="O65" s="13"/>
      <c r="P65" s="1">
        <f>SUM(OSRRefP22_13x_0)</f>
        <v>338729.94999999995</v>
      </c>
      <c r="Q65" s="1"/>
      <c r="R65" s="5">
        <f t="shared" ref="R65:R69" si="36">IF(P$12=0,0,P65/P$12)</f>
        <v>0</v>
      </c>
      <c r="S65" s="1"/>
      <c r="T65" s="1">
        <f>SUM(OSRRefT22_13x_0)</f>
        <v>335329.61999999994</v>
      </c>
      <c r="U65" s="1"/>
      <c r="V65" s="5">
        <f t="shared" ref="V65:V69" si="37">IF(T$12=0,0,T65/T$12)</f>
        <v>0</v>
      </c>
      <c r="W65" s="1"/>
      <c r="X65" s="1">
        <f t="shared" ref="X65:X69" si="38">+P65-T65</f>
        <v>3400.3300000000163</v>
      </c>
      <c r="Y65" s="1"/>
      <c r="Z65" s="5">
        <f t="shared" ref="Z65:Z69" si="39">IF(T65=0,0,X65/T65)</f>
        <v>1.01402613941471E-2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11602.17</v>
      </c>
      <c r="E66" s="2"/>
      <c r="F66" s="7">
        <f t="shared" si="32"/>
        <v>0</v>
      </c>
      <c r="G66" s="2"/>
      <c r="H66" s="6">
        <v>12439.31</v>
      </c>
      <c r="I66" s="2"/>
      <c r="J66" s="7">
        <f t="shared" si="33"/>
        <v>0</v>
      </c>
      <c r="K66" s="2"/>
      <c r="L66" s="6">
        <f t="shared" si="34"/>
        <v>-837.13999999999942</v>
      </c>
      <c r="M66" s="2"/>
      <c r="N66" s="7">
        <f t="shared" si="35"/>
        <v>-6.7297944982478888E-2</v>
      </c>
      <c r="O66" s="11"/>
      <c r="P66" s="6">
        <v>178555.34999999998</v>
      </c>
      <c r="Q66" s="2"/>
      <c r="R66" s="7">
        <f t="shared" si="36"/>
        <v>0</v>
      </c>
      <c r="S66" s="2"/>
      <c r="T66" s="6">
        <v>171892.03999999998</v>
      </c>
      <c r="U66" s="2"/>
      <c r="V66" s="7">
        <f t="shared" si="37"/>
        <v>0</v>
      </c>
      <c r="W66" s="2"/>
      <c r="X66" s="6">
        <f t="shared" si="38"/>
        <v>6663.3099999999977</v>
      </c>
      <c r="Y66" s="2"/>
      <c r="Z66" s="7">
        <f t="shared" si="39"/>
        <v>3.8764505907312514E-2</v>
      </c>
    </row>
    <row r="67" spans="1:26" s="24" customFormat="1" hidden="1" outlineLevel="2" x14ac:dyDescent="0.25">
      <c r="A67" s="26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/>
      <c r="Q67" s="2"/>
      <c r="R67" s="7">
        <f t="shared" si="36"/>
        <v>0</v>
      </c>
      <c r="S67" s="2"/>
      <c r="T67" s="6">
        <v>321.92</v>
      </c>
      <c r="U67" s="2"/>
      <c r="V67" s="7">
        <f t="shared" si="37"/>
        <v>0</v>
      </c>
      <c r="W67" s="2"/>
      <c r="X67" s="6">
        <f t="shared" si="38"/>
        <v>-321.92</v>
      </c>
      <c r="Y67" s="2"/>
      <c r="Z67" s="7">
        <f t="shared" si="39"/>
        <v>-1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13000.48</v>
      </c>
      <c r="E68" s="2"/>
      <c r="F68" s="7">
        <f t="shared" si="32"/>
        <v>0</v>
      </c>
      <c r="G68" s="2"/>
      <c r="H68" s="6">
        <v>12814.8</v>
      </c>
      <c r="I68" s="2"/>
      <c r="J68" s="7">
        <f t="shared" si="33"/>
        <v>0</v>
      </c>
      <c r="K68" s="2"/>
      <c r="L68" s="6">
        <f t="shared" si="34"/>
        <v>185.68000000000029</v>
      </c>
      <c r="M68" s="2"/>
      <c r="N68" s="7">
        <f t="shared" si="35"/>
        <v>1.4489496519649179E-2</v>
      </c>
      <c r="O68" s="11"/>
      <c r="P68" s="6">
        <v>156547.34</v>
      </c>
      <c r="Q68" s="2"/>
      <c r="R68" s="7">
        <f t="shared" si="36"/>
        <v>0</v>
      </c>
      <c r="S68" s="2"/>
      <c r="T68" s="6">
        <v>154291.09999999998</v>
      </c>
      <c r="U68" s="2"/>
      <c r="V68" s="7">
        <f t="shared" si="37"/>
        <v>0</v>
      </c>
      <c r="W68" s="2"/>
      <c r="X68" s="6">
        <f t="shared" si="38"/>
        <v>2256.2400000000198</v>
      </c>
      <c r="Y68" s="2"/>
      <c r="Z68" s="7">
        <f t="shared" si="39"/>
        <v>1.4623267317428031E-2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2"/>
        <v>0</v>
      </c>
      <c r="G69" s="2"/>
      <c r="H69" s="6"/>
      <c r="I69" s="2"/>
      <c r="J69" s="7">
        <f t="shared" si="33"/>
        <v>0</v>
      </c>
      <c r="K69" s="2"/>
      <c r="L69" s="6">
        <f t="shared" si="34"/>
        <v>0</v>
      </c>
      <c r="M69" s="2"/>
      <c r="N69" s="7">
        <f t="shared" si="35"/>
        <v>0</v>
      </c>
      <c r="O69" s="11"/>
      <c r="P69" s="6">
        <v>3627.26</v>
      </c>
      <c r="Q69" s="2"/>
      <c r="R69" s="7">
        <f t="shared" si="36"/>
        <v>0</v>
      </c>
      <c r="S69" s="2"/>
      <c r="T69" s="6">
        <v>8824.56</v>
      </c>
      <c r="U69" s="2"/>
      <c r="V69" s="7">
        <f t="shared" si="37"/>
        <v>0</v>
      </c>
      <c r="W69" s="2"/>
      <c r="X69" s="6">
        <f t="shared" si="38"/>
        <v>-5197.2999999999993</v>
      </c>
      <c r="Y69" s="2"/>
      <c r="Z69" s="7">
        <f t="shared" si="39"/>
        <v>-0.58895854297551375</v>
      </c>
    </row>
    <row r="70" spans="1:26" s="27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SUM(OSRRefD22_14x_0)</f>
        <v>512.48</v>
      </c>
      <c r="E70" s="1"/>
      <c r="F70" s="5">
        <f t="shared" ref="F70:F72" si="40">IF(D$12=0,0,D70/D$12)</f>
        <v>0</v>
      </c>
      <c r="G70" s="1"/>
      <c r="H70" s="1">
        <f>SUM(OSRRefH22_14x_0)</f>
        <v>1134.3300000000002</v>
      </c>
      <c r="I70" s="1"/>
      <c r="J70" s="5">
        <f t="shared" ref="J70:J72" si="41">IF(H$12=0,0,H70/H$12)</f>
        <v>0</v>
      </c>
      <c r="K70" s="1"/>
      <c r="L70" s="1">
        <f t="shared" ref="L70:L72" si="42">+D70-H70</f>
        <v>-621.85000000000014</v>
      </c>
      <c r="M70" s="1"/>
      <c r="N70" s="5">
        <f t="shared" ref="N70:N72" si="43">IF(H70=0,0,L70/H70)</f>
        <v>-0.54820907496054949</v>
      </c>
      <c r="O70" s="13"/>
      <c r="P70" s="1">
        <f>SUM(OSRRefP22_14x_0)</f>
        <v>11051.39</v>
      </c>
      <c r="Q70" s="1"/>
      <c r="R70" s="5">
        <f t="shared" ref="R70:R72" si="44">IF(P$12=0,0,P70/P$12)</f>
        <v>0</v>
      </c>
      <c r="S70" s="1"/>
      <c r="T70" s="1">
        <f>SUM(OSRRefT22_14x_0)</f>
        <v>8337.7199999999993</v>
      </c>
      <c r="U70" s="1"/>
      <c r="V70" s="5">
        <f t="shared" ref="V70:V72" si="45">IF(T$12=0,0,T70/T$12)</f>
        <v>0</v>
      </c>
      <c r="W70" s="1"/>
      <c r="X70" s="1">
        <f t="shared" ref="X70:X72" si="46">+P70-T70</f>
        <v>2713.67</v>
      </c>
      <c r="Y70" s="1"/>
      <c r="Z70" s="5">
        <f t="shared" ref="Z70:Z72" si="47">IF(T70=0,0,X70/T70)</f>
        <v>0.32546907307993078</v>
      </c>
    </row>
    <row r="71" spans="1:26" s="24" customFormat="1" hidden="1" outlineLevel="2" x14ac:dyDescent="0.25">
      <c r="A71" s="26"/>
      <c r="B71" s="11" t="str">
        <f>CONCATENATE("          ", "6281", " - ", "STORAGE FEE")</f>
        <v xml:space="preserve">          6281 - STORAGE FEE</v>
      </c>
      <c r="C71" s="11"/>
      <c r="D71" s="6">
        <v>512.48</v>
      </c>
      <c r="E71" s="2"/>
      <c r="F71" s="7">
        <f t="shared" si="40"/>
        <v>0</v>
      </c>
      <c r="G71" s="2"/>
      <c r="H71" s="6">
        <v>1129.9100000000001</v>
      </c>
      <c r="I71" s="2"/>
      <c r="J71" s="7">
        <f t="shared" si="41"/>
        <v>0</v>
      </c>
      <c r="K71" s="2"/>
      <c r="L71" s="6">
        <f t="shared" si="42"/>
        <v>-617.43000000000006</v>
      </c>
      <c r="M71" s="2"/>
      <c r="N71" s="7">
        <f t="shared" si="43"/>
        <v>-0.54644175199794676</v>
      </c>
      <c r="O71" s="11"/>
      <c r="P71" s="6">
        <v>10967.41</v>
      </c>
      <c r="Q71" s="2"/>
      <c r="R71" s="7">
        <f t="shared" si="44"/>
        <v>0</v>
      </c>
      <c r="S71" s="2"/>
      <c r="T71" s="6">
        <v>8248.34</v>
      </c>
      <c r="U71" s="2"/>
      <c r="V71" s="7">
        <f t="shared" si="45"/>
        <v>0</v>
      </c>
      <c r="W71" s="2"/>
      <c r="X71" s="6">
        <f t="shared" si="46"/>
        <v>2719.0699999999997</v>
      </c>
      <c r="Y71" s="2"/>
      <c r="Z71" s="7">
        <f t="shared" si="47"/>
        <v>0.32965057211511645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40"/>
        <v>0</v>
      </c>
      <c r="G72" s="2"/>
      <c r="H72" s="6">
        <v>4.42</v>
      </c>
      <c r="I72" s="2"/>
      <c r="J72" s="7">
        <f t="shared" si="41"/>
        <v>0</v>
      </c>
      <c r="K72" s="2"/>
      <c r="L72" s="6">
        <f t="shared" si="42"/>
        <v>-4.42</v>
      </c>
      <c r="M72" s="2"/>
      <c r="N72" s="7">
        <f t="shared" si="43"/>
        <v>-1</v>
      </c>
      <c r="O72" s="11"/>
      <c r="P72" s="6">
        <v>83.98</v>
      </c>
      <c r="Q72" s="2"/>
      <c r="R72" s="7">
        <f t="shared" si="44"/>
        <v>0</v>
      </c>
      <c r="S72" s="2"/>
      <c r="T72" s="6">
        <v>89.38</v>
      </c>
      <c r="U72" s="2"/>
      <c r="V72" s="7">
        <f t="shared" si="45"/>
        <v>0</v>
      </c>
      <c r="W72" s="2"/>
      <c r="X72" s="6">
        <f t="shared" si="46"/>
        <v>-5.3999999999999915</v>
      </c>
      <c r="Y72" s="2"/>
      <c r="Z72" s="7">
        <f t="shared" si="47"/>
        <v>-6.041620049228006E-2</v>
      </c>
    </row>
    <row r="73" spans="1:26" s="27" customFormat="1" outlineLevel="1" collapsed="1" x14ac:dyDescent="0.25">
      <c r="A73" s="25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SUM(OSRRefD22_15x_0)</f>
        <v>0</v>
      </c>
      <c r="E73" s="1"/>
      <c r="F73" s="5">
        <f t="shared" ref="F73:F75" si="48">IF(D$12=0,0,D73/D$12)</f>
        <v>0</v>
      </c>
      <c r="G73" s="1"/>
      <c r="H73" s="1">
        <f>SUM(OSRRefH22_15x_0)</f>
        <v>0</v>
      </c>
      <c r="I73" s="1"/>
      <c r="J73" s="5">
        <f t="shared" ref="J73:J75" si="49">IF(H$12=0,0,H73/H$12)</f>
        <v>0</v>
      </c>
      <c r="K73" s="1"/>
      <c r="L73" s="1">
        <f t="shared" ref="L73:L75" si="50">+D73-H73</f>
        <v>0</v>
      </c>
      <c r="M73" s="1"/>
      <c r="N73" s="5">
        <f t="shared" ref="N73:N75" si="51">IF(H73=0,0,L73/H73)</f>
        <v>0</v>
      </c>
      <c r="O73" s="13"/>
      <c r="P73" s="1">
        <f>SUM(OSRRefP22_15x_0)</f>
        <v>8639</v>
      </c>
      <c r="Q73" s="1"/>
      <c r="R73" s="5">
        <f t="shared" ref="R73:R75" si="52">IF(P$12=0,0,P73/P$12)</f>
        <v>0</v>
      </c>
      <c r="S73" s="1"/>
      <c r="T73" s="1">
        <f>SUM(OSRRefT22_15x_0)</f>
        <v>11955.01</v>
      </c>
      <c r="U73" s="1"/>
      <c r="V73" s="5">
        <f t="shared" ref="V73:V75" si="53">IF(T$12=0,0,T73/T$12)</f>
        <v>0</v>
      </c>
      <c r="W73" s="1"/>
      <c r="X73" s="1">
        <f t="shared" ref="X73:X75" si="54">+P73-T73</f>
        <v>-3316.01</v>
      </c>
      <c r="Y73" s="1"/>
      <c r="Z73" s="5">
        <f t="shared" ref="Z73:Z75" si="55">IF(T73=0,0,X73/T73)</f>
        <v>-0.27737408835291649</v>
      </c>
    </row>
    <row r="74" spans="1:26" s="24" customFormat="1" hidden="1" outlineLevel="2" x14ac:dyDescent="0.25">
      <c r="A74" s="26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8639</v>
      </c>
      <c r="Q74" s="2"/>
      <c r="R74" s="7">
        <f t="shared" si="52"/>
        <v>0</v>
      </c>
      <c r="S74" s="2"/>
      <c r="T74" s="6">
        <v>10069</v>
      </c>
      <c r="U74" s="2"/>
      <c r="V74" s="7">
        <f t="shared" si="53"/>
        <v>0</v>
      </c>
      <c r="W74" s="2"/>
      <c r="X74" s="6">
        <f t="shared" si="54"/>
        <v>-1430</v>
      </c>
      <c r="Y74" s="2"/>
      <c r="Z74" s="7">
        <f t="shared" si="55"/>
        <v>-0.14202006157513158</v>
      </c>
    </row>
    <row r="75" spans="1:26" s="24" customFormat="1" hidden="1" outlineLevel="2" x14ac:dyDescent="0.25">
      <c r="A75" s="26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/>
      <c r="Q75" s="2"/>
      <c r="R75" s="7">
        <f t="shared" si="52"/>
        <v>0</v>
      </c>
      <c r="S75" s="2"/>
      <c r="T75" s="6">
        <v>1886.01</v>
      </c>
      <c r="U75" s="2"/>
      <c r="V75" s="7">
        <f t="shared" si="53"/>
        <v>0</v>
      </c>
      <c r="W75" s="2"/>
      <c r="X75" s="6">
        <f t="shared" si="54"/>
        <v>-1886.01</v>
      </c>
      <c r="Y75" s="2"/>
      <c r="Z75" s="7">
        <f t="shared" si="55"/>
        <v>-1</v>
      </c>
    </row>
    <row r="76" spans="1:26" s="27" customFormat="1" outlineLevel="1" collapsed="1" x14ac:dyDescent="0.25">
      <c r="A76" s="25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SUM(OSRRefD22_16x_0)</f>
        <v>-672.93000000000006</v>
      </c>
      <c r="E76" s="1"/>
      <c r="F76" s="5">
        <f t="shared" ref="F76:F81" si="56">IF(D$12=0,0,D76/D$12)</f>
        <v>0</v>
      </c>
      <c r="G76" s="1"/>
      <c r="H76" s="1">
        <f>SUM(OSRRefH22_16x_0)</f>
        <v>5321.2000000000007</v>
      </c>
      <c r="I76" s="1"/>
      <c r="J76" s="5">
        <f t="shared" ref="J76:J81" si="57">IF(H$12=0,0,H76/H$12)</f>
        <v>0</v>
      </c>
      <c r="K76" s="1"/>
      <c r="L76" s="1">
        <f t="shared" ref="L76:L81" si="58">+D76-H76</f>
        <v>-5994.130000000001</v>
      </c>
      <c r="M76" s="1"/>
      <c r="N76" s="5">
        <f t="shared" ref="N76:N81" si="59">IF(H76=0,0,L76/H76)</f>
        <v>-1.1264620762234083</v>
      </c>
      <c r="O76" s="13"/>
      <c r="P76" s="1">
        <f>SUM(OSRRefP22_16x_0)</f>
        <v>62835.09</v>
      </c>
      <c r="Q76" s="1"/>
      <c r="R76" s="5">
        <f t="shared" ref="R76:R81" si="60">IF(P$12=0,0,P76/P$12)</f>
        <v>0</v>
      </c>
      <c r="S76" s="1"/>
      <c r="T76" s="1">
        <f>SUM(OSRRefT22_16x_0)</f>
        <v>100288.89</v>
      </c>
      <c r="U76" s="1"/>
      <c r="V76" s="5">
        <f t="shared" ref="V76:V81" si="61">IF(T$12=0,0,T76/T$12)</f>
        <v>0</v>
      </c>
      <c r="W76" s="1"/>
      <c r="X76" s="1">
        <f t="shared" ref="X76:X81" si="62">+P76-T76</f>
        <v>-37453.800000000003</v>
      </c>
      <c r="Y76" s="1"/>
      <c r="Z76" s="5">
        <f t="shared" ref="Z76:Z81" si="63">IF(T76=0,0,X76/T76)</f>
        <v>-0.37345911396566461</v>
      </c>
    </row>
    <row r="77" spans="1:26" s="24" customFormat="1" hidden="1" outlineLevel="2" x14ac:dyDescent="0.25">
      <c r="A77" s="26"/>
      <c r="B77" s="11" t="str">
        <f>CONCATENATE("          ", "6234", " - ", "EXPENDABLE SUPPLIES &amp; EQUIPMEN")</f>
        <v xml:space="preserve">          6234 - EXPENDABLE SUPPLIES &amp; EQUIPMEN</v>
      </c>
      <c r="C77" s="11"/>
      <c r="D77" s="6">
        <v>-1550</v>
      </c>
      <c r="E77" s="2"/>
      <c r="F77" s="7">
        <f t="shared" si="56"/>
        <v>0</v>
      </c>
      <c r="G77" s="2"/>
      <c r="H77" s="6">
        <v>177.77</v>
      </c>
      <c r="I77" s="2"/>
      <c r="J77" s="7">
        <f t="shared" si="57"/>
        <v>0</v>
      </c>
      <c r="K77" s="2"/>
      <c r="L77" s="6">
        <f t="shared" si="58"/>
        <v>-1727.77</v>
      </c>
      <c r="M77" s="2"/>
      <c r="N77" s="7">
        <f t="shared" si="59"/>
        <v>-9.7191314620014619</v>
      </c>
      <c r="O77" s="11"/>
      <c r="P77" s="6">
        <v>1223.6099999999999</v>
      </c>
      <c r="Q77" s="2"/>
      <c r="R77" s="7">
        <f t="shared" si="60"/>
        <v>0</v>
      </c>
      <c r="S77" s="2"/>
      <c r="T77" s="6">
        <v>5754.18</v>
      </c>
      <c r="U77" s="2"/>
      <c r="V77" s="7">
        <f t="shared" si="61"/>
        <v>0</v>
      </c>
      <c r="W77" s="2"/>
      <c r="X77" s="6">
        <f t="shared" si="62"/>
        <v>-4530.5700000000006</v>
      </c>
      <c r="Y77" s="2"/>
      <c r="Z77" s="7">
        <f t="shared" si="63"/>
        <v>-0.78735284610491862</v>
      </c>
    </row>
    <row r="78" spans="1:26" s="24" customFormat="1" hidden="1" outlineLevel="2" x14ac:dyDescent="0.25">
      <c r="A78" s="26"/>
      <c r="B78" s="11" t="str">
        <f>CONCATENATE("          ", "6235", " - ", "COVID-19 EXPENSES")</f>
        <v xml:space="preserve">          6235 - COVID-19 EXPENSES</v>
      </c>
      <c r="C78" s="11"/>
      <c r="D78" s="6">
        <v>480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480</v>
      </c>
      <c r="M78" s="2"/>
      <c r="N78" s="7">
        <f t="shared" si="59"/>
        <v>0</v>
      </c>
      <c r="O78" s="11"/>
      <c r="P78" s="6">
        <v>5440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5440</v>
      </c>
      <c r="Y78" s="2"/>
      <c r="Z78" s="7">
        <f t="shared" si="63"/>
        <v>0</v>
      </c>
    </row>
    <row r="79" spans="1:26" s="24" customFormat="1" hidden="1" outlineLevel="2" x14ac:dyDescent="0.25">
      <c r="A79" s="26"/>
      <c r="B79" s="11" t="str">
        <f>CONCATENATE("          ", "6241", " - ", "OFFICE EXPENSE")</f>
        <v xml:space="preserve">          6241 - OFFICE EXPENSE</v>
      </c>
      <c r="C79" s="11"/>
      <c r="D79" s="6">
        <v>397.07</v>
      </c>
      <c r="E79" s="2"/>
      <c r="F79" s="7">
        <f t="shared" si="56"/>
        <v>0</v>
      </c>
      <c r="G79" s="2"/>
      <c r="H79" s="6">
        <v>4928.1000000000004</v>
      </c>
      <c r="I79" s="2"/>
      <c r="J79" s="7">
        <f t="shared" si="57"/>
        <v>0</v>
      </c>
      <c r="K79" s="2"/>
      <c r="L79" s="6">
        <f t="shared" si="58"/>
        <v>-4531.0300000000007</v>
      </c>
      <c r="M79" s="2"/>
      <c r="N79" s="7">
        <f t="shared" si="59"/>
        <v>-0.91942736551612192</v>
      </c>
      <c r="O79" s="11"/>
      <c r="P79" s="6">
        <v>50891.939999999995</v>
      </c>
      <c r="Q79" s="2"/>
      <c r="R79" s="7">
        <f t="shared" si="60"/>
        <v>0</v>
      </c>
      <c r="S79" s="2"/>
      <c r="T79" s="6">
        <v>89238.23</v>
      </c>
      <c r="U79" s="2"/>
      <c r="V79" s="7">
        <f t="shared" si="61"/>
        <v>0</v>
      </c>
      <c r="W79" s="2"/>
      <c r="X79" s="6">
        <f t="shared" si="62"/>
        <v>-38346.29</v>
      </c>
      <c r="Y79" s="2"/>
      <c r="Z79" s="7">
        <f t="shared" si="63"/>
        <v>-0.42970697648306116</v>
      </c>
    </row>
    <row r="80" spans="1:26" s="24" customFormat="1" hidden="1" outlineLevel="2" x14ac:dyDescent="0.25">
      <c r="A80" s="26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56"/>
        <v>0</v>
      </c>
      <c r="G80" s="2"/>
      <c r="H80" s="6">
        <v>75</v>
      </c>
      <c r="I80" s="2"/>
      <c r="J80" s="7">
        <f t="shared" si="57"/>
        <v>0</v>
      </c>
      <c r="K80" s="2"/>
      <c r="L80" s="6">
        <f t="shared" si="58"/>
        <v>-75</v>
      </c>
      <c r="M80" s="2"/>
      <c r="N80" s="7">
        <f t="shared" si="59"/>
        <v>-1</v>
      </c>
      <c r="O80" s="11"/>
      <c r="P80" s="6">
        <v>2034.69</v>
      </c>
      <c r="Q80" s="2"/>
      <c r="R80" s="7">
        <f t="shared" si="60"/>
        <v>0</v>
      </c>
      <c r="S80" s="2"/>
      <c r="T80" s="6">
        <v>3587.48</v>
      </c>
      <c r="U80" s="2"/>
      <c r="V80" s="7">
        <f t="shared" si="61"/>
        <v>0</v>
      </c>
      <c r="W80" s="2"/>
      <c r="X80" s="6">
        <f t="shared" si="62"/>
        <v>-1552.79</v>
      </c>
      <c r="Y80" s="2"/>
      <c r="Z80" s="7">
        <f t="shared" si="63"/>
        <v>-0.43283586249958189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56"/>
        <v>0</v>
      </c>
      <c r="G81" s="2"/>
      <c r="H81" s="6">
        <v>140.33000000000001</v>
      </c>
      <c r="I81" s="2"/>
      <c r="J81" s="7">
        <f t="shared" si="57"/>
        <v>0</v>
      </c>
      <c r="K81" s="2"/>
      <c r="L81" s="6">
        <f t="shared" si="58"/>
        <v>-140.33000000000001</v>
      </c>
      <c r="M81" s="2"/>
      <c r="N81" s="7">
        <f t="shared" si="59"/>
        <v>-1</v>
      </c>
      <c r="O81" s="11"/>
      <c r="P81" s="6">
        <v>3244.85</v>
      </c>
      <c r="Q81" s="2"/>
      <c r="R81" s="7">
        <f t="shared" si="60"/>
        <v>0</v>
      </c>
      <c r="S81" s="2"/>
      <c r="T81" s="6">
        <v>1709</v>
      </c>
      <c r="U81" s="2"/>
      <c r="V81" s="7">
        <f t="shared" si="61"/>
        <v>0</v>
      </c>
      <c r="W81" s="2"/>
      <c r="X81" s="6">
        <f t="shared" si="62"/>
        <v>1535.85</v>
      </c>
      <c r="Y81" s="2"/>
      <c r="Z81" s="7">
        <f t="shared" si="63"/>
        <v>0.89868344060854299</v>
      </c>
    </row>
    <row r="82" spans="1:26" s="27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SUM(OSRRefD22_17x_0)</f>
        <v>1675.27</v>
      </c>
      <c r="E82" s="1"/>
      <c r="F82" s="5">
        <f t="shared" ref="F82:F84" si="64">IF(D$12=0,0,D82/D$12)</f>
        <v>0</v>
      </c>
      <c r="G82" s="1"/>
      <c r="H82" s="1">
        <f>SUM(OSRRefH22_17x_0)</f>
        <v>1852.48</v>
      </c>
      <c r="I82" s="1"/>
      <c r="J82" s="5">
        <f t="shared" ref="J82:J84" si="65">IF(H$12=0,0,H82/H$12)</f>
        <v>0</v>
      </c>
      <c r="K82" s="1"/>
      <c r="L82" s="1">
        <f t="shared" ref="L82:L84" si="66">+D82-H82</f>
        <v>-177.21000000000004</v>
      </c>
      <c r="M82" s="1"/>
      <c r="N82" s="5">
        <f t="shared" ref="N82:N84" si="67">IF(H82=0,0,L82/H82)</f>
        <v>-9.5660951805147706E-2</v>
      </c>
      <c r="O82" s="13"/>
      <c r="P82" s="1">
        <f>SUM(OSRRefP22_17x_0)</f>
        <v>26985.8</v>
      </c>
      <c r="Q82" s="1"/>
      <c r="R82" s="5">
        <f t="shared" ref="R82:R84" si="68">IF(P$12=0,0,P82/P$12)</f>
        <v>0</v>
      </c>
      <c r="S82" s="1"/>
      <c r="T82" s="1">
        <f>SUM(OSRRefT22_17x_0)</f>
        <v>25226.739999999998</v>
      </c>
      <c r="U82" s="1"/>
      <c r="V82" s="5">
        <f t="shared" ref="V82:V84" si="69">IF(T$12=0,0,T82/T$12)</f>
        <v>0</v>
      </c>
      <c r="W82" s="1"/>
      <c r="X82" s="1">
        <f t="shared" ref="X82:X84" si="70">+P82-T82</f>
        <v>1759.0600000000013</v>
      </c>
      <c r="Y82" s="1"/>
      <c r="Z82" s="5">
        <f t="shared" ref="Z82:Z84" si="71">IF(T82=0,0,X82/T82)</f>
        <v>6.9729977000595453E-2</v>
      </c>
    </row>
    <row r="83" spans="1:26" s="24" customFormat="1" hidden="1" outlineLevel="2" x14ac:dyDescent="0.25">
      <c r="A83" s="26"/>
      <c r="B83" s="11" t="str">
        <f>CONCATENATE("          ", "6303", " - ", "DATA PHONE LINES")</f>
        <v xml:space="preserve">          6303 - DATA PHONE LINES</v>
      </c>
      <c r="C83" s="11"/>
      <c r="D83" s="6">
        <v>78.989999999999995</v>
      </c>
      <c r="E83" s="2"/>
      <c r="F83" s="7">
        <f t="shared" si="64"/>
        <v>0</v>
      </c>
      <c r="G83" s="2"/>
      <c r="H83" s="6">
        <v>195.53</v>
      </c>
      <c r="I83" s="2"/>
      <c r="J83" s="7">
        <f t="shared" si="65"/>
        <v>0</v>
      </c>
      <c r="K83" s="2"/>
      <c r="L83" s="6">
        <f t="shared" si="66"/>
        <v>-116.54</v>
      </c>
      <c r="M83" s="2"/>
      <c r="N83" s="7">
        <f t="shared" si="67"/>
        <v>-0.59602107093540635</v>
      </c>
      <c r="O83" s="11"/>
      <c r="P83" s="6">
        <v>1680.98</v>
      </c>
      <c r="Q83" s="2"/>
      <c r="R83" s="7">
        <f t="shared" si="68"/>
        <v>0</v>
      </c>
      <c r="S83" s="2"/>
      <c r="T83" s="6">
        <v>1922.64</v>
      </c>
      <c r="U83" s="2"/>
      <c r="V83" s="7">
        <f t="shared" si="69"/>
        <v>0</v>
      </c>
      <c r="W83" s="2"/>
      <c r="X83" s="6">
        <f t="shared" si="70"/>
        <v>-241.66000000000008</v>
      </c>
      <c r="Y83" s="2"/>
      <c r="Z83" s="7">
        <f t="shared" si="71"/>
        <v>-0.12569175716722844</v>
      </c>
    </row>
    <row r="84" spans="1:26" s="24" customFormat="1" hidden="1" outlineLevel="2" x14ac:dyDescent="0.25">
      <c r="A84" s="26"/>
      <c r="B84" s="11" t="str">
        <f>CONCATENATE("          ", "6309", " - ", "TELEPHONE")</f>
        <v xml:space="preserve">          6309 - TELEPHONE</v>
      </c>
      <c r="C84" s="11"/>
      <c r="D84" s="6">
        <v>1596.28</v>
      </c>
      <c r="E84" s="2"/>
      <c r="F84" s="7">
        <f t="shared" si="64"/>
        <v>0</v>
      </c>
      <c r="G84" s="2"/>
      <c r="H84" s="6">
        <v>1656.95</v>
      </c>
      <c r="I84" s="2"/>
      <c r="J84" s="7">
        <f t="shared" si="65"/>
        <v>0</v>
      </c>
      <c r="K84" s="2"/>
      <c r="L84" s="6">
        <f t="shared" si="66"/>
        <v>-60.670000000000073</v>
      </c>
      <c r="M84" s="2"/>
      <c r="N84" s="7">
        <f t="shared" si="67"/>
        <v>-3.6615468179486452E-2</v>
      </c>
      <c r="O84" s="11"/>
      <c r="P84" s="6">
        <v>25304.82</v>
      </c>
      <c r="Q84" s="2"/>
      <c r="R84" s="7">
        <f t="shared" si="68"/>
        <v>0</v>
      </c>
      <c r="S84" s="2"/>
      <c r="T84" s="6">
        <v>23304.1</v>
      </c>
      <c r="U84" s="2"/>
      <c r="V84" s="7">
        <f t="shared" si="69"/>
        <v>0</v>
      </c>
      <c r="W84" s="2"/>
      <c r="X84" s="6">
        <f t="shared" si="70"/>
        <v>2000.7200000000012</v>
      </c>
      <c r="Y84" s="2"/>
      <c r="Z84" s="7">
        <f t="shared" si="71"/>
        <v>8.5852704030621271E-2</v>
      </c>
    </row>
    <row r="85" spans="1:26" s="27" customFormat="1" outlineLevel="1" collapsed="1" x14ac:dyDescent="0.25">
      <c r="A85" s="25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SUM(OSRRefD22_18x_0)</f>
        <v>-97</v>
      </c>
      <c r="E85" s="1"/>
      <c r="F85" s="5">
        <f t="shared" ref="F85:F89" si="72">IF(D$12=0,0,D85/D$12)</f>
        <v>0</v>
      </c>
      <c r="G85" s="1"/>
      <c r="H85" s="1">
        <f>SUM(OSRRefH22_18x_0)</f>
        <v>381.4</v>
      </c>
      <c r="I85" s="1"/>
      <c r="J85" s="5">
        <f t="shared" ref="J85:J89" si="73">IF(H$12=0,0,H85/H$12)</f>
        <v>0</v>
      </c>
      <c r="K85" s="1"/>
      <c r="L85" s="1">
        <f t="shared" ref="L85:L89" si="74">+D85-H85</f>
        <v>-478.4</v>
      </c>
      <c r="M85" s="1"/>
      <c r="N85" s="5">
        <f t="shared" ref="N85:N89" si="75">IF(H85=0,0,L85/H85)</f>
        <v>-1.2543261667540639</v>
      </c>
      <c r="O85" s="13"/>
      <c r="P85" s="1">
        <f>SUM(OSRRefP22_18x_0)</f>
        <v>21993.54</v>
      </c>
      <c r="Q85" s="1"/>
      <c r="R85" s="5">
        <f t="shared" ref="R85:R89" si="76">IF(P$12=0,0,P85/P$12)</f>
        <v>0</v>
      </c>
      <c r="S85" s="1"/>
      <c r="T85" s="1">
        <f>SUM(OSRRefT22_18x_0)</f>
        <v>29855.340000000004</v>
      </c>
      <c r="U85" s="1"/>
      <c r="V85" s="5">
        <f t="shared" ref="V85:V89" si="77">IF(T$12=0,0,T85/T$12)</f>
        <v>0</v>
      </c>
      <c r="W85" s="1"/>
      <c r="X85" s="1">
        <f t="shared" ref="X85:X89" si="78">+P85-T85</f>
        <v>-7861.8000000000029</v>
      </c>
      <c r="Y85" s="1"/>
      <c r="Z85" s="5">
        <f t="shared" ref="Z85:Z89" si="79">IF(T85=0,0,X85/T85)</f>
        <v>-0.2633297761807436</v>
      </c>
    </row>
    <row r="86" spans="1:26" s="24" customFormat="1" hidden="1" outlineLevel="2" x14ac:dyDescent="0.25">
      <c r="A86" s="26"/>
      <c r="B86" s="11" t="str">
        <f>CONCATENATE("          ", "6376", " - ", "TRAINING")</f>
        <v xml:space="preserve">          6376 - TRAINING</v>
      </c>
      <c r="C86" s="11"/>
      <c r="D86" s="6">
        <v>-97</v>
      </c>
      <c r="E86" s="2"/>
      <c r="F86" s="7">
        <f t="shared" si="72"/>
        <v>0</v>
      </c>
      <c r="G86" s="2"/>
      <c r="H86" s="6">
        <v>381.4</v>
      </c>
      <c r="I86" s="2"/>
      <c r="J86" s="7">
        <f t="shared" si="73"/>
        <v>0</v>
      </c>
      <c r="K86" s="2"/>
      <c r="L86" s="6">
        <f t="shared" si="74"/>
        <v>-478.4</v>
      </c>
      <c r="M86" s="2"/>
      <c r="N86" s="7">
        <f t="shared" si="75"/>
        <v>-1.2543261667540639</v>
      </c>
      <c r="O86" s="11"/>
      <c r="P86" s="6">
        <v>21993.54</v>
      </c>
      <c r="Q86" s="2"/>
      <c r="R86" s="7">
        <f t="shared" si="76"/>
        <v>0</v>
      </c>
      <c r="S86" s="2"/>
      <c r="T86" s="6">
        <v>29855.340000000004</v>
      </c>
      <c r="U86" s="2"/>
      <c r="V86" s="7">
        <f t="shared" si="77"/>
        <v>0</v>
      </c>
      <c r="W86" s="2"/>
      <c r="X86" s="6">
        <f t="shared" si="78"/>
        <v>-7861.8000000000029</v>
      </c>
      <c r="Y86" s="2"/>
      <c r="Z86" s="7">
        <f t="shared" si="79"/>
        <v>-0.2633297761807436</v>
      </c>
    </row>
    <row r="87" spans="1:26" s="27" customFormat="1" outlineLevel="1" collapsed="1" x14ac:dyDescent="0.25">
      <c r="A87" s="25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SUM(OSRRefD22_19x_0)</f>
        <v>0</v>
      </c>
      <c r="E87" s="1"/>
      <c r="F87" s="5">
        <f t="shared" si="72"/>
        <v>0</v>
      </c>
      <c r="G87" s="1"/>
      <c r="H87" s="1">
        <f>SUM(OSRRefH22_19x_0)</f>
        <v>568.95000000000005</v>
      </c>
      <c r="I87" s="1"/>
      <c r="J87" s="5">
        <f t="shared" si="73"/>
        <v>0</v>
      </c>
      <c r="K87" s="1"/>
      <c r="L87" s="1">
        <f t="shared" si="74"/>
        <v>-568.95000000000005</v>
      </c>
      <c r="M87" s="1"/>
      <c r="N87" s="5">
        <f t="shared" si="75"/>
        <v>-1</v>
      </c>
      <c r="O87" s="13"/>
      <c r="P87" s="1">
        <f>SUM(OSRRefP22_19x_0)</f>
        <v>12860.449999999999</v>
      </c>
      <c r="Q87" s="1"/>
      <c r="R87" s="5">
        <f t="shared" si="76"/>
        <v>0</v>
      </c>
      <c r="S87" s="1"/>
      <c r="T87" s="1">
        <f>SUM(OSRRefT22_19x_0)</f>
        <v>22229.49</v>
      </c>
      <c r="U87" s="1"/>
      <c r="V87" s="5">
        <f t="shared" si="77"/>
        <v>0</v>
      </c>
      <c r="W87" s="1"/>
      <c r="X87" s="1">
        <f t="shared" si="78"/>
        <v>-9369.0400000000027</v>
      </c>
      <c r="Y87" s="1"/>
      <c r="Z87" s="5">
        <f t="shared" si="79"/>
        <v>-0.42146895857709743</v>
      </c>
    </row>
    <row r="88" spans="1:26" s="24" customFormat="1" hidden="1" outlineLevel="2" x14ac:dyDescent="0.25">
      <c r="A88" s="26"/>
      <c r="B88" s="11" t="str">
        <f>CONCATENATE("          ", "6292", " - ", "TRAVEL/CONFERENCE")</f>
        <v xml:space="preserve">          6292 - TRAVEL/CONFERENCE</v>
      </c>
      <c r="C88" s="11"/>
      <c r="D88" s="6"/>
      <c r="E88" s="2"/>
      <c r="F88" s="7">
        <f t="shared" si="72"/>
        <v>0</v>
      </c>
      <c r="G88" s="2"/>
      <c r="H88" s="6">
        <v>568.95000000000005</v>
      </c>
      <c r="I88" s="2"/>
      <c r="J88" s="7">
        <f t="shared" si="73"/>
        <v>0</v>
      </c>
      <c r="K88" s="2"/>
      <c r="L88" s="6">
        <f t="shared" si="74"/>
        <v>-568.95000000000005</v>
      </c>
      <c r="M88" s="2"/>
      <c r="N88" s="7">
        <f t="shared" si="75"/>
        <v>-1</v>
      </c>
      <c r="O88" s="11"/>
      <c r="P88" s="6">
        <v>12836.55</v>
      </c>
      <c r="Q88" s="2"/>
      <c r="R88" s="7">
        <f t="shared" si="76"/>
        <v>0</v>
      </c>
      <c r="S88" s="2"/>
      <c r="T88" s="6">
        <v>20851.43</v>
      </c>
      <c r="U88" s="2"/>
      <c r="V88" s="7">
        <f t="shared" si="77"/>
        <v>0</v>
      </c>
      <c r="W88" s="2"/>
      <c r="X88" s="6">
        <f t="shared" si="78"/>
        <v>-8014.880000000001</v>
      </c>
      <c r="Y88" s="2"/>
      <c r="Z88" s="7">
        <f t="shared" si="79"/>
        <v>-0.38438035185116803</v>
      </c>
    </row>
    <row r="89" spans="1:26" s="24" customFormat="1" hidden="1" outlineLevel="2" x14ac:dyDescent="0.25">
      <c r="A89" s="26"/>
      <c r="B89" s="11" t="str">
        <f>CONCATENATE("          ", "6294", " - ", "TRAVEL OPERATIONAL")</f>
        <v xml:space="preserve">          6294 - TRAVEL OPERATIONAL</v>
      </c>
      <c r="C89" s="11"/>
      <c r="D89" s="6"/>
      <c r="E89" s="2"/>
      <c r="F89" s="7">
        <f t="shared" si="72"/>
        <v>0</v>
      </c>
      <c r="G89" s="2"/>
      <c r="H89" s="6"/>
      <c r="I89" s="2"/>
      <c r="J89" s="7">
        <f t="shared" si="73"/>
        <v>0</v>
      </c>
      <c r="K89" s="2"/>
      <c r="L89" s="6">
        <f t="shared" si="74"/>
        <v>0</v>
      </c>
      <c r="M89" s="2"/>
      <c r="N89" s="7">
        <f t="shared" si="75"/>
        <v>0</v>
      </c>
      <c r="O89" s="11"/>
      <c r="P89" s="6">
        <v>23.9</v>
      </c>
      <c r="Q89" s="2"/>
      <c r="R89" s="7">
        <f t="shared" si="76"/>
        <v>0</v>
      </c>
      <c r="S89" s="2"/>
      <c r="T89" s="6">
        <v>1378.06</v>
      </c>
      <c r="U89" s="2"/>
      <c r="V89" s="7">
        <f t="shared" si="77"/>
        <v>0</v>
      </c>
      <c r="W89" s="2"/>
      <c r="X89" s="6">
        <f t="shared" si="78"/>
        <v>-1354.1599999999999</v>
      </c>
      <c r="Y89" s="2"/>
      <c r="Z89" s="7">
        <f t="shared" si="79"/>
        <v>-0.98265677836959198</v>
      </c>
    </row>
    <row r="90" spans="1:26" s="58" customFormat="1" x14ac:dyDescent="0.25">
      <c r="A90" s="37"/>
      <c r="B90" s="37"/>
      <c r="C90" s="37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7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1">
        <f>+D16-D18+D91</f>
        <v>-194155.12000000008</v>
      </c>
      <c r="E93" s="14"/>
      <c r="F93" s="20">
        <f>IF(D$12=0,0,D93/D$12)</f>
        <v>0</v>
      </c>
      <c r="G93" s="14"/>
      <c r="H93" s="21">
        <f>+H16-H18+H91</f>
        <v>-280169.15000000008</v>
      </c>
      <c r="I93" s="14"/>
      <c r="J93" s="20">
        <f>IF(H$12=0,0,H93/H$12)</f>
        <v>0</v>
      </c>
      <c r="K93" s="16"/>
      <c r="L93" s="21">
        <f>+D93-H93</f>
        <v>86014.03</v>
      </c>
      <c r="M93" s="16"/>
      <c r="N93" s="20">
        <f>IF(H93=0,0,L93/H93)</f>
        <v>-0.30700749886274048</v>
      </c>
      <c r="O93" s="28"/>
      <c r="P93" s="21">
        <f>+P16-P18+P91</f>
        <v>-3321539.6799999992</v>
      </c>
      <c r="Q93" s="14"/>
      <c r="R93" s="20">
        <f>IF(P$12=0,0,P93/P$12)</f>
        <v>0</v>
      </c>
      <c r="S93" s="14"/>
      <c r="T93" s="21">
        <f>+T16-T18+T91</f>
        <v>-3635995.6500000004</v>
      </c>
      <c r="U93" s="14"/>
      <c r="V93" s="20">
        <f>IF(T$12=0,0,T93/T$12)</f>
        <v>0</v>
      </c>
      <c r="W93" s="16"/>
      <c r="X93" s="21">
        <f>+P93-T93</f>
        <v>314455.97000000114</v>
      </c>
      <c r="Y93" s="16"/>
      <c r="Z93" s="20">
        <f>IF(T93=0,0,X93/T93)</f>
        <v>-8.6484143621019208E-2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5">
        <f>+D93-D95</f>
        <v>-194155.12000000008</v>
      </c>
      <c r="E97" s="14"/>
      <c r="F97" s="32">
        <f>IF(D$12=0,0,D97/D$12)</f>
        <v>0</v>
      </c>
      <c r="G97" s="14"/>
      <c r="H97" s="35">
        <f>+H93-H95</f>
        <v>-280169.15000000008</v>
      </c>
      <c r="I97" s="14"/>
      <c r="J97" s="32">
        <f>IF(H$12=0,0,H97/H$12)</f>
        <v>0</v>
      </c>
      <c r="K97" s="16"/>
      <c r="L97" s="35">
        <f>D97-H97</f>
        <v>86014.03</v>
      </c>
      <c r="M97" s="16"/>
      <c r="N97" s="32">
        <f>IF(H97=0,0,L97/H97)</f>
        <v>-0.30700749886274048</v>
      </c>
      <c r="O97" s="28"/>
      <c r="P97" s="35">
        <f>+P93-P95</f>
        <v>-3321539.6799999992</v>
      </c>
      <c r="Q97" s="14"/>
      <c r="R97" s="32">
        <f>IF(P$12=0,0,P97/P$12)</f>
        <v>0</v>
      </c>
      <c r="S97" s="14"/>
      <c r="T97" s="35">
        <f>+T93-T95</f>
        <v>-3635995.6500000004</v>
      </c>
      <c r="U97" s="14"/>
      <c r="V97" s="32">
        <f>IF(T$12=0,0,T97/T$12)</f>
        <v>0</v>
      </c>
      <c r="W97" s="16"/>
      <c r="X97" s="35">
        <f>P97-T97</f>
        <v>314455.97000000114</v>
      </c>
      <c r="Y97" s="16"/>
      <c r="Z97" s="32">
        <f>IF(T97=0,0,X97/T97)</f>
        <v>-8.6484143621019208E-2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6">
        <f>SUM(D97:D99)</f>
        <v>-194155.12000000008</v>
      </c>
      <c r="E100" s="14"/>
      <c r="F100" s="33">
        <f>IF(D$12=0,0,D100/D$12)</f>
        <v>0</v>
      </c>
      <c r="G100" s="14"/>
      <c r="H100" s="36">
        <f>SUM(H97:H99)</f>
        <v>-280169.15000000008</v>
      </c>
      <c r="I100" s="14"/>
      <c r="J100" s="33">
        <f>IF(H$12=0,0,H100/H$12)</f>
        <v>0</v>
      </c>
      <c r="K100" s="16"/>
      <c r="L100" s="36">
        <f>+D100-H100</f>
        <v>86014.03</v>
      </c>
      <c r="M100" s="16"/>
      <c r="N100" s="33">
        <f>IF(H100=0,0,L100/H100)</f>
        <v>-0.30700749886274048</v>
      </c>
      <c r="O100" s="28"/>
      <c r="P100" s="36">
        <f>SUM(P97:P99)</f>
        <v>-3321539.6799999992</v>
      </c>
      <c r="Q100" s="14"/>
      <c r="R100" s="33">
        <f>IF(P$12=0,0,P100/P$12)</f>
        <v>0</v>
      </c>
      <c r="S100" s="14"/>
      <c r="T100" s="36">
        <f>SUM(T97:T99)</f>
        <v>-3635995.6500000004</v>
      </c>
      <c r="U100" s="14"/>
      <c r="V100" s="33">
        <f>IF(T$12=0,0,T100/T$12)</f>
        <v>0</v>
      </c>
      <c r="W100" s="16"/>
      <c r="X100" s="36">
        <f>+P100-T100</f>
        <v>314455.97000000114</v>
      </c>
      <c r="Y100" s="16"/>
      <c r="Z100" s="33">
        <f>IF(T100=0,0,X100/T100)</f>
        <v>-8.6484143621019208E-2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>
        <v>43992.374713738427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2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3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31569.34</v>
      </c>
      <c r="E18" s="22"/>
      <c r="F18" s="31">
        <f t="shared" ref="F18:F29" si="0">IF(D$12=0,0,D18/D$12)</f>
        <v>0</v>
      </c>
      <c r="G18" s="22"/>
      <c r="H18" s="22">
        <f>SUM(OSRRefH22x_0)</f>
        <v>34770.619999999995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-3201.2799999999952</v>
      </c>
      <c r="M18" s="4"/>
      <c r="N18" s="31">
        <f t="shared" ref="N18:N29" si="3">IF(H18=0,0,L18/H18)</f>
        <v>-9.2068533721860454E-2</v>
      </c>
      <c r="O18" s="10"/>
      <c r="P18" s="22">
        <f>SUM(OSRRefP22x_0)</f>
        <v>577293.94999999995</v>
      </c>
      <c r="Q18" s="22"/>
      <c r="R18" s="31">
        <f t="shared" ref="R18:R29" si="4">IF(P$12=0,0,P18/P$12)</f>
        <v>0</v>
      </c>
      <c r="S18" s="22"/>
      <c r="T18" s="22">
        <f>SUM(OSRRefT22x_0)</f>
        <v>674400.59000000008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-97106.64000000013</v>
      </c>
      <c r="Y18" s="4"/>
      <c r="Z18" s="31">
        <f t="shared" ref="Z18:Z29" si="7">IF(T18=0,0,X18/T18)</f>
        <v>-0.14398955374579389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30337.670000000002</v>
      </c>
      <c r="E19" s="1"/>
      <c r="F19" s="5">
        <f t="shared" si="0"/>
        <v>0</v>
      </c>
      <c r="G19" s="1"/>
      <c r="H19" s="1">
        <f>SUM(OSRRefH22_0x_0)</f>
        <v>29089.919999999998</v>
      </c>
      <c r="I19" s="1"/>
      <c r="J19" s="5">
        <f t="shared" si="1"/>
        <v>0</v>
      </c>
      <c r="K19" s="1"/>
      <c r="L19" s="1">
        <f t="shared" si="2"/>
        <v>1247.7500000000036</v>
      </c>
      <c r="M19" s="1"/>
      <c r="N19" s="5">
        <f t="shared" si="3"/>
        <v>4.2892864607396781E-2</v>
      </c>
      <c r="O19" s="13"/>
      <c r="P19" s="1">
        <f>SUM(OSRRefP22_0x_0)</f>
        <v>317995.81</v>
      </c>
      <c r="Q19" s="1"/>
      <c r="R19" s="5">
        <f t="shared" si="4"/>
        <v>0</v>
      </c>
      <c r="S19" s="1"/>
      <c r="T19" s="1">
        <f>SUM(OSRRefT22_0x_0)</f>
        <v>355621.65</v>
      </c>
      <c r="U19" s="1"/>
      <c r="V19" s="5">
        <f t="shared" si="5"/>
        <v>0</v>
      </c>
      <c r="W19" s="1"/>
      <c r="X19" s="1">
        <f t="shared" si="6"/>
        <v>-37625.840000000026</v>
      </c>
      <c r="Y19" s="1"/>
      <c r="Z19" s="5">
        <f t="shared" si="7"/>
        <v>-0.10580300721286238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30337.670000000002</v>
      </c>
      <c r="E20" s="2"/>
      <c r="F20" s="7">
        <f t="shared" si="0"/>
        <v>0</v>
      </c>
      <c r="G20" s="2"/>
      <c r="H20" s="6">
        <v>29089.919999999998</v>
      </c>
      <c r="I20" s="2"/>
      <c r="J20" s="7">
        <f t="shared" si="1"/>
        <v>0</v>
      </c>
      <c r="K20" s="2"/>
      <c r="L20" s="6">
        <f t="shared" si="2"/>
        <v>1247.7500000000036</v>
      </c>
      <c r="M20" s="2"/>
      <c r="N20" s="7">
        <f t="shared" si="3"/>
        <v>4.2892864607396781E-2</v>
      </c>
      <c r="O20" s="11"/>
      <c r="P20" s="6">
        <v>317995.81</v>
      </c>
      <c r="Q20" s="2"/>
      <c r="R20" s="7">
        <f t="shared" si="4"/>
        <v>0</v>
      </c>
      <c r="S20" s="2"/>
      <c r="T20" s="6">
        <v>355621.65</v>
      </c>
      <c r="U20" s="2"/>
      <c r="V20" s="7">
        <f t="shared" si="5"/>
        <v>0</v>
      </c>
      <c r="W20" s="2"/>
      <c r="X20" s="6">
        <f t="shared" si="6"/>
        <v>-37625.840000000026</v>
      </c>
      <c r="Y20" s="2"/>
      <c r="Z20" s="7">
        <f t="shared" si="7"/>
        <v>-0.10580300721286238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-8.33</v>
      </c>
      <c r="E21" s="1"/>
      <c r="F21" s="5">
        <f t="shared" si="0"/>
        <v>0</v>
      </c>
      <c r="G21" s="1"/>
      <c r="H21" s="1">
        <f>SUM(OSRRefH22_1x_0)</f>
        <v>2152.79</v>
      </c>
      <c r="I21" s="1"/>
      <c r="J21" s="5">
        <f t="shared" si="1"/>
        <v>0</v>
      </c>
      <c r="K21" s="1"/>
      <c r="L21" s="1">
        <f t="shared" si="2"/>
        <v>-2161.12</v>
      </c>
      <c r="M21" s="1"/>
      <c r="N21" s="5">
        <f t="shared" si="3"/>
        <v>-1.003869397386647</v>
      </c>
      <c r="O21" s="13"/>
      <c r="P21" s="1">
        <f>SUM(OSRRefP22_1x_0)</f>
        <v>53952</v>
      </c>
      <c r="Q21" s="1"/>
      <c r="R21" s="5">
        <f t="shared" si="4"/>
        <v>0</v>
      </c>
      <c r="S21" s="1"/>
      <c r="T21" s="1">
        <f>SUM(OSRRefT22_1x_0)</f>
        <v>61614.86</v>
      </c>
      <c r="U21" s="1"/>
      <c r="V21" s="5">
        <f t="shared" si="5"/>
        <v>0</v>
      </c>
      <c r="W21" s="1"/>
      <c r="X21" s="1">
        <f t="shared" si="6"/>
        <v>-7662.8600000000006</v>
      </c>
      <c r="Y21" s="1"/>
      <c r="Z21" s="5">
        <f t="shared" si="7"/>
        <v>-0.12436707638384638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-8.33</v>
      </c>
      <c r="E22" s="2"/>
      <c r="F22" s="7">
        <f t="shared" si="0"/>
        <v>0</v>
      </c>
      <c r="G22" s="2"/>
      <c r="H22" s="6">
        <v>2152.79</v>
      </c>
      <c r="I22" s="2"/>
      <c r="J22" s="7">
        <f t="shared" si="1"/>
        <v>0</v>
      </c>
      <c r="K22" s="2"/>
      <c r="L22" s="6">
        <f t="shared" si="2"/>
        <v>-2161.12</v>
      </c>
      <c r="M22" s="2"/>
      <c r="N22" s="7">
        <f t="shared" si="3"/>
        <v>-1.003869397386647</v>
      </c>
      <c r="O22" s="11"/>
      <c r="P22" s="6">
        <v>53952</v>
      </c>
      <c r="Q22" s="2"/>
      <c r="R22" s="7">
        <f t="shared" si="4"/>
        <v>0</v>
      </c>
      <c r="S22" s="2"/>
      <c r="T22" s="6">
        <v>61614.86</v>
      </c>
      <c r="U22" s="2"/>
      <c r="V22" s="7">
        <f t="shared" si="5"/>
        <v>0</v>
      </c>
      <c r="W22" s="2"/>
      <c r="X22" s="6">
        <f t="shared" si="6"/>
        <v>-7662.8600000000006</v>
      </c>
      <c r="Y22" s="2"/>
      <c r="Z22" s="7">
        <f t="shared" si="7"/>
        <v>-0.12436707638384638</v>
      </c>
    </row>
    <row r="23" spans="1:26" s="27" customFormat="1" outlineLevel="1" collapsed="1" x14ac:dyDescent="0.25">
      <c r="A23" s="25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1240</v>
      </c>
      <c r="E23" s="1"/>
      <c r="F23" s="5">
        <f t="shared" si="0"/>
        <v>0</v>
      </c>
      <c r="G23" s="1"/>
      <c r="H23" s="1">
        <f>SUM(OSRRefH22_2x_0)</f>
        <v>4127.91</v>
      </c>
      <c r="I23" s="1"/>
      <c r="J23" s="5">
        <f t="shared" si="1"/>
        <v>0</v>
      </c>
      <c r="K23" s="1"/>
      <c r="L23" s="1">
        <f t="shared" si="2"/>
        <v>-2887.91</v>
      </c>
      <c r="M23" s="1"/>
      <c r="N23" s="5">
        <f t="shared" si="3"/>
        <v>-0.69960585380979723</v>
      </c>
      <c r="O23" s="13"/>
      <c r="P23" s="1">
        <f>SUM(OSRRefP22_2x_0)</f>
        <v>40982.71</v>
      </c>
      <c r="Q23" s="1"/>
      <c r="R23" s="5">
        <f t="shared" si="4"/>
        <v>0</v>
      </c>
      <c r="S23" s="1"/>
      <c r="T23" s="1">
        <f>SUM(OSRRefT22_2x_0)</f>
        <v>73138.080000000002</v>
      </c>
      <c r="U23" s="1"/>
      <c r="V23" s="5">
        <f t="shared" si="5"/>
        <v>0</v>
      </c>
      <c r="W23" s="1"/>
      <c r="X23" s="1">
        <f t="shared" si="6"/>
        <v>-32155.370000000003</v>
      </c>
      <c r="Y23" s="1"/>
      <c r="Z23" s="5">
        <f t="shared" si="7"/>
        <v>-0.43965291404969892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1240</v>
      </c>
      <c r="E24" s="2"/>
      <c r="F24" s="7">
        <f t="shared" si="0"/>
        <v>0</v>
      </c>
      <c r="G24" s="2"/>
      <c r="H24" s="6">
        <v>4127.91</v>
      </c>
      <c r="I24" s="2"/>
      <c r="J24" s="7">
        <f t="shared" si="1"/>
        <v>0</v>
      </c>
      <c r="K24" s="2"/>
      <c r="L24" s="6">
        <f t="shared" si="2"/>
        <v>-2887.91</v>
      </c>
      <c r="M24" s="2"/>
      <c r="N24" s="7">
        <f t="shared" si="3"/>
        <v>-0.69960585380979723</v>
      </c>
      <c r="O24" s="11"/>
      <c r="P24" s="6">
        <v>40982.71</v>
      </c>
      <c r="Q24" s="2"/>
      <c r="R24" s="7">
        <f t="shared" si="4"/>
        <v>0</v>
      </c>
      <c r="S24" s="2"/>
      <c r="T24" s="6">
        <v>73138.080000000002</v>
      </c>
      <c r="U24" s="2"/>
      <c r="V24" s="7">
        <f t="shared" si="5"/>
        <v>0</v>
      </c>
      <c r="W24" s="2"/>
      <c r="X24" s="6">
        <f t="shared" si="6"/>
        <v>-32155.370000000003</v>
      </c>
      <c r="Y24" s="2"/>
      <c r="Z24" s="7">
        <f t="shared" si="7"/>
        <v>-0.43965291404969892</v>
      </c>
    </row>
    <row r="25" spans="1:26" s="27" customFormat="1" outlineLevel="1" collapsed="1" x14ac:dyDescent="0.25">
      <c r="A25" s="25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103128.19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5628.1900000000023</v>
      </c>
      <c r="Y26" s="2"/>
      <c r="Z26" s="7">
        <f t="shared" si="7"/>
        <v>5.7725025641025662E-2</v>
      </c>
    </row>
    <row r="27" spans="1:26" s="27" customFormat="1" outlineLevel="1" collapsed="1" x14ac:dyDescent="0.25">
      <c r="A27" s="25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-600</v>
      </c>
      <c r="I27" s="1"/>
      <c r="J27" s="5">
        <f t="shared" si="1"/>
        <v>0</v>
      </c>
      <c r="K27" s="1"/>
      <c r="L27" s="1">
        <f t="shared" si="2"/>
        <v>600</v>
      </c>
      <c r="M27" s="1"/>
      <c r="N27" s="5">
        <f t="shared" si="3"/>
        <v>-1</v>
      </c>
      <c r="O27" s="13"/>
      <c r="P27" s="1">
        <f>SUM(OSRRefP22_4x_0)</f>
        <v>61235.24</v>
      </c>
      <c r="Q27" s="1"/>
      <c r="R27" s="5">
        <f t="shared" si="4"/>
        <v>0</v>
      </c>
      <c r="S27" s="1"/>
      <c r="T27" s="1">
        <f>SUM(OSRRefT22_4x_0)</f>
        <v>86526</v>
      </c>
      <c r="U27" s="1"/>
      <c r="V27" s="5">
        <f t="shared" si="5"/>
        <v>0</v>
      </c>
      <c r="W27" s="1"/>
      <c r="X27" s="1">
        <f t="shared" si="6"/>
        <v>-25290.760000000002</v>
      </c>
      <c r="Y27" s="1"/>
      <c r="Z27" s="5">
        <f t="shared" si="7"/>
        <v>-0.29229087210780574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46173</v>
      </c>
      <c r="Q28" s="2"/>
      <c r="R28" s="7">
        <f t="shared" si="4"/>
        <v>0</v>
      </c>
      <c r="S28" s="2"/>
      <c r="T28" s="6">
        <v>45926</v>
      </c>
      <c r="U28" s="2"/>
      <c r="V28" s="7">
        <f t="shared" si="5"/>
        <v>0</v>
      </c>
      <c r="W28" s="2"/>
      <c r="X28" s="6">
        <f t="shared" si="6"/>
        <v>247</v>
      </c>
      <c r="Y28" s="2"/>
      <c r="Z28" s="7">
        <f t="shared" si="7"/>
        <v>5.3782171319078521E-3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-600</v>
      </c>
      <c r="I29" s="2"/>
      <c r="J29" s="7">
        <f t="shared" si="1"/>
        <v>0</v>
      </c>
      <c r="K29" s="2"/>
      <c r="L29" s="6">
        <f t="shared" si="2"/>
        <v>600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40600</v>
      </c>
      <c r="U29" s="2"/>
      <c r="V29" s="7">
        <f t="shared" si="5"/>
        <v>0</v>
      </c>
      <c r="W29" s="2"/>
      <c r="X29" s="6">
        <f t="shared" si="6"/>
        <v>-25537.760000000002</v>
      </c>
      <c r="Y29" s="2"/>
      <c r="Z29" s="7">
        <f t="shared" si="7"/>
        <v>-0.62900886699507397</v>
      </c>
    </row>
    <row r="30" spans="1:26" s="58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1">
        <f>+D16-D18+D31</f>
        <v>-31569.34</v>
      </c>
      <c r="E33" s="14"/>
      <c r="F33" s="20">
        <f>IF(D$12=0,0,D33/D$12)</f>
        <v>0</v>
      </c>
      <c r="G33" s="14"/>
      <c r="H33" s="21">
        <f>+H16-H18+H31</f>
        <v>-34770.619999999995</v>
      </c>
      <c r="I33" s="14"/>
      <c r="J33" s="20">
        <f>IF(H$12=0,0,H33/H$12)</f>
        <v>0</v>
      </c>
      <c r="K33" s="16"/>
      <c r="L33" s="21">
        <f>+D33-H33</f>
        <v>3201.2799999999952</v>
      </c>
      <c r="M33" s="16"/>
      <c r="N33" s="20">
        <f>IF(H33=0,0,L33/H33)</f>
        <v>-9.2068533721860454E-2</v>
      </c>
      <c r="O33" s="28"/>
      <c r="P33" s="21">
        <f>+P16-P18+P31</f>
        <v>-577293.94999999995</v>
      </c>
      <c r="Q33" s="14"/>
      <c r="R33" s="20">
        <f>IF(P$12=0,0,P33/P$12)</f>
        <v>0</v>
      </c>
      <c r="S33" s="14"/>
      <c r="T33" s="21">
        <f>+T16-T18+T31</f>
        <v>-674400.59000000008</v>
      </c>
      <c r="U33" s="14"/>
      <c r="V33" s="20">
        <f>IF(T$12=0,0,T33/T$12)</f>
        <v>0</v>
      </c>
      <c r="W33" s="16"/>
      <c r="X33" s="21">
        <f>+P33-T33</f>
        <v>97106.64000000013</v>
      </c>
      <c r="Y33" s="16"/>
      <c r="Z33" s="20">
        <f>IF(T33=0,0,X33/T33)</f>
        <v>-0.14398955374579389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5">
        <f>+D33-D35</f>
        <v>-31569.34</v>
      </c>
      <c r="E37" s="14"/>
      <c r="F37" s="32">
        <f>IF(D$12=0,0,D37/D$12)</f>
        <v>0</v>
      </c>
      <c r="G37" s="14"/>
      <c r="H37" s="35">
        <f>+H33-H35</f>
        <v>-34770.619999999995</v>
      </c>
      <c r="I37" s="14"/>
      <c r="J37" s="32">
        <f>IF(H$12=0,0,H37/H$12)</f>
        <v>0</v>
      </c>
      <c r="K37" s="16"/>
      <c r="L37" s="35">
        <f>D37-H37</f>
        <v>3201.2799999999952</v>
      </c>
      <c r="M37" s="16"/>
      <c r="N37" s="32">
        <f>IF(H37=0,0,L37/H37)</f>
        <v>-9.2068533721860454E-2</v>
      </c>
      <c r="O37" s="28"/>
      <c r="P37" s="35">
        <f>+P33-P35</f>
        <v>-577293.94999999995</v>
      </c>
      <c r="Q37" s="14"/>
      <c r="R37" s="32">
        <f>IF(P$12=0,0,P37/P$12)</f>
        <v>0</v>
      </c>
      <c r="S37" s="14"/>
      <c r="T37" s="35">
        <f>+T33-T35</f>
        <v>-674400.59000000008</v>
      </c>
      <c r="U37" s="14"/>
      <c r="V37" s="32">
        <f>IF(T$12=0,0,T37/T$12)</f>
        <v>0</v>
      </c>
      <c r="W37" s="16"/>
      <c r="X37" s="35">
        <f>P37-T37</f>
        <v>97106.64000000013</v>
      </c>
      <c r="Y37" s="16"/>
      <c r="Z37" s="32">
        <f>IF(T37=0,0,X37/T37)</f>
        <v>-0.14398955374579389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6">
        <f>SUM(D37:D39)</f>
        <v>-31569.34</v>
      </c>
      <c r="E40" s="14"/>
      <c r="F40" s="33">
        <f>IF(D$12=0,0,D40/D$12)</f>
        <v>0</v>
      </c>
      <c r="G40" s="14"/>
      <c r="H40" s="36">
        <f>SUM(H37:H39)</f>
        <v>-34770.619999999995</v>
      </c>
      <c r="I40" s="14"/>
      <c r="J40" s="33">
        <f>IF(H$12=0,0,H40/H$12)</f>
        <v>0</v>
      </c>
      <c r="K40" s="16"/>
      <c r="L40" s="36">
        <f>+D40-H40</f>
        <v>3201.2799999999952</v>
      </c>
      <c r="M40" s="16"/>
      <c r="N40" s="33">
        <f>IF(H40=0,0,L40/H40)</f>
        <v>-9.2068533721860454E-2</v>
      </c>
      <c r="O40" s="28"/>
      <c r="P40" s="36">
        <f>SUM(P37:P39)</f>
        <v>-577293.94999999995</v>
      </c>
      <c r="Q40" s="14"/>
      <c r="R40" s="33">
        <f>IF(P$12=0,0,P40/P$12)</f>
        <v>0</v>
      </c>
      <c r="S40" s="14"/>
      <c r="T40" s="36">
        <f>SUM(T37:T39)</f>
        <v>-674400.59000000008</v>
      </c>
      <c r="U40" s="14"/>
      <c r="V40" s="33">
        <f>IF(T$12=0,0,T40/T$12)</f>
        <v>0</v>
      </c>
      <c r="W40" s="16"/>
      <c r="X40" s="36">
        <f>+P40-T40</f>
        <v>97106.64000000013</v>
      </c>
      <c r="Y40" s="16"/>
      <c r="Z40" s="33">
        <f>IF(T40=0,0,X40/T40)</f>
        <v>-0.14398955374579389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5">
        <v>43992.375132291665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62" t="s">
        <v>313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3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28280.820000000003</v>
      </c>
      <c r="E18" s="22"/>
      <c r="F18" s="31">
        <f t="shared" ref="F18:F28" si="0">IF(D$12=0,0,D18/D$12)</f>
        <v>0</v>
      </c>
      <c r="G18" s="22"/>
      <c r="H18" s="22">
        <f>SUM(OSRRefH22x_0)</f>
        <v>67698.58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-39417.759999999995</v>
      </c>
      <c r="M18" s="4"/>
      <c r="N18" s="31">
        <f t="shared" ref="N18:N28" si="3">IF(H18=0,0,L18/H18)</f>
        <v>-0.58225386706781723</v>
      </c>
      <c r="O18" s="10"/>
      <c r="P18" s="22">
        <f>SUM(OSRRefP22x_0)</f>
        <v>629962.5299999998</v>
      </c>
      <c r="Q18" s="22"/>
      <c r="R18" s="31">
        <f t="shared" ref="R18:R28" si="4">IF(P$12=0,0,P18/P$12)</f>
        <v>0</v>
      </c>
      <c r="S18" s="22"/>
      <c r="T18" s="22">
        <f>SUM(OSRRefT22x_0)</f>
        <v>829640.18000000028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-199677.65000000049</v>
      </c>
      <c r="Y18" s="4"/>
      <c r="Z18" s="31">
        <f t="shared" ref="Z18:Z28" si="7">IF(T18=0,0,X18/T18)</f>
        <v>-0.24067982097974139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9959.89</v>
      </c>
      <c r="E19" s="1"/>
      <c r="F19" s="5">
        <f t="shared" si="0"/>
        <v>0</v>
      </c>
      <c r="G19" s="1"/>
      <c r="H19" s="1">
        <f>SUM(OSRRefH22_0x_0)</f>
        <v>17930.59</v>
      </c>
      <c r="I19" s="1"/>
      <c r="J19" s="5">
        <f t="shared" si="1"/>
        <v>0</v>
      </c>
      <c r="K19" s="1"/>
      <c r="L19" s="1">
        <f t="shared" si="2"/>
        <v>-7970.7000000000007</v>
      </c>
      <c r="M19" s="1"/>
      <c r="N19" s="5">
        <f t="shared" si="3"/>
        <v>-0.4445308269276137</v>
      </c>
      <c r="O19" s="13"/>
      <c r="P19" s="1">
        <f>SUM(OSRRefP22_0x_0)</f>
        <v>151469.58000000002</v>
      </c>
      <c r="Q19" s="1"/>
      <c r="R19" s="5">
        <f t="shared" si="4"/>
        <v>0</v>
      </c>
      <c r="S19" s="1"/>
      <c r="T19" s="1">
        <f>SUM(OSRRefT22_0x_0)</f>
        <v>181492.78</v>
      </c>
      <c r="U19" s="1"/>
      <c r="V19" s="5">
        <f t="shared" si="5"/>
        <v>0</v>
      </c>
      <c r="W19" s="1"/>
      <c r="X19" s="1">
        <f t="shared" si="6"/>
        <v>-30023.199999999983</v>
      </c>
      <c r="Y19" s="1"/>
      <c r="Z19" s="5">
        <f t="shared" si="7"/>
        <v>-0.16542366037921719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1447.18</v>
      </c>
      <c r="E20" s="2"/>
      <c r="F20" s="7">
        <f t="shared" si="0"/>
        <v>0</v>
      </c>
      <c r="G20" s="2"/>
      <c r="H20" s="6">
        <v>3497.46</v>
      </c>
      <c r="I20" s="2"/>
      <c r="J20" s="7">
        <f t="shared" si="1"/>
        <v>0</v>
      </c>
      <c r="K20" s="2"/>
      <c r="L20" s="6">
        <f t="shared" si="2"/>
        <v>-2050.2799999999997</v>
      </c>
      <c r="M20" s="2"/>
      <c r="N20" s="7">
        <f t="shared" si="3"/>
        <v>-0.5862197137351105</v>
      </c>
      <c r="O20" s="11"/>
      <c r="P20" s="6">
        <v>20898.060000000001</v>
      </c>
      <c r="Q20" s="2"/>
      <c r="R20" s="7">
        <f t="shared" si="4"/>
        <v>0</v>
      </c>
      <c r="S20" s="2"/>
      <c r="T20" s="6">
        <v>24933.42</v>
      </c>
      <c r="U20" s="2"/>
      <c r="V20" s="7">
        <f t="shared" si="5"/>
        <v>0</v>
      </c>
      <c r="W20" s="2"/>
      <c r="X20" s="6">
        <f t="shared" si="6"/>
        <v>-4035.3599999999969</v>
      </c>
      <c r="Y20" s="2"/>
      <c r="Z20" s="7">
        <f t="shared" si="7"/>
        <v>-0.16184542674049518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96.48</v>
      </c>
      <c r="E21" s="2"/>
      <c r="F21" s="7">
        <f t="shared" si="0"/>
        <v>0</v>
      </c>
      <c r="G21" s="2"/>
      <c r="H21" s="6">
        <v>94.48</v>
      </c>
      <c r="I21" s="2"/>
      <c r="J21" s="7">
        <f t="shared" si="1"/>
        <v>0</v>
      </c>
      <c r="K21" s="2"/>
      <c r="L21" s="6">
        <f t="shared" si="2"/>
        <v>2</v>
      </c>
      <c r="M21" s="2"/>
      <c r="N21" s="7">
        <f t="shared" si="3"/>
        <v>2.1168501270110076E-2</v>
      </c>
      <c r="O21" s="11"/>
      <c r="P21" s="6">
        <v>1219.03</v>
      </c>
      <c r="Q21" s="2"/>
      <c r="R21" s="7">
        <f t="shared" si="4"/>
        <v>0</v>
      </c>
      <c r="S21" s="2"/>
      <c r="T21" s="6">
        <v>1164.1400000000001</v>
      </c>
      <c r="U21" s="2"/>
      <c r="V21" s="7">
        <f t="shared" si="5"/>
        <v>0</v>
      </c>
      <c r="W21" s="2"/>
      <c r="X21" s="6">
        <f t="shared" si="6"/>
        <v>54.889999999999873</v>
      </c>
      <c r="Y21" s="2"/>
      <c r="Z21" s="7">
        <f t="shared" si="7"/>
        <v>4.7150686343566811E-2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4870.25</v>
      </c>
      <c r="I22" s="2"/>
      <c r="J22" s="7">
        <f t="shared" si="1"/>
        <v>0</v>
      </c>
      <c r="K22" s="2"/>
      <c r="L22" s="6">
        <f t="shared" si="2"/>
        <v>-904.81</v>
      </c>
      <c r="M22" s="2"/>
      <c r="N22" s="7">
        <f t="shared" si="3"/>
        <v>-0.18578307068425645</v>
      </c>
      <c r="O22" s="11"/>
      <c r="P22" s="6">
        <v>44967.06</v>
      </c>
      <c r="Q22" s="2"/>
      <c r="R22" s="7">
        <f t="shared" si="4"/>
        <v>0</v>
      </c>
      <c r="S22" s="2"/>
      <c r="T22" s="6">
        <v>51114.400000000001</v>
      </c>
      <c r="U22" s="2"/>
      <c r="V22" s="7">
        <f t="shared" si="5"/>
        <v>0</v>
      </c>
      <c r="W22" s="2"/>
      <c r="X22" s="6">
        <f t="shared" si="6"/>
        <v>-6147.3400000000038</v>
      </c>
      <c r="Y22" s="2"/>
      <c r="Z22" s="7">
        <f t="shared" si="7"/>
        <v>-0.12026630460300823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73.78</v>
      </c>
      <c r="E23" s="2"/>
      <c r="F23" s="7">
        <f t="shared" si="0"/>
        <v>0</v>
      </c>
      <c r="G23" s="2"/>
      <c r="H23" s="6">
        <v>79.25</v>
      </c>
      <c r="I23" s="2"/>
      <c r="J23" s="7">
        <f t="shared" si="1"/>
        <v>0</v>
      </c>
      <c r="K23" s="2"/>
      <c r="L23" s="6">
        <f t="shared" si="2"/>
        <v>-5.4699999999999989</v>
      </c>
      <c r="M23" s="2"/>
      <c r="N23" s="7">
        <f t="shared" si="3"/>
        <v>-6.9022082018927428E-2</v>
      </c>
      <c r="O23" s="11"/>
      <c r="P23" s="6">
        <v>1088.8900000000001</v>
      </c>
      <c r="Q23" s="2"/>
      <c r="R23" s="7">
        <f t="shared" si="4"/>
        <v>0</v>
      </c>
      <c r="S23" s="2"/>
      <c r="T23" s="6">
        <v>1093.1300000000001</v>
      </c>
      <c r="U23" s="2"/>
      <c r="V23" s="7">
        <f t="shared" si="5"/>
        <v>0</v>
      </c>
      <c r="W23" s="2"/>
      <c r="X23" s="6">
        <f t="shared" si="6"/>
        <v>-4.2400000000000091</v>
      </c>
      <c r="Y23" s="2"/>
      <c r="Z23" s="7">
        <f t="shared" si="7"/>
        <v>-3.8787701371291693E-3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2843.88</v>
      </c>
      <c r="I24" s="2"/>
      <c r="J24" s="7">
        <f t="shared" si="1"/>
        <v>0</v>
      </c>
      <c r="K24" s="2"/>
      <c r="L24" s="6">
        <f t="shared" si="2"/>
        <v>-945.31000000000017</v>
      </c>
      <c r="M24" s="2"/>
      <c r="N24" s="7">
        <f t="shared" si="3"/>
        <v>-0.33240150779920397</v>
      </c>
      <c r="O24" s="11"/>
      <c r="P24" s="6">
        <v>30150.710000000003</v>
      </c>
      <c r="Q24" s="2"/>
      <c r="R24" s="7">
        <f t="shared" si="4"/>
        <v>0</v>
      </c>
      <c r="S24" s="2"/>
      <c r="T24" s="6">
        <v>38967.33</v>
      </c>
      <c r="U24" s="2"/>
      <c r="V24" s="7">
        <f t="shared" si="5"/>
        <v>0</v>
      </c>
      <c r="W24" s="2"/>
      <c r="X24" s="6">
        <f t="shared" si="6"/>
        <v>-8816.619999999999</v>
      </c>
      <c r="Y24" s="2"/>
      <c r="Z24" s="7">
        <f t="shared" si="7"/>
        <v>-0.22625671299521929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4050.78</v>
      </c>
      <c r="I26" s="2"/>
      <c r="J26" s="7">
        <f t="shared" si="1"/>
        <v>0</v>
      </c>
      <c r="K26" s="2"/>
      <c r="L26" s="6">
        <f t="shared" si="2"/>
        <v>-2429.1400000000003</v>
      </c>
      <c r="M26" s="2"/>
      <c r="N26" s="7">
        <f t="shared" si="3"/>
        <v>-0.59967216190462092</v>
      </c>
      <c r="O26" s="11"/>
      <c r="P26" s="6">
        <v>25428.2</v>
      </c>
      <c r="Q26" s="2"/>
      <c r="R26" s="7">
        <f t="shared" si="4"/>
        <v>0</v>
      </c>
      <c r="S26" s="2"/>
      <c r="T26" s="6">
        <v>34098.36</v>
      </c>
      <c r="U26" s="2"/>
      <c r="V26" s="7">
        <f t="shared" si="5"/>
        <v>0</v>
      </c>
      <c r="W26" s="2"/>
      <c r="X26" s="6">
        <f t="shared" si="6"/>
        <v>-8670.16</v>
      </c>
      <c r="Y26" s="2"/>
      <c r="Z26" s="7">
        <f t="shared" si="7"/>
        <v>-0.25426912027440612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2091.21</v>
      </c>
      <c r="I27" s="2"/>
      <c r="J27" s="7">
        <f t="shared" si="1"/>
        <v>0</v>
      </c>
      <c r="K27" s="2"/>
      <c r="L27" s="6">
        <f t="shared" si="2"/>
        <v>-1234.4100000000001</v>
      </c>
      <c r="M27" s="2"/>
      <c r="N27" s="7">
        <f t="shared" si="3"/>
        <v>-0.59028505028189426</v>
      </c>
      <c r="O27" s="11"/>
      <c r="P27" s="6">
        <v>25112</v>
      </c>
      <c r="Q27" s="2"/>
      <c r="R27" s="7">
        <f t="shared" si="4"/>
        <v>0</v>
      </c>
      <c r="S27" s="2"/>
      <c r="T27" s="6">
        <v>23430.37</v>
      </c>
      <c r="U27" s="2"/>
      <c r="V27" s="7">
        <f t="shared" si="5"/>
        <v>0</v>
      </c>
      <c r="W27" s="2"/>
      <c r="X27" s="6">
        <f t="shared" si="6"/>
        <v>1681.630000000001</v>
      </c>
      <c r="Y27" s="2"/>
      <c r="Z27" s="7">
        <f t="shared" si="7"/>
        <v>7.1771380477559724E-2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403.28</v>
      </c>
      <c r="I28" s="2"/>
      <c r="J28" s="7">
        <f t="shared" si="1"/>
        <v>0</v>
      </c>
      <c r="K28" s="2"/>
      <c r="L28" s="6">
        <f t="shared" si="2"/>
        <v>-403.28</v>
      </c>
      <c r="M28" s="2"/>
      <c r="N28" s="7">
        <f t="shared" si="3"/>
        <v>-1</v>
      </c>
      <c r="O28" s="11"/>
      <c r="P28" s="6">
        <v>2605.63</v>
      </c>
      <c r="Q28" s="2"/>
      <c r="R28" s="7">
        <f t="shared" si="4"/>
        <v>0</v>
      </c>
      <c r="S28" s="2"/>
      <c r="T28" s="6">
        <v>4240.2299999999996</v>
      </c>
      <c r="U28" s="2"/>
      <c r="V28" s="7">
        <f t="shared" si="5"/>
        <v>0</v>
      </c>
      <c r="W28" s="2"/>
      <c r="X28" s="6">
        <f t="shared" si="6"/>
        <v>-1634.5999999999995</v>
      </c>
      <c r="Y28" s="2"/>
      <c r="Z28" s="7">
        <f t="shared" si="7"/>
        <v>-0.38549795647877583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15659.76</v>
      </c>
      <c r="E29" s="1"/>
      <c r="F29" s="5">
        <f t="shared" ref="F29:F32" si="8">IF(D$12=0,0,D29/D$12)</f>
        <v>0</v>
      </c>
      <c r="G29" s="1"/>
      <c r="H29" s="1">
        <f>SUM(OSRRefH22_1x_0)</f>
        <v>33142.17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-17482.409999999996</v>
      </c>
      <c r="M29" s="1"/>
      <c r="N29" s="5">
        <f t="shared" ref="N29:N32" si="11">IF(H29=0,0,L29/H29)</f>
        <v>-0.52749744509789176</v>
      </c>
      <c r="O29" s="13"/>
      <c r="P29" s="1">
        <f>SUM(OSRRefP22_1x_0)</f>
        <v>182366.61999999997</v>
      </c>
      <c r="Q29" s="1"/>
      <c r="R29" s="5">
        <f t="shared" ref="R29:R32" si="12">IF(P$12=0,0,P29/P$12)</f>
        <v>0</v>
      </c>
      <c r="S29" s="1"/>
      <c r="T29" s="1">
        <f>SUM(OSRRefT22_1x_0)</f>
        <v>280911.49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-98544.870000000024</v>
      </c>
      <c r="Y29" s="1"/>
      <c r="Z29" s="5">
        <f t="shared" ref="Z29:Z32" si="15">IF(T29=0,0,X29/T29)</f>
        <v>-0.35080398455755596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13456.34</v>
      </c>
      <c r="E30" s="2"/>
      <c r="F30" s="7">
        <f t="shared" si="8"/>
        <v>0</v>
      </c>
      <c r="G30" s="2"/>
      <c r="H30" s="6">
        <v>27199.38</v>
      </c>
      <c r="I30" s="2"/>
      <c r="J30" s="7">
        <f t="shared" si="9"/>
        <v>0</v>
      </c>
      <c r="K30" s="2"/>
      <c r="L30" s="6">
        <f t="shared" si="10"/>
        <v>-13743.04</v>
      </c>
      <c r="M30" s="2"/>
      <c r="N30" s="7">
        <f t="shared" si="11"/>
        <v>-0.50527034072100174</v>
      </c>
      <c r="O30" s="11"/>
      <c r="P30" s="6">
        <v>172360.8</v>
      </c>
      <c r="Q30" s="2"/>
      <c r="R30" s="7">
        <f t="shared" si="12"/>
        <v>0</v>
      </c>
      <c r="S30" s="2"/>
      <c r="T30" s="6">
        <v>272055.7</v>
      </c>
      <c r="U30" s="2"/>
      <c r="V30" s="7">
        <f t="shared" si="13"/>
        <v>0</v>
      </c>
      <c r="W30" s="2"/>
      <c r="X30" s="6">
        <f t="shared" si="14"/>
        <v>-99694.900000000023</v>
      </c>
      <c r="Y30" s="2"/>
      <c r="Z30" s="7">
        <f t="shared" si="15"/>
        <v>-0.36645032616482587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2203.42</v>
      </c>
      <c r="E31" s="2"/>
      <c r="F31" s="7">
        <f t="shared" si="8"/>
        <v>0</v>
      </c>
      <c r="G31" s="2"/>
      <c r="H31" s="6">
        <v>5942.79</v>
      </c>
      <c r="I31" s="2"/>
      <c r="J31" s="7">
        <f t="shared" si="9"/>
        <v>0</v>
      </c>
      <c r="K31" s="2"/>
      <c r="L31" s="6">
        <f t="shared" si="10"/>
        <v>-3739.37</v>
      </c>
      <c r="M31" s="2"/>
      <c r="N31" s="7">
        <f t="shared" si="11"/>
        <v>-0.62922802252813914</v>
      </c>
      <c r="O31" s="11"/>
      <c r="P31" s="6">
        <v>47985.539999999994</v>
      </c>
      <c r="Q31" s="2"/>
      <c r="R31" s="7">
        <f t="shared" si="12"/>
        <v>0</v>
      </c>
      <c r="S31" s="2"/>
      <c r="T31" s="6">
        <v>53956.32</v>
      </c>
      <c r="U31" s="2"/>
      <c r="V31" s="7">
        <f t="shared" si="13"/>
        <v>0</v>
      </c>
      <c r="W31" s="2"/>
      <c r="X31" s="6">
        <f t="shared" si="14"/>
        <v>-5970.7800000000061</v>
      </c>
      <c r="Y31" s="2"/>
      <c r="Z31" s="7">
        <f t="shared" si="15"/>
        <v>-0.11065951124909938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-37979.72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7120.8099999999977</v>
      </c>
      <c r="Y32" s="2"/>
      <c r="Z32" s="7">
        <f t="shared" si="15"/>
        <v>-0.15788750154377337</v>
      </c>
    </row>
    <row r="33" spans="1:26" s="27" customFormat="1" outlineLevel="1" collapsed="1" x14ac:dyDescent="0.25">
      <c r="A33" s="25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2" si="16">IF(D$12=0,0,D33/D$12)</f>
        <v>0</v>
      </c>
      <c r="G33" s="1"/>
      <c r="H33" s="1">
        <f>SUM(OSRRefH22_2x_0)</f>
        <v>10110.5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-10110.5</v>
      </c>
      <c r="M33" s="1"/>
      <c r="N33" s="5">
        <f t="shared" ref="N33:N52" si="19">IF(H33=0,0,L33/H33)</f>
        <v>-1</v>
      </c>
      <c r="O33" s="13"/>
      <c r="P33" s="1">
        <f>SUM(OSRRefP22_2x_0)</f>
        <v>12880.83</v>
      </c>
      <c r="Q33" s="1"/>
      <c r="R33" s="5">
        <f t="shared" ref="R33:R52" si="20">IF(P$12=0,0,P33/P$12)</f>
        <v>0</v>
      </c>
      <c r="S33" s="1"/>
      <c r="T33" s="1">
        <f>SUM(OSRRefT22_2x_0)</f>
        <v>141918.22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-129037.39</v>
      </c>
      <c r="Y33" s="1"/>
      <c r="Z33" s="5">
        <f t="shared" ref="Z33:Z52" si="23">IF(T33=0,0,X33/T33)</f>
        <v>-0.90923765813860968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>
        <v>10110.5</v>
      </c>
      <c r="I34" s="2"/>
      <c r="J34" s="7">
        <f t="shared" si="17"/>
        <v>0</v>
      </c>
      <c r="K34" s="2"/>
      <c r="L34" s="6">
        <f t="shared" si="18"/>
        <v>-10110.5</v>
      </c>
      <c r="M34" s="2"/>
      <c r="N34" s="7">
        <f t="shared" si="19"/>
        <v>-1</v>
      </c>
      <c r="O34" s="11"/>
      <c r="P34" s="6">
        <v>12880.83</v>
      </c>
      <c r="Q34" s="2"/>
      <c r="R34" s="7">
        <f t="shared" si="20"/>
        <v>0</v>
      </c>
      <c r="S34" s="2"/>
      <c r="T34" s="6">
        <v>141918.22</v>
      </c>
      <c r="U34" s="2"/>
      <c r="V34" s="7">
        <f t="shared" si="21"/>
        <v>0</v>
      </c>
      <c r="W34" s="2"/>
      <c r="X34" s="6">
        <f t="shared" si="22"/>
        <v>-129037.39</v>
      </c>
      <c r="Y34" s="2"/>
      <c r="Z34" s="7">
        <f t="shared" si="23"/>
        <v>-0.90923765813860968</v>
      </c>
    </row>
    <row r="35" spans="1:26" s="27" customFormat="1" outlineLevel="1" collapsed="1" x14ac:dyDescent="0.25">
      <c r="A35" s="25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314.87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-30.360000000000014</v>
      </c>
      <c r="M35" s="1"/>
      <c r="N35" s="5">
        <f t="shared" si="19"/>
        <v>-8.7941372418387773E-2</v>
      </c>
      <c r="O35" s="13"/>
      <c r="P35" s="1">
        <f>SUM(OSRRefP22_3x_0)</f>
        <v>3736.84</v>
      </c>
      <c r="Q35" s="1"/>
      <c r="R35" s="5">
        <f t="shared" si="20"/>
        <v>0</v>
      </c>
      <c r="S35" s="1"/>
      <c r="T35" s="1">
        <f>SUM(OSRRefT22_3x_0)</f>
        <v>3797.53</v>
      </c>
      <c r="U35" s="1"/>
      <c r="V35" s="5">
        <f t="shared" si="21"/>
        <v>0</v>
      </c>
      <c r="W35" s="1"/>
      <c r="X35" s="1">
        <f t="shared" si="22"/>
        <v>-60.690000000000055</v>
      </c>
      <c r="Y35" s="1"/>
      <c r="Z35" s="5">
        <f t="shared" si="23"/>
        <v>-1.5981440567948126E-2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314.87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-30.360000000000014</v>
      </c>
      <c r="M36" s="2"/>
      <c r="N36" s="7">
        <f t="shared" si="19"/>
        <v>-8.7941372418387773E-2</v>
      </c>
      <c r="O36" s="11"/>
      <c r="P36" s="6">
        <v>3736.84</v>
      </c>
      <c r="Q36" s="2"/>
      <c r="R36" s="7">
        <f t="shared" si="20"/>
        <v>0</v>
      </c>
      <c r="S36" s="2"/>
      <c r="T36" s="6">
        <v>3797.53</v>
      </c>
      <c r="U36" s="2"/>
      <c r="V36" s="7">
        <f t="shared" si="21"/>
        <v>0</v>
      </c>
      <c r="W36" s="2"/>
      <c r="X36" s="6">
        <f t="shared" si="22"/>
        <v>-60.690000000000055</v>
      </c>
      <c r="Y36" s="2"/>
      <c r="Z36" s="7">
        <f t="shared" si="23"/>
        <v>-1.5981440567948126E-2</v>
      </c>
    </row>
    <row r="37" spans="1:26" s="27" customFormat="1" outlineLevel="1" collapsed="1" x14ac:dyDescent="0.25">
      <c r="A37" s="25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0</v>
      </c>
      <c r="E37" s="1"/>
      <c r="F37" s="5">
        <f t="shared" si="16"/>
        <v>0</v>
      </c>
      <c r="G37" s="1"/>
      <c r="H37" s="1">
        <f>SUM(OSRRefH22_4x_0)</f>
        <v>384.28</v>
      </c>
      <c r="I37" s="1"/>
      <c r="J37" s="5">
        <f t="shared" si="17"/>
        <v>0</v>
      </c>
      <c r="K37" s="1"/>
      <c r="L37" s="1">
        <f t="shared" si="18"/>
        <v>-384.28</v>
      </c>
      <c r="M37" s="1"/>
      <c r="N37" s="5">
        <f t="shared" si="19"/>
        <v>-1</v>
      </c>
      <c r="O37" s="13"/>
      <c r="P37" s="1">
        <f>SUM(OSRRefP22_4x_0)</f>
        <v>145645</v>
      </c>
      <c r="Q37" s="1"/>
      <c r="R37" s="5">
        <f t="shared" si="20"/>
        <v>0</v>
      </c>
      <c r="S37" s="1"/>
      <c r="T37" s="1">
        <f>SUM(OSRRefT22_4x_0)</f>
        <v>55822.400000000001</v>
      </c>
      <c r="U37" s="1"/>
      <c r="V37" s="5">
        <f t="shared" si="21"/>
        <v>0</v>
      </c>
      <c r="W37" s="1"/>
      <c r="X37" s="1">
        <f t="shared" si="22"/>
        <v>89822.6</v>
      </c>
      <c r="Y37" s="1"/>
      <c r="Z37" s="5">
        <f t="shared" si="23"/>
        <v>1.6090780761844707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6"/>
      <c r="E38" s="2"/>
      <c r="F38" s="7">
        <f t="shared" si="16"/>
        <v>0</v>
      </c>
      <c r="G38" s="2"/>
      <c r="H38" s="6">
        <v>384.28</v>
      </c>
      <c r="I38" s="2"/>
      <c r="J38" s="7">
        <f t="shared" si="17"/>
        <v>0</v>
      </c>
      <c r="K38" s="2"/>
      <c r="L38" s="6">
        <f t="shared" si="18"/>
        <v>-384.28</v>
      </c>
      <c r="M38" s="2"/>
      <c r="N38" s="7">
        <f t="shared" si="19"/>
        <v>-1</v>
      </c>
      <c r="O38" s="11"/>
      <c r="P38" s="6">
        <v>145645</v>
      </c>
      <c r="Q38" s="2"/>
      <c r="R38" s="7">
        <f t="shared" si="20"/>
        <v>0</v>
      </c>
      <c r="S38" s="2"/>
      <c r="T38" s="6">
        <v>55822.400000000001</v>
      </c>
      <c r="U38" s="2"/>
      <c r="V38" s="7">
        <f t="shared" si="21"/>
        <v>0</v>
      </c>
      <c r="W38" s="2"/>
      <c r="X38" s="6">
        <f t="shared" si="22"/>
        <v>89822.6</v>
      </c>
      <c r="Y38" s="2"/>
      <c r="Z38" s="7">
        <f t="shared" si="23"/>
        <v>1.6090780761844707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4860.53</v>
      </c>
      <c r="U39" s="1"/>
      <c r="V39" s="5">
        <f t="shared" si="21"/>
        <v>0</v>
      </c>
      <c r="W39" s="1"/>
      <c r="X39" s="1">
        <f t="shared" si="22"/>
        <v>-4860.53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4860.53</v>
      </c>
      <c r="U40" s="2"/>
      <c r="V40" s="7">
        <f t="shared" si="21"/>
        <v>0</v>
      </c>
      <c r="W40" s="2"/>
      <c r="X40" s="6">
        <f t="shared" si="22"/>
        <v>-4860.53</v>
      </c>
      <c r="Y40" s="2"/>
      <c r="Z40" s="7">
        <f t="shared" si="23"/>
        <v>-1</v>
      </c>
    </row>
    <row r="41" spans="1:26" s="27" customFormat="1" outlineLevel="1" collapsed="1" x14ac:dyDescent="0.25">
      <c r="A41" s="25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1294.92</v>
      </c>
      <c r="Q41" s="1"/>
      <c r="R41" s="5">
        <f t="shared" si="20"/>
        <v>0</v>
      </c>
      <c r="S41" s="1"/>
      <c r="T41" s="1">
        <f>SUM(OSRRefT22_6x_0)</f>
        <v>1294.92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>
        <v>117.72</v>
      </c>
      <c r="E42" s="2"/>
      <c r="F42" s="7">
        <f t="shared" si="16"/>
        <v>0</v>
      </c>
      <c r="G42" s="2"/>
      <c r="H42" s="6">
        <v>117.72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1294.92</v>
      </c>
      <c r="Q42" s="2"/>
      <c r="R42" s="7">
        <f t="shared" si="20"/>
        <v>0</v>
      </c>
      <c r="S42" s="2"/>
      <c r="T42" s="6">
        <v>1294.92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0</v>
      </c>
      <c r="E43" s="1"/>
      <c r="F43" s="5">
        <f t="shared" si="16"/>
        <v>0</v>
      </c>
      <c r="G43" s="1"/>
      <c r="H43" s="1">
        <f>SUM(OSRRefH22_7x_0)</f>
        <v>2.5</v>
      </c>
      <c r="I43" s="1"/>
      <c r="J43" s="5">
        <f t="shared" si="17"/>
        <v>0</v>
      </c>
      <c r="K43" s="1"/>
      <c r="L43" s="1">
        <f t="shared" si="18"/>
        <v>-2.5</v>
      </c>
      <c r="M43" s="1"/>
      <c r="N43" s="5">
        <f t="shared" si="19"/>
        <v>-1</v>
      </c>
      <c r="O43" s="13"/>
      <c r="P43" s="1">
        <f>SUM(OSRRefP22_7x_0)</f>
        <v>171.76</v>
      </c>
      <c r="Q43" s="1"/>
      <c r="R43" s="5">
        <f t="shared" si="20"/>
        <v>0</v>
      </c>
      <c r="S43" s="1"/>
      <c r="T43" s="1">
        <f>SUM(OSRRefT22_7x_0)</f>
        <v>7.91</v>
      </c>
      <c r="U43" s="1"/>
      <c r="V43" s="5">
        <f t="shared" si="21"/>
        <v>0</v>
      </c>
      <c r="W43" s="1"/>
      <c r="X43" s="1">
        <f t="shared" si="22"/>
        <v>163.85</v>
      </c>
      <c r="Y43" s="1"/>
      <c r="Z43" s="5">
        <f t="shared" si="23"/>
        <v>20.714285714285712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16"/>
        <v>0</v>
      </c>
      <c r="G44" s="2"/>
      <c r="H44" s="6">
        <v>2.5</v>
      </c>
      <c r="I44" s="2"/>
      <c r="J44" s="7">
        <f t="shared" si="17"/>
        <v>0</v>
      </c>
      <c r="K44" s="2"/>
      <c r="L44" s="6">
        <f t="shared" si="18"/>
        <v>-2.5</v>
      </c>
      <c r="M44" s="2"/>
      <c r="N44" s="7">
        <f t="shared" si="19"/>
        <v>-1</v>
      </c>
      <c r="O44" s="11"/>
      <c r="P44" s="6">
        <v>171.76</v>
      </c>
      <c r="Q44" s="2"/>
      <c r="R44" s="7">
        <f t="shared" si="20"/>
        <v>0</v>
      </c>
      <c r="S44" s="2"/>
      <c r="T44" s="6">
        <v>7.91</v>
      </c>
      <c r="U44" s="2"/>
      <c r="V44" s="7">
        <f t="shared" si="21"/>
        <v>0</v>
      </c>
      <c r="W44" s="2"/>
      <c r="X44" s="6">
        <f t="shared" si="22"/>
        <v>163.85</v>
      </c>
      <c r="Y44" s="2"/>
      <c r="Z44" s="7">
        <f t="shared" si="23"/>
        <v>20.714285714285712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44.03</v>
      </c>
      <c r="I45" s="1"/>
      <c r="J45" s="5">
        <f t="shared" si="17"/>
        <v>0</v>
      </c>
      <c r="K45" s="1"/>
      <c r="L45" s="1">
        <f t="shared" si="18"/>
        <v>-44.03</v>
      </c>
      <c r="M45" s="1"/>
      <c r="N45" s="5">
        <f t="shared" si="19"/>
        <v>-1</v>
      </c>
      <c r="O45" s="13"/>
      <c r="P45" s="1">
        <f>SUM(OSRRefP22_8x_0)</f>
        <v>13430.41</v>
      </c>
      <c r="Q45" s="1"/>
      <c r="R45" s="5">
        <f t="shared" si="20"/>
        <v>0</v>
      </c>
      <c r="S45" s="1"/>
      <c r="T45" s="1">
        <f>SUM(OSRRefT22_8x_0)</f>
        <v>27266.47</v>
      </c>
      <c r="U45" s="1"/>
      <c r="V45" s="5">
        <f t="shared" si="21"/>
        <v>0</v>
      </c>
      <c r="W45" s="1"/>
      <c r="X45" s="1">
        <f t="shared" si="22"/>
        <v>-13836.060000000001</v>
      </c>
      <c r="Y45" s="1"/>
      <c r="Z45" s="5">
        <f t="shared" si="23"/>
        <v>-0.50743862333481382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>
        <v>44.03</v>
      </c>
      <c r="I46" s="2"/>
      <c r="J46" s="7">
        <f t="shared" si="17"/>
        <v>0</v>
      </c>
      <c r="K46" s="2"/>
      <c r="L46" s="6">
        <f t="shared" si="18"/>
        <v>-44.03</v>
      </c>
      <c r="M46" s="2"/>
      <c r="N46" s="7">
        <f t="shared" si="19"/>
        <v>-1</v>
      </c>
      <c r="O46" s="11"/>
      <c r="P46" s="6">
        <v>13430.41</v>
      </c>
      <c r="Q46" s="2"/>
      <c r="R46" s="7">
        <f t="shared" si="20"/>
        <v>0</v>
      </c>
      <c r="S46" s="2"/>
      <c r="T46" s="6">
        <v>27266.47</v>
      </c>
      <c r="U46" s="2"/>
      <c r="V46" s="7">
        <f t="shared" si="21"/>
        <v>0</v>
      </c>
      <c r="W46" s="2"/>
      <c r="X46" s="6">
        <f t="shared" si="22"/>
        <v>-13836.060000000001</v>
      </c>
      <c r="Y46" s="2"/>
      <c r="Z46" s="7">
        <f t="shared" si="23"/>
        <v>-0.50743862333481382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469.13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360.65999999999997</v>
      </c>
      <c r="M47" s="1"/>
      <c r="N47" s="5">
        <f t="shared" si="19"/>
        <v>3.3249746473679354</v>
      </c>
      <c r="O47" s="13"/>
      <c r="P47" s="1">
        <f>SUM(OSRRefP22_9x_0)</f>
        <v>1620.43</v>
      </c>
      <c r="Q47" s="1"/>
      <c r="R47" s="5">
        <f t="shared" si="20"/>
        <v>0</v>
      </c>
      <c r="S47" s="1"/>
      <c r="T47" s="1">
        <f>SUM(OSRRefT22_9x_0)</f>
        <v>1353.64</v>
      </c>
      <c r="U47" s="1"/>
      <c r="V47" s="5">
        <f t="shared" si="21"/>
        <v>0</v>
      </c>
      <c r="W47" s="1"/>
      <c r="X47" s="1">
        <f t="shared" si="22"/>
        <v>266.78999999999996</v>
      </c>
      <c r="Y47" s="1"/>
      <c r="Z47" s="5">
        <f t="shared" si="23"/>
        <v>0.19709080700924908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469.13</v>
      </c>
      <c r="E48" s="2"/>
      <c r="F48" s="7">
        <f t="shared" si="16"/>
        <v>0</v>
      </c>
      <c r="G48" s="2"/>
      <c r="H48" s="6">
        <v>108.47</v>
      </c>
      <c r="I48" s="2"/>
      <c r="J48" s="7">
        <f t="shared" si="17"/>
        <v>0</v>
      </c>
      <c r="K48" s="2"/>
      <c r="L48" s="6">
        <f t="shared" si="18"/>
        <v>360.65999999999997</v>
      </c>
      <c r="M48" s="2"/>
      <c r="N48" s="7">
        <f t="shared" si="19"/>
        <v>3.3249746473679354</v>
      </c>
      <c r="O48" s="11"/>
      <c r="P48" s="6">
        <v>1620.43</v>
      </c>
      <c r="Q48" s="2"/>
      <c r="R48" s="7">
        <f t="shared" si="20"/>
        <v>0</v>
      </c>
      <c r="S48" s="2"/>
      <c r="T48" s="6">
        <v>1353.64</v>
      </c>
      <c r="U48" s="2"/>
      <c r="V48" s="7">
        <f t="shared" si="21"/>
        <v>0</v>
      </c>
      <c r="W48" s="2"/>
      <c r="X48" s="6">
        <f t="shared" si="22"/>
        <v>266.78999999999996</v>
      </c>
      <c r="Y48" s="2"/>
      <c r="Z48" s="7">
        <f t="shared" si="23"/>
        <v>0.19709080700924908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0</v>
      </c>
      <c r="E49" s="1"/>
      <c r="F49" s="5">
        <f t="shared" si="16"/>
        <v>0</v>
      </c>
      <c r="G49" s="1"/>
      <c r="H49" s="1">
        <f>SUM(OSRRefH22_10x_0)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3"/>
      <c r="P49" s="1">
        <f>SUM(OSRRefP22_10x_0)</f>
        <v>51735</v>
      </c>
      <c r="Q49" s="1"/>
      <c r="R49" s="5">
        <f t="shared" si="20"/>
        <v>0</v>
      </c>
      <c r="S49" s="1"/>
      <c r="T49" s="1">
        <f>SUM(OSRRefT22_10x_0)</f>
        <v>51200</v>
      </c>
      <c r="U49" s="1"/>
      <c r="V49" s="5">
        <f t="shared" si="21"/>
        <v>0</v>
      </c>
      <c r="W49" s="1"/>
      <c r="X49" s="1">
        <f t="shared" si="22"/>
        <v>535</v>
      </c>
      <c r="Y49" s="1"/>
      <c r="Z49" s="5">
        <f t="shared" si="23"/>
        <v>1.0449218749999999E-2</v>
      </c>
    </row>
    <row r="50" spans="1:26" s="24" customFormat="1" hidden="1" outlineLevel="2" x14ac:dyDescent="0.25">
      <c r="A50" s="26"/>
      <c r="B50" s="11" t="str">
        <f>CONCATENATE("          ", "6331", " - ", "INDIRECT COSTS-AUXILIARY ORGAN")</f>
        <v xml:space="preserve">          6331 - INDIRECT COSTS-AUXILIARY ORGAN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45550</v>
      </c>
      <c r="Q50" s="2"/>
      <c r="R50" s="7">
        <f t="shared" si="20"/>
        <v>0</v>
      </c>
      <c r="S50" s="2"/>
      <c r="T50" s="6">
        <v>44400</v>
      </c>
      <c r="U50" s="2"/>
      <c r="V50" s="7">
        <f t="shared" si="21"/>
        <v>0</v>
      </c>
      <c r="W50" s="2"/>
      <c r="X50" s="6">
        <f t="shared" si="22"/>
        <v>1150</v>
      </c>
      <c r="Y50" s="2"/>
      <c r="Z50" s="7">
        <f t="shared" si="23"/>
        <v>2.59009009009009E-2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1165</v>
      </c>
      <c r="Q51" s="2"/>
      <c r="R51" s="7">
        <f t="shared" si="20"/>
        <v>0</v>
      </c>
      <c r="S51" s="2"/>
      <c r="T51" s="6">
        <v>1800</v>
      </c>
      <c r="U51" s="2"/>
      <c r="V51" s="7">
        <f t="shared" si="21"/>
        <v>0</v>
      </c>
      <c r="W51" s="2"/>
      <c r="X51" s="6">
        <f t="shared" si="22"/>
        <v>-635</v>
      </c>
      <c r="Y51" s="2"/>
      <c r="Z51" s="7">
        <f t="shared" si="23"/>
        <v>-0.3527777777777778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5020</v>
      </c>
      <c r="Q52" s="2"/>
      <c r="R52" s="7">
        <f t="shared" si="20"/>
        <v>0</v>
      </c>
      <c r="S52" s="2"/>
      <c r="T52" s="6">
        <v>5000</v>
      </c>
      <c r="U52" s="2"/>
      <c r="V52" s="7">
        <f t="shared" si="21"/>
        <v>0</v>
      </c>
      <c r="W52" s="2"/>
      <c r="X52" s="6">
        <f t="shared" si="22"/>
        <v>20</v>
      </c>
      <c r="Y52" s="2"/>
      <c r="Z52" s="7">
        <f t="shared" si="23"/>
        <v>4.0000000000000001E-3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2583.62</v>
      </c>
      <c r="E53" s="1"/>
      <c r="F53" s="5">
        <f t="shared" ref="F53:F56" si="24">IF(D$12=0,0,D53/D$12)</f>
        <v>0</v>
      </c>
      <c r="G53" s="1"/>
      <c r="H53" s="1">
        <f>SUM(OSRRefH22_11x_0)</f>
        <v>5207.92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-2624.3</v>
      </c>
      <c r="M53" s="1"/>
      <c r="N53" s="5">
        <f t="shared" ref="N53:N56" si="27">IF(H53=0,0,L53/H53)</f>
        <v>-0.50390558994761825</v>
      </c>
      <c r="O53" s="13"/>
      <c r="P53" s="1">
        <f>SUM(OSRRefP22_11x_0)</f>
        <v>33437.579999999994</v>
      </c>
      <c r="Q53" s="1"/>
      <c r="R53" s="5">
        <f t="shared" ref="R53:R56" si="28">IF(P$12=0,0,P53/P$12)</f>
        <v>0</v>
      </c>
      <c r="S53" s="1"/>
      <c r="T53" s="1">
        <f>SUM(OSRRefT22_11x_0)</f>
        <v>43908.61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-10471.030000000006</v>
      </c>
      <c r="Y53" s="1"/>
      <c r="Z53" s="5">
        <f t="shared" ref="Z53:Z56" si="31">IF(T53=0,0,X53/T53)</f>
        <v>-0.23847327437602797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31.58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31.58</v>
      </c>
      <c r="Y54" s="2"/>
      <c r="Z54" s="7">
        <f t="shared" si="31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2583.62</v>
      </c>
      <c r="E55" s="2"/>
      <c r="F55" s="7">
        <f t="shared" si="24"/>
        <v>0</v>
      </c>
      <c r="G55" s="2"/>
      <c r="H55" s="6">
        <v>5207.92</v>
      </c>
      <c r="I55" s="2"/>
      <c r="J55" s="7">
        <f t="shared" si="25"/>
        <v>0</v>
      </c>
      <c r="K55" s="2"/>
      <c r="L55" s="6">
        <f t="shared" si="26"/>
        <v>-2624.3</v>
      </c>
      <c r="M55" s="2"/>
      <c r="N55" s="7">
        <f t="shared" si="27"/>
        <v>-0.50390558994761825</v>
      </c>
      <c r="O55" s="11"/>
      <c r="P55" s="6">
        <v>32881.009999999995</v>
      </c>
      <c r="Q55" s="2"/>
      <c r="R55" s="7">
        <f t="shared" si="28"/>
        <v>0</v>
      </c>
      <c r="S55" s="2"/>
      <c r="T55" s="6">
        <v>37560.18</v>
      </c>
      <c r="U55" s="2"/>
      <c r="V55" s="7">
        <f t="shared" si="29"/>
        <v>0</v>
      </c>
      <c r="W55" s="2"/>
      <c r="X55" s="6">
        <f t="shared" si="30"/>
        <v>-4679.1700000000055</v>
      </c>
      <c r="Y55" s="2"/>
      <c r="Z55" s="7">
        <f t="shared" si="31"/>
        <v>-0.12457794398216424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>
        <v>524.99</v>
      </c>
      <c r="Q56" s="2"/>
      <c r="R56" s="7">
        <f t="shared" si="28"/>
        <v>0</v>
      </c>
      <c r="S56" s="2"/>
      <c r="T56" s="6">
        <v>6348.43</v>
      </c>
      <c r="U56" s="2"/>
      <c r="V56" s="7">
        <f t="shared" si="29"/>
        <v>0</v>
      </c>
      <c r="W56" s="2"/>
      <c r="X56" s="6">
        <f t="shared" si="30"/>
        <v>-5823.4400000000005</v>
      </c>
      <c r="Y56" s="2"/>
      <c r="Z56" s="7">
        <f t="shared" si="31"/>
        <v>-0.91730396334211772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ref="F57:F63" si="32">IF(D$12=0,0,D57/D$12)</f>
        <v>0</v>
      </c>
      <c r="G57" s="1"/>
      <c r="H57" s="1">
        <f>SUM(OSRRefH22_12x_0)</f>
        <v>0</v>
      </c>
      <c r="I57" s="1"/>
      <c r="J57" s="5">
        <f t="shared" ref="J57:J63" si="33">IF(H$12=0,0,H57/H$12)</f>
        <v>0</v>
      </c>
      <c r="K57" s="1"/>
      <c r="L57" s="1">
        <f t="shared" ref="L57:L63" si="34">+D57-H57</f>
        <v>0</v>
      </c>
      <c r="M57" s="1"/>
      <c r="N57" s="5">
        <f t="shared" ref="N57:N63" si="35">IF(H57=0,0,L57/H57)</f>
        <v>0</v>
      </c>
      <c r="O57" s="13"/>
      <c r="P57" s="1">
        <f>SUM(OSRRefP22_12x_0)</f>
        <v>8013</v>
      </c>
      <c r="Q57" s="1"/>
      <c r="R57" s="5">
        <f t="shared" ref="R57:R63" si="36">IF(P$12=0,0,P57/P$12)</f>
        <v>0</v>
      </c>
      <c r="S57" s="1"/>
      <c r="T57" s="1">
        <f>SUM(OSRRefT22_12x_0)</f>
        <v>9482</v>
      </c>
      <c r="U57" s="1"/>
      <c r="V57" s="5">
        <f t="shared" ref="V57:V63" si="37">IF(T$12=0,0,T57/T$12)</f>
        <v>0</v>
      </c>
      <c r="W57" s="1"/>
      <c r="X57" s="1">
        <f t="shared" ref="X57:X63" si="38">+P57-T57</f>
        <v>-1469</v>
      </c>
      <c r="Y57" s="1"/>
      <c r="Z57" s="5">
        <f t="shared" ref="Z57:Z63" si="39">IF(T57=0,0,X57/T57)</f>
        <v>-0.15492512128242986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8013</v>
      </c>
      <c r="Q58" s="2"/>
      <c r="R58" s="7">
        <f t="shared" si="36"/>
        <v>0</v>
      </c>
      <c r="S58" s="2"/>
      <c r="T58" s="6">
        <v>9482</v>
      </c>
      <c r="U58" s="2"/>
      <c r="V58" s="7">
        <f t="shared" si="37"/>
        <v>0</v>
      </c>
      <c r="W58" s="2"/>
      <c r="X58" s="6">
        <f t="shared" si="38"/>
        <v>-1469</v>
      </c>
      <c r="Y58" s="2"/>
      <c r="Z58" s="7">
        <f t="shared" si="39"/>
        <v>-0.15492512128242986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-1070</v>
      </c>
      <c r="E59" s="1"/>
      <c r="F59" s="5">
        <f t="shared" si="32"/>
        <v>0</v>
      </c>
      <c r="G59" s="1"/>
      <c r="H59" s="1">
        <f>SUM(OSRRefH22_13x_0)</f>
        <v>134.25</v>
      </c>
      <c r="I59" s="1"/>
      <c r="J59" s="5">
        <f t="shared" si="33"/>
        <v>0</v>
      </c>
      <c r="K59" s="1"/>
      <c r="L59" s="1">
        <f t="shared" si="34"/>
        <v>-1204.25</v>
      </c>
      <c r="M59" s="1"/>
      <c r="N59" s="5">
        <f t="shared" si="35"/>
        <v>-8.9702048417132207</v>
      </c>
      <c r="O59" s="13"/>
      <c r="P59" s="1">
        <f>SUM(OSRRefP22_13x_0)</f>
        <v>9641.8300000000017</v>
      </c>
      <c r="Q59" s="1"/>
      <c r="R59" s="5">
        <f t="shared" si="36"/>
        <v>0</v>
      </c>
      <c r="S59" s="1"/>
      <c r="T59" s="1">
        <f>SUM(OSRRefT22_13x_0)</f>
        <v>5374.9199999999992</v>
      </c>
      <c r="U59" s="1"/>
      <c r="V59" s="5">
        <f t="shared" si="37"/>
        <v>0</v>
      </c>
      <c r="W59" s="1"/>
      <c r="X59" s="1">
        <f t="shared" si="38"/>
        <v>4266.9100000000026</v>
      </c>
      <c r="Y59" s="1"/>
      <c r="Z59" s="5">
        <f t="shared" si="39"/>
        <v>0.79385553645449669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>
        <v>-1550</v>
      </c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-1550</v>
      </c>
      <c r="M60" s="2"/>
      <c r="N60" s="7">
        <f t="shared" si="35"/>
        <v>0</v>
      </c>
      <c r="O60" s="11"/>
      <c r="P60" s="6">
        <v>217.02</v>
      </c>
      <c r="Q60" s="2"/>
      <c r="R60" s="7">
        <f t="shared" si="36"/>
        <v>0</v>
      </c>
      <c r="S60" s="2"/>
      <c r="T60" s="6">
        <v>723.41</v>
      </c>
      <c r="U60" s="2"/>
      <c r="V60" s="7">
        <f t="shared" si="37"/>
        <v>0</v>
      </c>
      <c r="W60" s="2"/>
      <c r="X60" s="6">
        <f t="shared" si="38"/>
        <v>-506.39</v>
      </c>
      <c r="Y60" s="2"/>
      <c r="Z60" s="7">
        <f t="shared" si="39"/>
        <v>-0.70000414702589131</v>
      </c>
    </row>
    <row r="61" spans="1:26" s="24" customFormat="1" hidden="1" outlineLevel="2" x14ac:dyDescent="0.25">
      <c r="A61" s="26"/>
      <c r="B61" s="11" t="str">
        <f>CONCATENATE("          ", "6235", " - ", "COVID-19 EXPENSES")</f>
        <v xml:space="preserve">          6235 - COVID-19 EXPENSES</v>
      </c>
      <c r="C61" s="11"/>
      <c r="D61" s="6">
        <v>480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480</v>
      </c>
      <c r="M61" s="2"/>
      <c r="N61" s="7">
        <f t="shared" si="35"/>
        <v>0</v>
      </c>
      <c r="O61" s="11"/>
      <c r="P61" s="6">
        <v>5440</v>
      </c>
      <c r="Q61" s="2"/>
      <c r="R61" s="7">
        <f t="shared" si="36"/>
        <v>0</v>
      </c>
      <c r="S61" s="2"/>
      <c r="T61" s="6"/>
      <c r="U61" s="2"/>
      <c r="V61" s="7">
        <f t="shared" si="37"/>
        <v>0</v>
      </c>
      <c r="W61" s="2"/>
      <c r="X61" s="6">
        <f t="shared" si="38"/>
        <v>5440</v>
      </c>
      <c r="Y61" s="2"/>
      <c r="Z61" s="7">
        <f t="shared" si="39"/>
        <v>0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2"/>
        <v>0</v>
      </c>
      <c r="G62" s="2"/>
      <c r="H62" s="6">
        <v>126.55</v>
      </c>
      <c r="I62" s="2"/>
      <c r="J62" s="7">
        <f t="shared" si="33"/>
        <v>0</v>
      </c>
      <c r="K62" s="2"/>
      <c r="L62" s="6">
        <f t="shared" si="34"/>
        <v>-126.55</v>
      </c>
      <c r="M62" s="2"/>
      <c r="N62" s="7">
        <f t="shared" si="35"/>
        <v>-1</v>
      </c>
      <c r="O62" s="11"/>
      <c r="P62" s="6">
        <v>3952.95</v>
      </c>
      <c r="Q62" s="2"/>
      <c r="R62" s="7">
        <f t="shared" si="36"/>
        <v>0</v>
      </c>
      <c r="S62" s="2"/>
      <c r="T62" s="6">
        <v>4401.28</v>
      </c>
      <c r="U62" s="2"/>
      <c r="V62" s="7">
        <f t="shared" si="37"/>
        <v>0</v>
      </c>
      <c r="W62" s="2"/>
      <c r="X62" s="6">
        <f t="shared" si="38"/>
        <v>-448.32999999999993</v>
      </c>
      <c r="Y62" s="2"/>
      <c r="Z62" s="7">
        <f t="shared" si="39"/>
        <v>-0.10186354878580775</v>
      </c>
    </row>
    <row r="63" spans="1:26" s="24" customFormat="1" hidden="1" outlineLevel="2" x14ac:dyDescent="0.25">
      <c r="A63" s="26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32"/>
        <v>0</v>
      </c>
      <c r="G63" s="2"/>
      <c r="H63" s="6">
        <v>7.7</v>
      </c>
      <c r="I63" s="2"/>
      <c r="J63" s="7">
        <f t="shared" si="33"/>
        <v>0</v>
      </c>
      <c r="K63" s="2"/>
      <c r="L63" s="6">
        <f t="shared" si="34"/>
        <v>-7.7</v>
      </c>
      <c r="M63" s="2"/>
      <c r="N63" s="7">
        <f t="shared" si="35"/>
        <v>-1</v>
      </c>
      <c r="O63" s="11"/>
      <c r="P63" s="6">
        <v>31.86</v>
      </c>
      <c r="Q63" s="2"/>
      <c r="R63" s="7">
        <f t="shared" si="36"/>
        <v>0</v>
      </c>
      <c r="S63" s="2"/>
      <c r="T63" s="6">
        <v>250.23</v>
      </c>
      <c r="U63" s="2"/>
      <c r="V63" s="7">
        <f t="shared" si="37"/>
        <v>0</v>
      </c>
      <c r="W63" s="2"/>
      <c r="X63" s="6">
        <f t="shared" si="38"/>
        <v>-218.37</v>
      </c>
      <c r="Y63" s="2"/>
      <c r="Z63" s="7">
        <f t="shared" si="39"/>
        <v>-0.8726771370339288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SUM(OSRRefD22_14x_0)</f>
        <v>245.83</v>
      </c>
      <c r="E64" s="1"/>
      <c r="F64" s="5">
        <f t="shared" ref="F64:F70" si="40">IF(D$12=0,0,D64/D$12)</f>
        <v>0</v>
      </c>
      <c r="G64" s="1"/>
      <c r="H64" s="1">
        <f>SUM(OSRRefH22_14x_0)</f>
        <v>101.97</v>
      </c>
      <c r="I64" s="1"/>
      <c r="J64" s="5">
        <f t="shared" ref="J64:J70" si="41">IF(H$12=0,0,H64/H$12)</f>
        <v>0</v>
      </c>
      <c r="K64" s="1"/>
      <c r="L64" s="1">
        <f t="shared" ref="L64:L70" si="42">+D64-H64</f>
        <v>143.86000000000001</v>
      </c>
      <c r="M64" s="1"/>
      <c r="N64" s="5">
        <f t="shared" ref="N64:N70" si="43">IF(H64=0,0,L64/H64)</f>
        <v>1.4108071001274887</v>
      </c>
      <c r="O64" s="13"/>
      <c r="P64" s="1">
        <f>SUM(OSRRefP22_14x_0)</f>
        <v>4084.03</v>
      </c>
      <c r="Q64" s="1"/>
      <c r="R64" s="5">
        <f t="shared" ref="R64:R70" si="44">IF(P$12=0,0,P64/P$12)</f>
        <v>0</v>
      </c>
      <c r="S64" s="1"/>
      <c r="T64" s="1">
        <f>SUM(OSRRefT22_14x_0)</f>
        <v>3719.22</v>
      </c>
      <c r="U64" s="1"/>
      <c r="V64" s="5">
        <f t="shared" ref="V64:V70" si="45">IF(T$12=0,0,T64/T$12)</f>
        <v>0</v>
      </c>
      <c r="W64" s="1"/>
      <c r="X64" s="1">
        <f t="shared" ref="X64:X70" si="46">+P64-T64</f>
        <v>364.8100000000004</v>
      </c>
      <c r="Y64" s="1"/>
      <c r="Z64" s="5">
        <f t="shared" ref="Z64:Z70" si="47">IF(T64=0,0,X64/T64)</f>
        <v>9.8087771091788178E-2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245.83</v>
      </c>
      <c r="E65" s="2"/>
      <c r="F65" s="7">
        <f t="shared" si="40"/>
        <v>0</v>
      </c>
      <c r="G65" s="2"/>
      <c r="H65" s="6">
        <v>101.97</v>
      </c>
      <c r="I65" s="2"/>
      <c r="J65" s="7">
        <f t="shared" si="41"/>
        <v>0</v>
      </c>
      <c r="K65" s="2"/>
      <c r="L65" s="6">
        <f t="shared" si="42"/>
        <v>143.86000000000001</v>
      </c>
      <c r="M65" s="2"/>
      <c r="N65" s="7">
        <f t="shared" si="43"/>
        <v>1.4108071001274887</v>
      </c>
      <c r="O65" s="11"/>
      <c r="P65" s="6">
        <v>4084.03</v>
      </c>
      <c r="Q65" s="2"/>
      <c r="R65" s="7">
        <f t="shared" si="44"/>
        <v>0</v>
      </c>
      <c r="S65" s="2"/>
      <c r="T65" s="6">
        <v>3719.22</v>
      </c>
      <c r="U65" s="2"/>
      <c r="V65" s="7">
        <f t="shared" si="45"/>
        <v>0</v>
      </c>
      <c r="W65" s="2"/>
      <c r="X65" s="6">
        <f t="shared" si="46"/>
        <v>364.8100000000004</v>
      </c>
      <c r="Y65" s="2"/>
      <c r="Z65" s="7">
        <f t="shared" si="47"/>
        <v>9.8087771091788178E-2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3"/>
      <c r="P66" s="1">
        <f>SUM(OSRRefP22_15x_0)</f>
        <v>6622.71</v>
      </c>
      <c r="Q66" s="1"/>
      <c r="R66" s="5">
        <f t="shared" si="44"/>
        <v>0</v>
      </c>
      <c r="S66" s="1"/>
      <c r="T66" s="1">
        <f>SUM(OSRRefT22_15x_0)</f>
        <v>3917.86</v>
      </c>
      <c r="U66" s="1"/>
      <c r="V66" s="5">
        <f t="shared" si="45"/>
        <v>0</v>
      </c>
      <c r="W66" s="1"/>
      <c r="X66" s="1">
        <f t="shared" si="46"/>
        <v>2704.85</v>
      </c>
      <c r="Y66" s="1"/>
      <c r="Z66" s="5">
        <f t="shared" si="47"/>
        <v>0.69038965149341724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>
        <v>6622.71</v>
      </c>
      <c r="Q67" s="2"/>
      <c r="R67" s="7">
        <f t="shared" si="44"/>
        <v>0</v>
      </c>
      <c r="S67" s="2"/>
      <c r="T67" s="6">
        <v>3917.86</v>
      </c>
      <c r="U67" s="2"/>
      <c r="V67" s="7">
        <f t="shared" si="45"/>
        <v>0</v>
      </c>
      <c r="W67" s="2"/>
      <c r="X67" s="6">
        <f t="shared" si="46"/>
        <v>2704.85</v>
      </c>
      <c r="Y67" s="2"/>
      <c r="Z67" s="7">
        <f t="shared" si="47"/>
        <v>0.69038965149341724</v>
      </c>
    </row>
    <row r="68" spans="1:26" s="27" customFormat="1" outlineLevel="1" collapsed="1" x14ac:dyDescent="0.25">
      <c r="A68" s="25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SUM(OSRRefD22_16x_0)</f>
        <v>0</v>
      </c>
      <c r="E68" s="1"/>
      <c r="F68" s="5">
        <f t="shared" si="40"/>
        <v>0</v>
      </c>
      <c r="G68" s="1"/>
      <c r="H68" s="1">
        <f>SUM(OSRRefH22_16x_0)</f>
        <v>68.95</v>
      </c>
      <c r="I68" s="1"/>
      <c r="J68" s="5">
        <f t="shared" si="41"/>
        <v>0</v>
      </c>
      <c r="K68" s="1"/>
      <c r="L68" s="1">
        <f t="shared" si="42"/>
        <v>-68.95</v>
      </c>
      <c r="M68" s="1"/>
      <c r="N68" s="5">
        <f t="shared" si="43"/>
        <v>-1</v>
      </c>
      <c r="O68" s="13"/>
      <c r="P68" s="1">
        <f>SUM(OSRRefP22_16x_0)</f>
        <v>3811.99</v>
      </c>
      <c r="Q68" s="1"/>
      <c r="R68" s="5">
        <f t="shared" si="44"/>
        <v>0</v>
      </c>
      <c r="S68" s="1"/>
      <c r="T68" s="1">
        <f>SUM(OSRRefT22_16x_0)</f>
        <v>13311.68</v>
      </c>
      <c r="U68" s="1"/>
      <c r="V68" s="5">
        <f t="shared" si="45"/>
        <v>0</v>
      </c>
      <c r="W68" s="1"/>
      <c r="X68" s="1">
        <f t="shared" si="46"/>
        <v>-9499.69</v>
      </c>
      <c r="Y68" s="1"/>
      <c r="Z68" s="5">
        <f t="shared" si="47"/>
        <v>-0.71363569436765306</v>
      </c>
    </row>
    <row r="69" spans="1:26" s="24" customFormat="1" hidden="1" outlineLevel="2" x14ac:dyDescent="0.25">
      <c r="A69" s="26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40"/>
        <v>0</v>
      </c>
      <c r="G69" s="2"/>
      <c r="H69" s="6">
        <v>68.95</v>
      </c>
      <c r="I69" s="2"/>
      <c r="J69" s="7">
        <f t="shared" si="41"/>
        <v>0</v>
      </c>
      <c r="K69" s="2"/>
      <c r="L69" s="6">
        <f t="shared" si="42"/>
        <v>-68.95</v>
      </c>
      <c r="M69" s="2"/>
      <c r="N69" s="7">
        <f t="shared" si="43"/>
        <v>-1</v>
      </c>
      <c r="O69" s="11"/>
      <c r="P69" s="6">
        <v>3811.99</v>
      </c>
      <c r="Q69" s="2"/>
      <c r="R69" s="7">
        <f t="shared" si="44"/>
        <v>0</v>
      </c>
      <c r="S69" s="2"/>
      <c r="T69" s="6">
        <v>11937.25</v>
      </c>
      <c r="U69" s="2"/>
      <c r="V69" s="7">
        <f t="shared" si="45"/>
        <v>0</v>
      </c>
      <c r="W69" s="2"/>
      <c r="X69" s="6">
        <f t="shared" si="46"/>
        <v>-8125.26</v>
      </c>
      <c r="Y69" s="2"/>
      <c r="Z69" s="7">
        <f t="shared" si="47"/>
        <v>-0.68066430710590797</v>
      </c>
    </row>
    <row r="70" spans="1:26" s="24" customFormat="1" hidden="1" outlineLevel="2" x14ac:dyDescent="0.25">
      <c r="A70" s="26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/>
      <c r="Q70" s="2"/>
      <c r="R70" s="7">
        <f t="shared" si="44"/>
        <v>0</v>
      </c>
      <c r="S70" s="2"/>
      <c r="T70" s="6">
        <v>1374.43</v>
      </c>
      <c r="U70" s="2"/>
      <c r="V70" s="7">
        <f t="shared" si="45"/>
        <v>0</v>
      </c>
      <c r="W70" s="2"/>
      <c r="X70" s="6">
        <f t="shared" si="46"/>
        <v>-1374.43</v>
      </c>
      <c r="Y70" s="2"/>
      <c r="Z70" s="7">
        <f t="shared" si="47"/>
        <v>-1</v>
      </c>
    </row>
    <row r="71" spans="1:26" s="58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1">
        <f>+D16-D18+D72</f>
        <v>-28280.820000000003</v>
      </c>
      <c r="E74" s="14"/>
      <c r="F74" s="20">
        <f>IF(D$12=0,0,D74/D$12)</f>
        <v>0</v>
      </c>
      <c r="G74" s="14"/>
      <c r="H74" s="21">
        <f>+H16-H18+H72</f>
        <v>-67698.58</v>
      </c>
      <c r="I74" s="14"/>
      <c r="J74" s="20">
        <f>IF(H$12=0,0,H74/H$12)</f>
        <v>0</v>
      </c>
      <c r="K74" s="16"/>
      <c r="L74" s="21">
        <f>+D74-H74</f>
        <v>39417.759999999995</v>
      </c>
      <c r="M74" s="16"/>
      <c r="N74" s="20">
        <f>IF(H74=0,0,L74/H74)</f>
        <v>-0.58225386706781723</v>
      </c>
      <c r="O74" s="28"/>
      <c r="P74" s="21">
        <f>+P16-P18+P72</f>
        <v>-629962.5299999998</v>
      </c>
      <c r="Q74" s="14"/>
      <c r="R74" s="20">
        <f>IF(P$12=0,0,P74/P$12)</f>
        <v>0</v>
      </c>
      <c r="S74" s="14"/>
      <c r="T74" s="21">
        <f>+T16-T18+T72</f>
        <v>-829640.18000000028</v>
      </c>
      <c r="U74" s="14"/>
      <c r="V74" s="20">
        <f>IF(T$12=0,0,T74/T$12)</f>
        <v>0</v>
      </c>
      <c r="W74" s="16"/>
      <c r="X74" s="21">
        <f>+P74-T74</f>
        <v>199677.65000000049</v>
      </c>
      <c r="Y74" s="16"/>
      <c r="Z74" s="20">
        <f>IF(T74=0,0,X74/T74)</f>
        <v>-0.24067982097974139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5">
        <f>+D74-D76</f>
        <v>-28280.820000000003</v>
      </c>
      <c r="E78" s="14"/>
      <c r="F78" s="32">
        <f>IF(D$12=0,0,D78/D$12)</f>
        <v>0</v>
      </c>
      <c r="G78" s="14"/>
      <c r="H78" s="35">
        <f>+H74-H76</f>
        <v>-67698.58</v>
      </c>
      <c r="I78" s="14"/>
      <c r="J78" s="32">
        <f>IF(H$12=0,0,H78/H$12)</f>
        <v>0</v>
      </c>
      <c r="K78" s="16"/>
      <c r="L78" s="35">
        <f>D78-H78</f>
        <v>39417.759999999995</v>
      </c>
      <c r="M78" s="16"/>
      <c r="N78" s="32">
        <f>IF(H78=0,0,L78/H78)</f>
        <v>-0.58225386706781723</v>
      </c>
      <c r="O78" s="28"/>
      <c r="P78" s="35">
        <f>+P74-P76</f>
        <v>-629962.5299999998</v>
      </c>
      <c r="Q78" s="14"/>
      <c r="R78" s="32">
        <f>IF(P$12=0,0,P78/P$12)</f>
        <v>0</v>
      </c>
      <c r="S78" s="14"/>
      <c r="T78" s="35">
        <f>+T74-T76</f>
        <v>-829640.18000000028</v>
      </c>
      <c r="U78" s="14"/>
      <c r="V78" s="32">
        <f>IF(T$12=0,0,T78/T$12)</f>
        <v>0</v>
      </c>
      <c r="W78" s="16"/>
      <c r="X78" s="35">
        <f>P78-T78</f>
        <v>199677.65000000049</v>
      </c>
      <c r="Y78" s="16"/>
      <c r="Z78" s="32">
        <f>IF(T78=0,0,X78/T78)</f>
        <v>-0.24067982097974139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6">
        <f>SUM(D78:D80)</f>
        <v>-28280.820000000003</v>
      </c>
      <c r="E81" s="14"/>
      <c r="F81" s="33">
        <f>IF(D$12=0,0,D81/D$12)</f>
        <v>0</v>
      </c>
      <c r="G81" s="14"/>
      <c r="H81" s="36">
        <f>SUM(H78:H80)</f>
        <v>-67698.58</v>
      </c>
      <c r="I81" s="14"/>
      <c r="J81" s="33">
        <f>IF(H$12=0,0,H81/H$12)</f>
        <v>0</v>
      </c>
      <c r="K81" s="16"/>
      <c r="L81" s="36">
        <f>+D81-H81</f>
        <v>39417.759999999995</v>
      </c>
      <c r="M81" s="16"/>
      <c r="N81" s="33">
        <f>IF(H81=0,0,L81/H81)</f>
        <v>-0.58225386706781723</v>
      </c>
      <c r="O81" s="28"/>
      <c r="P81" s="36">
        <f>SUM(P78:P80)</f>
        <v>-629962.5299999998</v>
      </c>
      <c r="Q81" s="14"/>
      <c r="R81" s="33">
        <f>IF(P$12=0,0,P81/P$12)</f>
        <v>0</v>
      </c>
      <c r="S81" s="14"/>
      <c r="T81" s="36">
        <f>SUM(T78:T80)</f>
        <v>-829640.18000000028</v>
      </c>
      <c r="U81" s="14"/>
      <c r="V81" s="33">
        <f>IF(T$12=0,0,T81/T$12)</f>
        <v>0</v>
      </c>
      <c r="W81" s="16"/>
      <c r="X81" s="36">
        <f>+P81-T81</f>
        <v>199677.65000000049</v>
      </c>
      <c r="Y81" s="16"/>
      <c r="Z81" s="33">
        <f>IF(T81=0,0,X81/T81)</f>
        <v>-0.24067982097974139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55">
        <v>43992.37514945602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2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3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30335.559999999998</v>
      </c>
      <c r="E18" s="22"/>
      <c r="F18" s="31">
        <f t="shared" ref="F18:F27" si="0">IF(D$12=0,0,D18/D$12)</f>
        <v>0</v>
      </c>
      <c r="G18" s="22"/>
      <c r="H18" s="22">
        <f>SUM(OSRRefH22x_0)</f>
        <v>55212.87999999999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-24877.319999999992</v>
      </c>
      <c r="M18" s="4"/>
      <c r="N18" s="31">
        <f t="shared" ref="N18:N27" si="3">IF(H18=0,0,L18/H18)</f>
        <v>-0.45057095373398376</v>
      </c>
      <c r="O18" s="10"/>
      <c r="P18" s="22">
        <f>SUM(OSRRefP22x_0)</f>
        <v>536437.33000000007</v>
      </c>
      <c r="Q18" s="22"/>
      <c r="R18" s="31">
        <f t="shared" ref="R18:R27" si="4">IF(P$12=0,0,P18/P$12)</f>
        <v>0</v>
      </c>
      <c r="S18" s="22"/>
      <c r="T18" s="22">
        <f>SUM(OSRRefT22x_0)</f>
        <v>590458.25999999978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-54020.929999999702</v>
      </c>
      <c r="Y18" s="4"/>
      <c r="Z18" s="31">
        <f t="shared" ref="Z18:Z27" si="7">IF(T18=0,0,X18/T18)</f>
        <v>-9.1489837063164672E-2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11832.93</v>
      </c>
      <c r="E19" s="1"/>
      <c r="F19" s="5">
        <f t="shared" si="0"/>
        <v>0</v>
      </c>
      <c r="G19" s="1"/>
      <c r="H19" s="1">
        <f>SUM(OSRRefH22_0x_0)</f>
        <v>16211.01</v>
      </c>
      <c r="I19" s="1"/>
      <c r="J19" s="5">
        <f t="shared" si="1"/>
        <v>0</v>
      </c>
      <c r="K19" s="1"/>
      <c r="L19" s="1">
        <f t="shared" si="2"/>
        <v>-4378.08</v>
      </c>
      <c r="M19" s="1"/>
      <c r="N19" s="5">
        <f t="shared" si="3"/>
        <v>-0.27006830542945814</v>
      </c>
      <c r="O19" s="13"/>
      <c r="P19" s="1">
        <f>SUM(OSRRefP22_0x_0)</f>
        <v>134408.43000000002</v>
      </c>
      <c r="Q19" s="1"/>
      <c r="R19" s="5">
        <f t="shared" si="4"/>
        <v>0</v>
      </c>
      <c r="S19" s="1"/>
      <c r="T19" s="1">
        <f>SUM(OSRRefT22_0x_0)</f>
        <v>173049.33000000002</v>
      </c>
      <c r="U19" s="1"/>
      <c r="V19" s="5">
        <f t="shared" si="5"/>
        <v>0</v>
      </c>
      <c r="W19" s="1"/>
      <c r="X19" s="1">
        <f t="shared" si="6"/>
        <v>-38640.899999999994</v>
      </c>
      <c r="Y19" s="1"/>
      <c r="Z19" s="5">
        <f t="shared" si="7"/>
        <v>-0.22329413237254367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1622.44</v>
      </c>
      <c r="E20" s="2"/>
      <c r="F20" s="7">
        <f t="shared" si="0"/>
        <v>0</v>
      </c>
      <c r="G20" s="2"/>
      <c r="H20" s="6">
        <v>3004.23</v>
      </c>
      <c r="I20" s="2"/>
      <c r="J20" s="7">
        <f t="shared" si="1"/>
        <v>0</v>
      </c>
      <c r="K20" s="2"/>
      <c r="L20" s="6">
        <f t="shared" si="2"/>
        <v>-1381.79</v>
      </c>
      <c r="M20" s="2"/>
      <c r="N20" s="7">
        <f t="shared" si="3"/>
        <v>-0.45994813978956339</v>
      </c>
      <c r="O20" s="11"/>
      <c r="P20" s="6">
        <v>28117.56</v>
      </c>
      <c r="Q20" s="2"/>
      <c r="R20" s="7">
        <f t="shared" si="4"/>
        <v>0</v>
      </c>
      <c r="S20" s="2"/>
      <c r="T20" s="6">
        <v>26248.68</v>
      </c>
      <c r="U20" s="2"/>
      <c r="V20" s="7">
        <f t="shared" si="5"/>
        <v>0</v>
      </c>
      <c r="W20" s="2"/>
      <c r="X20" s="6">
        <f t="shared" si="6"/>
        <v>1868.880000000001</v>
      </c>
      <c r="Y20" s="2"/>
      <c r="Z20" s="7">
        <f t="shared" si="7"/>
        <v>7.1199008864445787E-2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108.16</v>
      </c>
      <c r="E21" s="2"/>
      <c r="F21" s="7">
        <f t="shared" si="0"/>
        <v>0</v>
      </c>
      <c r="G21" s="2"/>
      <c r="H21" s="6">
        <v>96.42</v>
      </c>
      <c r="I21" s="2"/>
      <c r="J21" s="7">
        <f t="shared" si="1"/>
        <v>0</v>
      </c>
      <c r="K21" s="2"/>
      <c r="L21" s="6">
        <f t="shared" si="2"/>
        <v>11.739999999999995</v>
      </c>
      <c r="M21" s="2"/>
      <c r="N21" s="7">
        <f t="shared" si="3"/>
        <v>0.12175897116780746</v>
      </c>
      <c r="O21" s="11"/>
      <c r="P21" s="6">
        <v>1194.23</v>
      </c>
      <c r="Q21" s="2"/>
      <c r="R21" s="7">
        <f t="shared" si="4"/>
        <v>0</v>
      </c>
      <c r="S21" s="2"/>
      <c r="T21" s="6">
        <v>1034.17</v>
      </c>
      <c r="U21" s="2"/>
      <c r="V21" s="7">
        <f t="shared" si="5"/>
        <v>0</v>
      </c>
      <c r="W21" s="2"/>
      <c r="X21" s="6">
        <f t="shared" si="6"/>
        <v>160.05999999999995</v>
      </c>
      <c r="Y21" s="2"/>
      <c r="Z21" s="7">
        <f t="shared" si="7"/>
        <v>0.15477145923784286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5567.04</v>
      </c>
      <c r="E22" s="2"/>
      <c r="F22" s="7">
        <f t="shared" si="0"/>
        <v>0</v>
      </c>
      <c r="G22" s="2"/>
      <c r="H22" s="6">
        <v>5942.02</v>
      </c>
      <c r="I22" s="2"/>
      <c r="J22" s="7">
        <f t="shared" si="1"/>
        <v>0</v>
      </c>
      <c r="K22" s="2"/>
      <c r="L22" s="6">
        <f t="shared" si="2"/>
        <v>-374.98000000000047</v>
      </c>
      <c r="M22" s="2"/>
      <c r="N22" s="7">
        <f t="shared" si="3"/>
        <v>-6.3106485673222315E-2</v>
      </c>
      <c r="O22" s="11"/>
      <c r="P22" s="6">
        <v>66309.75</v>
      </c>
      <c r="Q22" s="2"/>
      <c r="R22" s="7">
        <f t="shared" si="4"/>
        <v>0</v>
      </c>
      <c r="S22" s="2"/>
      <c r="T22" s="6">
        <v>68865.459999999992</v>
      </c>
      <c r="U22" s="2"/>
      <c r="V22" s="7">
        <f t="shared" si="5"/>
        <v>0</v>
      </c>
      <c r="W22" s="2"/>
      <c r="X22" s="6">
        <f t="shared" si="6"/>
        <v>-2555.7099999999919</v>
      </c>
      <c r="Y22" s="2"/>
      <c r="Z22" s="7">
        <f t="shared" si="7"/>
        <v>-3.7111637677291233E-2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82.71</v>
      </c>
      <c r="E23" s="2"/>
      <c r="F23" s="7">
        <f t="shared" si="0"/>
        <v>0</v>
      </c>
      <c r="G23" s="2"/>
      <c r="H23" s="6">
        <v>80.87</v>
      </c>
      <c r="I23" s="2"/>
      <c r="J23" s="7">
        <f t="shared" si="1"/>
        <v>0</v>
      </c>
      <c r="K23" s="2"/>
      <c r="L23" s="6">
        <f t="shared" si="2"/>
        <v>1.8399999999999892</v>
      </c>
      <c r="M23" s="2"/>
      <c r="N23" s="7">
        <f t="shared" si="3"/>
        <v>2.2752565846420044E-2</v>
      </c>
      <c r="O23" s="11"/>
      <c r="P23" s="6">
        <v>1053.99</v>
      </c>
      <c r="Q23" s="2"/>
      <c r="R23" s="7">
        <f t="shared" si="4"/>
        <v>0</v>
      </c>
      <c r="S23" s="2"/>
      <c r="T23" s="6">
        <v>975.07</v>
      </c>
      <c r="U23" s="2"/>
      <c r="V23" s="7">
        <f t="shared" si="5"/>
        <v>0</v>
      </c>
      <c r="W23" s="2"/>
      <c r="X23" s="6">
        <f t="shared" si="6"/>
        <v>78.919999999999959</v>
      </c>
      <c r="Y23" s="2"/>
      <c r="Z23" s="7">
        <f t="shared" si="7"/>
        <v>8.0937778826135509E-2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1813.92</v>
      </c>
      <c r="E24" s="2"/>
      <c r="F24" s="7">
        <f t="shared" si="0"/>
        <v>0</v>
      </c>
      <c r="G24" s="2"/>
      <c r="H24" s="6">
        <v>2007.42</v>
      </c>
      <c r="I24" s="2"/>
      <c r="J24" s="7">
        <f t="shared" si="1"/>
        <v>0</v>
      </c>
      <c r="K24" s="2"/>
      <c r="L24" s="6">
        <f t="shared" si="2"/>
        <v>-193.5</v>
      </c>
      <c r="M24" s="2"/>
      <c r="N24" s="7">
        <f t="shared" si="3"/>
        <v>-9.6392384254416111E-2</v>
      </c>
      <c r="O24" s="11"/>
      <c r="P24" s="6">
        <v>27720.240000000002</v>
      </c>
      <c r="Q24" s="2"/>
      <c r="R24" s="7">
        <f t="shared" si="4"/>
        <v>0</v>
      </c>
      <c r="S24" s="2"/>
      <c r="T24" s="6">
        <v>24659.329999999998</v>
      </c>
      <c r="U24" s="2"/>
      <c r="V24" s="7">
        <f t="shared" si="5"/>
        <v>0</v>
      </c>
      <c r="W24" s="2"/>
      <c r="X24" s="6">
        <f t="shared" si="6"/>
        <v>3060.9100000000035</v>
      </c>
      <c r="Y24" s="2"/>
      <c r="Z24" s="7">
        <f t="shared" si="7"/>
        <v>0.12412786559894384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1520.74</v>
      </c>
      <c r="E25" s="2"/>
      <c r="F25" s="7">
        <f t="shared" si="0"/>
        <v>0</v>
      </c>
      <c r="G25" s="2"/>
      <c r="H25" s="6">
        <v>2718.57</v>
      </c>
      <c r="I25" s="2"/>
      <c r="J25" s="7">
        <f t="shared" si="1"/>
        <v>0</v>
      </c>
      <c r="K25" s="2"/>
      <c r="L25" s="6">
        <f t="shared" si="2"/>
        <v>-1197.8300000000002</v>
      </c>
      <c r="M25" s="2"/>
      <c r="N25" s="7">
        <f t="shared" si="3"/>
        <v>-0.44061032086722068</v>
      </c>
      <c r="O25" s="11"/>
      <c r="P25" s="6">
        <v>22703.14</v>
      </c>
      <c r="Q25" s="2"/>
      <c r="R25" s="7">
        <f t="shared" si="4"/>
        <v>0</v>
      </c>
      <c r="S25" s="2"/>
      <c r="T25" s="6">
        <v>22784.649999999998</v>
      </c>
      <c r="U25" s="2"/>
      <c r="V25" s="7">
        <f t="shared" si="5"/>
        <v>0</v>
      </c>
      <c r="W25" s="2"/>
      <c r="X25" s="6">
        <f t="shared" si="6"/>
        <v>-81.509999999998399</v>
      </c>
      <c r="Y25" s="2"/>
      <c r="Z25" s="7">
        <f t="shared" si="7"/>
        <v>-3.5774084745650429E-3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979.42</v>
      </c>
      <c r="E26" s="2"/>
      <c r="F26" s="7">
        <f t="shared" si="0"/>
        <v>0</v>
      </c>
      <c r="G26" s="2"/>
      <c r="H26" s="6">
        <v>1677.93</v>
      </c>
      <c r="I26" s="2"/>
      <c r="J26" s="7">
        <f t="shared" si="1"/>
        <v>0</v>
      </c>
      <c r="K26" s="2"/>
      <c r="L26" s="6">
        <f t="shared" si="2"/>
        <v>-698.5100000000001</v>
      </c>
      <c r="M26" s="2"/>
      <c r="N26" s="7">
        <f t="shared" si="3"/>
        <v>-0.41629269397412294</v>
      </c>
      <c r="O26" s="11"/>
      <c r="P26" s="6">
        <v>-20331.86</v>
      </c>
      <c r="Q26" s="2"/>
      <c r="R26" s="7">
        <f t="shared" si="4"/>
        <v>0</v>
      </c>
      <c r="S26" s="2"/>
      <c r="T26" s="6">
        <v>20455.46</v>
      </c>
      <c r="U26" s="2"/>
      <c r="V26" s="7">
        <f t="shared" si="5"/>
        <v>0</v>
      </c>
      <c r="W26" s="2"/>
      <c r="X26" s="6">
        <f t="shared" si="6"/>
        <v>-40787.32</v>
      </c>
      <c r="Y26" s="2"/>
      <c r="Z26" s="7">
        <f t="shared" si="7"/>
        <v>-1.9939576034955948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138.5</v>
      </c>
      <c r="E27" s="2"/>
      <c r="F27" s="7">
        <f t="shared" si="0"/>
        <v>0</v>
      </c>
      <c r="G27" s="2"/>
      <c r="H27" s="6">
        <v>683.55</v>
      </c>
      <c r="I27" s="2"/>
      <c r="J27" s="7">
        <f t="shared" si="1"/>
        <v>0</v>
      </c>
      <c r="K27" s="2"/>
      <c r="L27" s="6">
        <f t="shared" si="2"/>
        <v>-545.04999999999995</v>
      </c>
      <c r="M27" s="2"/>
      <c r="N27" s="7">
        <f t="shared" si="3"/>
        <v>-0.79738131811864532</v>
      </c>
      <c r="O27" s="11"/>
      <c r="P27" s="6">
        <v>7641.38</v>
      </c>
      <c r="Q27" s="2"/>
      <c r="R27" s="7">
        <f t="shared" si="4"/>
        <v>0</v>
      </c>
      <c r="S27" s="2"/>
      <c r="T27" s="6">
        <v>8026.51</v>
      </c>
      <c r="U27" s="2"/>
      <c r="V27" s="7">
        <f t="shared" si="5"/>
        <v>0</v>
      </c>
      <c r="W27" s="2"/>
      <c r="X27" s="6">
        <f t="shared" si="6"/>
        <v>-385.13000000000011</v>
      </c>
      <c r="Y27" s="2"/>
      <c r="Z27" s="7">
        <f t="shared" si="7"/>
        <v>-4.7982248822962918E-2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15632.22</v>
      </c>
      <c r="E28" s="1"/>
      <c r="F28" s="5">
        <f t="shared" ref="F28:F34" si="8">IF(D$12=0,0,D28/D$12)</f>
        <v>0</v>
      </c>
      <c r="G28" s="1"/>
      <c r="H28" s="1">
        <f>SUM(OSRRefH22_1x_0)</f>
        <v>32871.460000000006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-17239.240000000005</v>
      </c>
      <c r="M28" s="1"/>
      <c r="N28" s="5">
        <f t="shared" ref="N28:N34" si="11">IF(H28=0,0,L28/H28)</f>
        <v>-0.52444400096618771</v>
      </c>
      <c r="O28" s="13"/>
      <c r="P28" s="1">
        <f>SUM(OSRRefP22_1x_0)</f>
        <v>325533.37999999989</v>
      </c>
      <c r="Q28" s="1"/>
      <c r="R28" s="5">
        <f t="shared" ref="R28:R34" si="12">IF(P$12=0,0,P28/P$12)</f>
        <v>0</v>
      </c>
      <c r="S28" s="1"/>
      <c r="T28" s="1">
        <f>SUM(OSRRefT22_1x_0)</f>
        <v>329445.16000000003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-3911.7800000001444</v>
      </c>
      <c r="Y28" s="1"/>
      <c r="Z28" s="5">
        <f t="shared" ref="Z28:Z34" si="15">IF(T28=0,0,X28/T28)</f>
        <v>-1.1873842675364069E-2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15632.22</v>
      </c>
      <c r="E29" s="2"/>
      <c r="F29" s="7">
        <f t="shared" si="8"/>
        <v>0</v>
      </c>
      <c r="G29" s="2"/>
      <c r="H29" s="6">
        <v>25031</v>
      </c>
      <c r="I29" s="2"/>
      <c r="J29" s="7">
        <f t="shared" si="9"/>
        <v>0</v>
      </c>
      <c r="K29" s="2"/>
      <c r="L29" s="6">
        <f t="shared" si="10"/>
        <v>-9398.7800000000007</v>
      </c>
      <c r="M29" s="2"/>
      <c r="N29" s="7">
        <f t="shared" si="11"/>
        <v>-0.37548559785865532</v>
      </c>
      <c r="O29" s="11"/>
      <c r="P29" s="6">
        <v>276230.36</v>
      </c>
      <c r="Q29" s="2"/>
      <c r="R29" s="7">
        <f t="shared" si="12"/>
        <v>0</v>
      </c>
      <c r="S29" s="2"/>
      <c r="T29" s="6">
        <v>257296.28</v>
      </c>
      <c r="U29" s="2"/>
      <c r="V29" s="7">
        <f t="shared" si="13"/>
        <v>0</v>
      </c>
      <c r="W29" s="2"/>
      <c r="X29" s="6">
        <f t="shared" si="14"/>
        <v>18934.079999999987</v>
      </c>
      <c r="Y29" s="2"/>
      <c r="Z29" s="7">
        <f t="shared" si="15"/>
        <v>7.3588627087807043E-2</v>
      </c>
    </row>
    <row r="30" spans="1:26" s="24" customFormat="1" hidden="1" outlineLevel="2" x14ac:dyDescent="0.25">
      <c r="A30" s="26"/>
      <c r="B30" s="11" t="str">
        <f>CONCATENATE("          ", "6004", " - ", "STAFF HOURLY")</f>
        <v xml:space="preserve">          6004 - STAFF HOURLY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-9381.52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-9381.52</v>
      </c>
      <c r="Y30" s="2"/>
      <c r="Z30" s="7">
        <f t="shared" si="15"/>
        <v>0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8"/>
        <v>0</v>
      </c>
      <c r="G31" s="2"/>
      <c r="H31" s="6">
        <v>3414.45</v>
      </c>
      <c r="I31" s="2"/>
      <c r="J31" s="7">
        <f t="shared" si="9"/>
        <v>0</v>
      </c>
      <c r="K31" s="2"/>
      <c r="L31" s="6">
        <f t="shared" si="10"/>
        <v>-3414.45</v>
      </c>
      <c r="M31" s="2"/>
      <c r="N31" s="7">
        <f t="shared" si="11"/>
        <v>-1</v>
      </c>
      <c r="O31" s="11"/>
      <c r="P31" s="6">
        <v>20823.22</v>
      </c>
      <c r="Q31" s="2"/>
      <c r="R31" s="7">
        <f t="shared" si="12"/>
        <v>0</v>
      </c>
      <c r="S31" s="2"/>
      <c r="T31" s="6">
        <v>24104.58</v>
      </c>
      <c r="U31" s="2"/>
      <c r="V31" s="7">
        <f t="shared" si="13"/>
        <v>0</v>
      </c>
      <c r="W31" s="2"/>
      <c r="X31" s="6">
        <f t="shared" si="14"/>
        <v>-3281.3600000000006</v>
      </c>
      <c r="Y31" s="2"/>
      <c r="Z31" s="7">
        <f t="shared" si="15"/>
        <v>-0.13613014622117459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>
        <v>1949.06</v>
      </c>
      <c r="I32" s="2"/>
      <c r="J32" s="7">
        <f t="shared" si="9"/>
        <v>0</v>
      </c>
      <c r="K32" s="2"/>
      <c r="L32" s="6">
        <f t="shared" si="10"/>
        <v>-1949.06</v>
      </c>
      <c r="M32" s="2"/>
      <c r="N32" s="7">
        <f t="shared" si="11"/>
        <v>-1</v>
      </c>
      <c r="O32" s="11"/>
      <c r="P32" s="6"/>
      <c r="Q32" s="2"/>
      <c r="R32" s="7">
        <f t="shared" si="12"/>
        <v>0</v>
      </c>
      <c r="S32" s="2"/>
      <c r="T32" s="6">
        <v>7702.58</v>
      </c>
      <c r="U32" s="2"/>
      <c r="V32" s="7">
        <f t="shared" si="13"/>
        <v>0</v>
      </c>
      <c r="W32" s="2"/>
      <c r="X32" s="6">
        <f t="shared" si="14"/>
        <v>-7702.58</v>
      </c>
      <c r="Y32" s="2"/>
      <c r="Z32" s="7">
        <f t="shared" si="15"/>
        <v>-1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>
        <v>1825.95</v>
      </c>
      <c r="I33" s="2"/>
      <c r="J33" s="7">
        <f t="shared" si="9"/>
        <v>0</v>
      </c>
      <c r="K33" s="2"/>
      <c r="L33" s="6">
        <f t="shared" si="10"/>
        <v>-1825.95</v>
      </c>
      <c r="M33" s="2"/>
      <c r="N33" s="7">
        <f t="shared" si="11"/>
        <v>-1</v>
      </c>
      <c r="O33" s="11"/>
      <c r="P33" s="6">
        <v>32551.350000000002</v>
      </c>
      <c r="Q33" s="2"/>
      <c r="R33" s="7">
        <f t="shared" si="12"/>
        <v>0</v>
      </c>
      <c r="S33" s="2"/>
      <c r="T33" s="6">
        <v>37380.720000000001</v>
      </c>
      <c r="U33" s="2"/>
      <c r="V33" s="7">
        <f t="shared" si="13"/>
        <v>0</v>
      </c>
      <c r="W33" s="2"/>
      <c r="X33" s="6">
        <f t="shared" si="14"/>
        <v>-4829.369999999999</v>
      </c>
      <c r="Y33" s="2"/>
      <c r="Z33" s="7">
        <f t="shared" si="15"/>
        <v>-0.12919414072281107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>
        <v>651</v>
      </c>
      <c r="I34" s="2"/>
      <c r="J34" s="7">
        <f t="shared" si="9"/>
        <v>0</v>
      </c>
      <c r="K34" s="2"/>
      <c r="L34" s="6">
        <f t="shared" si="10"/>
        <v>-651</v>
      </c>
      <c r="M34" s="2"/>
      <c r="N34" s="7">
        <f t="shared" si="11"/>
        <v>-1</v>
      </c>
      <c r="O34" s="11"/>
      <c r="P34" s="6">
        <v>5309.97</v>
      </c>
      <c r="Q34" s="2"/>
      <c r="R34" s="7">
        <f t="shared" si="12"/>
        <v>0</v>
      </c>
      <c r="S34" s="2"/>
      <c r="T34" s="6">
        <v>2961</v>
      </c>
      <c r="U34" s="2"/>
      <c r="V34" s="7">
        <f t="shared" si="13"/>
        <v>0</v>
      </c>
      <c r="W34" s="2"/>
      <c r="X34" s="6">
        <f t="shared" si="14"/>
        <v>2348.9700000000003</v>
      </c>
      <c r="Y34" s="2"/>
      <c r="Z34" s="7">
        <f t="shared" si="15"/>
        <v>0.79330293819655529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4" si="16">IF(D$12=0,0,D35/D$12)</f>
        <v>0</v>
      </c>
      <c r="G35" s="1"/>
      <c r="H35" s="1">
        <f>SUM(OSRRefH22_2x_0)</f>
        <v>0</v>
      </c>
      <c r="I35" s="1"/>
      <c r="J35" s="5">
        <f t="shared" ref="J35:J54" si="17">IF(H$12=0,0,H35/H$12)</f>
        <v>0</v>
      </c>
      <c r="K35" s="1"/>
      <c r="L35" s="1">
        <f t="shared" ref="L35:L54" si="18">+D35-H35</f>
        <v>0</v>
      </c>
      <c r="M35" s="1"/>
      <c r="N35" s="5">
        <f t="shared" ref="N35:N54" si="19">IF(H35=0,0,L35/H35)</f>
        <v>0</v>
      </c>
      <c r="O35" s="13"/>
      <c r="P35" s="1">
        <f>SUM(OSRRefP22_2x_0)</f>
        <v>62</v>
      </c>
      <c r="Q35" s="1"/>
      <c r="R35" s="5">
        <f t="shared" ref="R35:R54" si="20">IF(P$12=0,0,P35/P$12)</f>
        <v>0</v>
      </c>
      <c r="S35" s="1"/>
      <c r="T35" s="1">
        <f>SUM(OSRRefT22_2x_0)</f>
        <v>54</v>
      </c>
      <c r="U35" s="1"/>
      <c r="V35" s="5">
        <f t="shared" ref="V35:V54" si="21">IF(T$12=0,0,T35/T$12)</f>
        <v>0</v>
      </c>
      <c r="W35" s="1"/>
      <c r="X35" s="1">
        <f t="shared" ref="X35:X54" si="22">+P35-T35</f>
        <v>8</v>
      </c>
      <c r="Y35" s="1"/>
      <c r="Z35" s="5">
        <f t="shared" ref="Z35:Z54" si="23">IF(T35=0,0,X35/T35)</f>
        <v>0.14814814814814814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62</v>
      </c>
      <c r="Q36" s="2"/>
      <c r="R36" s="7">
        <f t="shared" si="20"/>
        <v>0</v>
      </c>
      <c r="S36" s="2"/>
      <c r="T36" s="6">
        <v>54</v>
      </c>
      <c r="U36" s="2"/>
      <c r="V36" s="7">
        <f t="shared" si="21"/>
        <v>0</v>
      </c>
      <c r="W36" s="2"/>
      <c r="X36" s="6">
        <f t="shared" si="22"/>
        <v>8</v>
      </c>
      <c r="Y36" s="2"/>
      <c r="Z36" s="7">
        <f t="shared" si="23"/>
        <v>0.14814814814814814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1558.88</v>
      </c>
      <c r="E37" s="1"/>
      <c r="F37" s="5">
        <f t="shared" si="16"/>
        <v>0</v>
      </c>
      <c r="G37" s="1"/>
      <c r="H37" s="1">
        <f>SUM(OSRRefH22_3x_0)</f>
        <v>1558.88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17147.68</v>
      </c>
      <c r="Q37" s="1"/>
      <c r="R37" s="5">
        <f t="shared" si="20"/>
        <v>0</v>
      </c>
      <c r="S37" s="1"/>
      <c r="T37" s="1">
        <f>SUM(OSRRefT22_3x_0)</f>
        <v>17147.68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1558.88</v>
      </c>
      <c r="E38" s="2"/>
      <c r="F38" s="7">
        <f t="shared" si="16"/>
        <v>0</v>
      </c>
      <c r="G38" s="2"/>
      <c r="H38" s="6">
        <v>1558.88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17147.68</v>
      </c>
      <c r="Q38" s="2"/>
      <c r="R38" s="7">
        <f t="shared" si="20"/>
        <v>0</v>
      </c>
      <c r="S38" s="2"/>
      <c r="T38" s="6">
        <v>17147.68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SUM(OSRRefP22_4x_0)</f>
        <v>3.96</v>
      </c>
      <c r="Q39" s="1"/>
      <c r="R39" s="5">
        <f t="shared" si="20"/>
        <v>0</v>
      </c>
      <c r="S39" s="1"/>
      <c r="T39" s="1">
        <f>SUM(OSRRefT22_4x_0)</f>
        <v>137.68</v>
      </c>
      <c r="U39" s="1"/>
      <c r="V39" s="5">
        <f t="shared" si="21"/>
        <v>0</v>
      </c>
      <c r="W39" s="1"/>
      <c r="X39" s="1">
        <f t="shared" si="22"/>
        <v>-133.72</v>
      </c>
      <c r="Y39" s="1"/>
      <c r="Z39" s="5">
        <f t="shared" si="23"/>
        <v>-0.97123765252760019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3.96</v>
      </c>
      <c r="Q40" s="2"/>
      <c r="R40" s="7">
        <f t="shared" si="20"/>
        <v>0</v>
      </c>
      <c r="S40" s="2"/>
      <c r="T40" s="6">
        <v>137.68</v>
      </c>
      <c r="U40" s="2"/>
      <c r="V40" s="7">
        <f t="shared" si="21"/>
        <v>0</v>
      </c>
      <c r="W40" s="2"/>
      <c r="X40" s="6">
        <f t="shared" si="22"/>
        <v>-133.72</v>
      </c>
      <c r="Y40" s="2"/>
      <c r="Z40" s="7">
        <f t="shared" si="23"/>
        <v>-0.97123765252760019</v>
      </c>
    </row>
    <row r="41" spans="1:26" s="27" customFormat="1" outlineLevel="1" collapsed="1" x14ac:dyDescent="0.25">
      <c r="A41" s="25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91.26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1003.86</v>
      </c>
      <c r="Q41" s="1"/>
      <c r="R41" s="5">
        <f t="shared" si="20"/>
        <v>0</v>
      </c>
      <c r="S41" s="1"/>
      <c r="T41" s="1">
        <f>SUM(OSRRefT22_5x_0)</f>
        <v>1003.86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1003.86</v>
      </c>
      <c r="Q42" s="2"/>
      <c r="R42" s="7">
        <f t="shared" si="20"/>
        <v>0</v>
      </c>
      <c r="S42" s="2"/>
      <c r="T42" s="6">
        <v>1003.86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61</v>
      </c>
      <c r="E43" s="1"/>
      <c r="F43" s="5">
        <f t="shared" si="16"/>
        <v>0</v>
      </c>
      <c r="G43" s="1"/>
      <c r="H43" s="1">
        <f>SUM(OSRRefH22_6x_0)</f>
        <v>140.15</v>
      </c>
      <c r="I43" s="1"/>
      <c r="J43" s="5">
        <f t="shared" si="17"/>
        <v>0</v>
      </c>
      <c r="K43" s="1"/>
      <c r="L43" s="1">
        <f t="shared" si="18"/>
        <v>-79.150000000000006</v>
      </c>
      <c r="M43" s="1"/>
      <c r="N43" s="5">
        <f t="shared" si="19"/>
        <v>-0.56475205137352835</v>
      </c>
      <c r="O43" s="13"/>
      <c r="P43" s="1">
        <f>SUM(OSRRefP22_6x_0)</f>
        <v>1325.4</v>
      </c>
      <c r="Q43" s="1"/>
      <c r="R43" s="5">
        <f t="shared" si="20"/>
        <v>0</v>
      </c>
      <c r="S43" s="1"/>
      <c r="T43" s="1">
        <f>SUM(OSRRefT22_6x_0)</f>
        <v>1588.3</v>
      </c>
      <c r="U43" s="1"/>
      <c r="V43" s="5">
        <f t="shared" si="21"/>
        <v>0</v>
      </c>
      <c r="W43" s="1"/>
      <c r="X43" s="1">
        <f t="shared" si="22"/>
        <v>-262.89999999999986</v>
      </c>
      <c r="Y43" s="1"/>
      <c r="Z43" s="5">
        <f t="shared" si="23"/>
        <v>-0.16552288610464011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>
        <v>61</v>
      </c>
      <c r="E44" s="2"/>
      <c r="F44" s="7">
        <f t="shared" si="16"/>
        <v>0</v>
      </c>
      <c r="G44" s="2"/>
      <c r="H44" s="6">
        <v>140.15</v>
      </c>
      <c r="I44" s="2"/>
      <c r="J44" s="7">
        <f t="shared" si="17"/>
        <v>0</v>
      </c>
      <c r="K44" s="2"/>
      <c r="L44" s="6">
        <f t="shared" si="18"/>
        <v>-79.150000000000006</v>
      </c>
      <c r="M44" s="2"/>
      <c r="N44" s="7">
        <f t="shared" si="19"/>
        <v>-0.56475205137352835</v>
      </c>
      <c r="O44" s="11"/>
      <c r="P44" s="6">
        <v>1325.4</v>
      </c>
      <c r="Q44" s="2"/>
      <c r="R44" s="7">
        <f t="shared" si="20"/>
        <v>0</v>
      </c>
      <c r="S44" s="2"/>
      <c r="T44" s="6">
        <v>1588.3</v>
      </c>
      <c r="U44" s="2"/>
      <c r="V44" s="7">
        <f t="shared" si="21"/>
        <v>0</v>
      </c>
      <c r="W44" s="2"/>
      <c r="X44" s="6">
        <f t="shared" si="22"/>
        <v>-262.89999999999986</v>
      </c>
      <c r="Y44" s="2"/>
      <c r="Z44" s="7">
        <f t="shared" si="23"/>
        <v>-0.16552288610464011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0</v>
      </c>
      <c r="Q45" s="1"/>
      <c r="R45" s="5">
        <f t="shared" si="20"/>
        <v>0</v>
      </c>
      <c r="S45" s="1"/>
      <c r="T45" s="1">
        <f>SUM(OSRRefT22_7x_0)</f>
        <v>90.42</v>
      </c>
      <c r="U45" s="1"/>
      <c r="V45" s="5">
        <f t="shared" si="21"/>
        <v>0</v>
      </c>
      <c r="W45" s="1"/>
      <c r="X45" s="1">
        <f t="shared" si="22"/>
        <v>-90.42</v>
      </c>
      <c r="Y45" s="1"/>
      <c r="Z45" s="5">
        <f t="shared" si="23"/>
        <v>-1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/>
      <c r="Q46" s="2"/>
      <c r="R46" s="7">
        <f t="shared" si="20"/>
        <v>0</v>
      </c>
      <c r="S46" s="2"/>
      <c r="T46" s="6">
        <v>90.42</v>
      </c>
      <c r="U46" s="2"/>
      <c r="V46" s="7">
        <f t="shared" si="21"/>
        <v>0</v>
      </c>
      <c r="W46" s="2"/>
      <c r="X46" s="6">
        <f t="shared" si="22"/>
        <v>-90.42</v>
      </c>
      <c r="Y46" s="2"/>
      <c r="Z46" s="7">
        <f t="shared" si="23"/>
        <v>-1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132.16999999999999</v>
      </c>
      <c r="E47" s="1"/>
      <c r="F47" s="5">
        <f t="shared" si="16"/>
        <v>0</v>
      </c>
      <c r="G47" s="1"/>
      <c r="H47" s="1">
        <f>SUM(OSRRefH22_8x_0)</f>
        <v>124.52</v>
      </c>
      <c r="I47" s="1"/>
      <c r="J47" s="5">
        <f t="shared" si="17"/>
        <v>0</v>
      </c>
      <c r="K47" s="1"/>
      <c r="L47" s="1">
        <f t="shared" si="18"/>
        <v>7.6499999999999915</v>
      </c>
      <c r="M47" s="1"/>
      <c r="N47" s="5">
        <f t="shared" si="19"/>
        <v>6.1435913909412075E-2</v>
      </c>
      <c r="O47" s="13"/>
      <c r="P47" s="1">
        <f>SUM(OSRRefP22_8x_0)</f>
        <v>1453.87</v>
      </c>
      <c r="Q47" s="1"/>
      <c r="R47" s="5">
        <f t="shared" si="20"/>
        <v>0</v>
      </c>
      <c r="S47" s="1"/>
      <c r="T47" s="1">
        <f>SUM(OSRRefT22_8x_0)</f>
        <v>1147.54</v>
      </c>
      <c r="U47" s="1"/>
      <c r="V47" s="5">
        <f t="shared" si="21"/>
        <v>0</v>
      </c>
      <c r="W47" s="1"/>
      <c r="X47" s="1">
        <f t="shared" si="22"/>
        <v>306.32999999999993</v>
      </c>
      <c r="Y47" s="1"/>
      <c r="Z47" s="5">
        <f t="shared" si="23"/>
        <v>0.26694494309566547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132.16999999999999</v>
      </c>
      <c r="E48" s="2"/>
      <c r="F48" s="7">
        <f t="shared" si="16"/>
        <v>0</v>
      </c>
      <c r="G48" s="2"/>
      <c r="H48" s="6">
        <v>124.52</v>
      </c>
      <c r="I48" s="2"/>
      <c r="J48" s="7">
        <f t="shared" si="17"/>
        <v>0</v>
      </c>
      <c r="K48" s="2"/>
      <c r="L48" s="6">
        <f t="shared" si="18"/>
        <v>7.6499999999999915</v>
      </c>
      <c r="M48" s="2"/>
      <c r="N48" s="7">
        <f t="shared" si="19"/>
        <v>6.1435913909412075E-2</v>
      </c>
      <c r="O48" s="11"/>
      <c r="P48" s="6">
        <v>1453.87</v>
      </c>
      <c r="Q48" s="2"/>
      <c r="R48" s="7">
        <f t="shared" si="20"/>
        <v>0</v>
      </c>
      <c r="S48" s="2"/>
      <c r="T48" s="6">
        <v>1147.54</v>
      </c>
      <c r="U48" s="2"/>
      <c r="V48" s="7">
        <f t="shared" si="21"/>
        <v>0</v>
      </c>
      <c r="W48" s="2"/>
      <c r="X48" s="6">
        <f t="shared" si="22"/>
        <v>306.32999999999993</v>
      </c>
      <c r="Y48" s="2"/>
      <c r="Z48" s="7">
        <f t="shared" si="23"/>
        <v>0.26694494309566547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0</v>
      </c>
      <c r="E49" s="1"/>
      <c r="F49" s="5">
        <f t="shared" si="16"/>
        <v>0</v>
      </c>
      <c r="G49" s="1"/>
      <c r="H49" s="1">
        <f>SUM(OSRRefH22_9x_0)</f>
        <v>0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3"/>
      <c r="P49" s="1">
        <f>SUM(OSRRefP22_9x_0)</f>
        <v>82.5</v>
      </c>
      <c r="Q49" s="1"/>
      <c r="R49" s="5">
        <f t="shared" si="20"/>
        <v>0</v>
      </c>
      <c r="S49" s="1"/>
      <c r="T49" s="1">
        <f>SUM(OSRRefT22_9x_0)</f>
        <v>412.5</v>
      </c>
      <c r="U49" s="1"/>
      <c r="V49" s="5">
        <f t="shared" si="21"/>
        <v>0</v>
      </c>
      <c r="W49" s="1"/>
      <c r="X49" s="1">
        <f t="shared" si="22"/>
        <v>-330</v>
      </c>
      <c r="Y49" s="1"/>
      <c r="Z49" s="5">
        <f t="shared" si="23"/>
        <v>-0.8</v>
      </c>
    </row>
    <row r="50" spans="1:26" s="24" customFormat="1" hidden="1" outlineLevel="2" x14ac:dyDescent="0.25">
      <c r="A50" s="26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82.5</v>
      </c>
      <c r="Q50" s="2"/>
      <c r="R50" s="7">
        <f t="shared" si="20"/>
        <v>0</v>
      </c>
      <c r="S50" s="2"/>
      <c r="T50" s="6">
        <v>412.5</v>
      </c>
      <c r="U50" s="2"/>
      <c r="V50" s="7">
        <f t="shared" si="21"/>
        <v>0</v>
      </c>
      <c r="W50" s="2"/>
      <c r="X50" s="6">
        <f t="shared" si="22"/>
        <v>-330</v>
      </c>
      <c r="Y50" s="2"/>
      <c r="Z50" s="7">
        <f t="shared" si="23"/>
        <v>-0.8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SUM(OSRRefD22_10x_0)</f>
        <v>9.91</v>
      </c>
      <c r="E51" s="1"/>
      <c r="F51" s="5">
        <f t="shared" si="16"/>
        <v>0</v>
      </c>
      <c r="G51" s="1"/>
      <c r="H51" s="1">
        <f>SUM(OSRRefH22_10x_0)</f>
        <v>23.68</v>
      </c>
      <c r="I51" s="1"/>
      <c r="J51" s="5">
        <f t="shared" si="17"/>
        <v>0</v>
      </c>
      <c r="K51" s="1"/>
      <c r="L51" s="1">
        <f t="shared" si="18"/>
        <v>-13.77</v>
      </c>
      <c r="M51" s="1"/>
      <c r="N51" s="5">
        <f t="shared" si="19"/>
        <v>-0.5815033783783784</v>
      </c>
      <c r="O51" s="13"/>
      <c r="P51" s="1">
        <f>SUM(OSRRefP22_10x_0)</f>
        <v>32622.5</v>
      </c>
      <c r="Q51" s="1"/>
      <c r="R51" s="5">
        <f t="shared" si="20"/>
        <v>0</v>
      </c>
      <c r="S51" s="1"/>
      <c r="T51" s="1">
        <f>SUM(OSRRefT22_10x_0)</f>
        <v>30856.989999999998</v>
      </c>
      <c r="U51" s="1"/>
      <c r="V51" s="5">
        <f t="shared" si="21"/>
        <v>0</v>
      </c>
      <c r="W51" s="1"/>
      <c r="X51" s="1">
        <f t="shared" si="22"/>
        <v>1765.510000000002</v>
      </c>
      <c r="Y51" s="1"/>
      <c r="Z51" s="5">
        <f t="shared" si="23"/>
        <v>5.7215885282394754E-2</v>
      </c>
    </row>
    <row r="52" spans="1:26" s="24" customFormat="1" hidden="1" outlineLevel="2" x14ac:dyDescent="0.25">
      <c r="A52" s="26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26963.83</v>
      </c>
      <c r="Q52" s="2"/>
      <c r="R52" s="7">
        <f t="shared" si="20"/>
        <v>0</v>
      </c>
      <c r="S52" s="2"/>
      <c r="T52" s="6">
        <v>25794.14</v>
      </c>
      <c r="U52" s="2"/>
      <c r="V52" s="7">
        <f t="shared" si="21"/>
        <v>0</v>
      </c>
      <c r="W52" s="2"/>
      <c r="X52" s="6">
        <f t="shared" si="22"/>
        <v>1169.6900000000023</v>
      </c>
      <c r="Y52" s="2"/>
      <c r="Z52" s="7">
        <f t="shared" si="23"/>
        <v>4.5347121477979195E-2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>
        <v>9.91</v>
      </c>
      <c r="E53" s="2"/>
      <c r="F53" s="7">
        <f t="shared" si="16"/>
        <v>0</v>
      </c>
      <c r="G53" s="2"/>
      <c r="H53" s="6">
        <v>23.68</v>
      </c>
      <c r="I53" s="2"/>
      <c r="J53" s="7">
        <f t="shared" si="17"/>
        <v>0</v>
      </c>
      <c r="K53" s="2"/>
      <c r="L53" s="6">
        <f t="shared" si="18"/>
        <v>-13.77</v>
      </c>
      <c r="M53" s="2"/>
      <c r="N53" s="7">
        <f t="shared" si="19"/>
        <v>-0.5815033783783784</v>
      </c>
      <c r="O53" s="11"/>
      <c r="P53" s="6">
        <v>5120.7299999999996</v>
      </c>
      <c r="Q53" s="2"/>
      <c r="R53" s="7">
        <f t="shared" si="20"/>
        <v>0</v>
      </c>
      <c r="S53" s="2"/>
      <c r="T53" s="6">
        <v>5062.8500000000004</v>
      </c>
      <c r="U53" s="2"/>
      <c r="V53" s="7">
        <f t="shared" si="21"/>
        <v>0</v>
      </c>
      <c r="W53" s="2"/>
      <c r="X53" s="6">
        <f t="shared" si="22"/>
        <v>57.8799999999992</v>
      </c>
      <c r="Y53" s="2"/>
      <c r="Z53" s="7">
        <f t="shared" si="23"/>
        <v>1.1432296038792221E-2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537.94000000000005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537.94000000000005</v>
      </c>
      <c r="Y54" s="2"/>
      <c r="Z54" s="7">
        <f t="shared" si="23"/>
        <v>0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SUM(OSRRefD22_11x_0)</f>
        <v>512.48</v>
      </c>
      <c r="E55" s="1"/>
      <c r="F55" s="5">
        <f t="shared" ref="F55:F62" si="24">IF(D$12=0,0,D55/D$12)</f>
        <v>0</v>
      </c>
      <c r="G55" s="1"/>
      <c r="H55" s="1">
        <f>SUM(OSRRefH22_11x_0)</f>
        <v>1129.9100000000001</v>
      </c>
      <c r="I55" s="1"/>
      <c r="J55" s="5">
        <f t="shared" ref="J55:J62" si="25">IF(H$12=0,0,H55/H$12)</f>
        <v>0</v>
      </c>
      <c r="K55" s="1"/>
      <c r="L55" s="1">
        <f t="shared" ref="L55:L62" si="26">+D55-H55</f>
        <v>-617.43000000000006</v>
      </c>
      <c r="M55" s="1"/>
      <c r="N55" s="5">
        <f t="shared" ref="N55:N62" si="27">IF(H55=0,0,L55/H55)</f>
        <v>-0.54644175199794676</v>
      </c>
      <c r="O55" s="13"/>
      <c r="P55" s="1">
        <f>SUM(OSRRefP22_11x_0)</f>
        <v>10967.41</v>
      </c>
      <c r="Q55" s="1"/>
      <c r="R55" s="5">
        <f t="shared" ref="R55:R62" si="28">IF(P$12=0,0,P55/P$12)</f>
        <v>0</v>
      </c>
      <c r="S55" s="1"/>
      <c r="T55" s="1">
        <f>SUM(OSRRefT22_11x_0)</f>
        <v>8248.34</v>
      </c>
      <c r="U55" s="1"/>
      <c r="V55" s="5">
        <f t="shared" ref="V55:V62" si="29">IF(T$12=0,0,T55/T$12)</f>
        <v>0</v>
      </c>
      <c r="W55" s="1"/>
      <c r="X55" s="1">
        <f t="shared" ref="X55:X62" si="30">+P55-T55</f>
        <v>2719.0699999999997</v>
      </c>
      <c r="Y55" s="1"/>
      <c r="Z55" s="5">
        <f t="shared" ref="Z55:Z62" si="31">IF(T55=0,0,X55/T55)</f>
        <v>0.32965057211511645</v>
      </c>
    </row>
    <row r="56" spans="1:26" s="24" customFormat="1" hidden="1" outlineLevel="2" x14ac:dyDescent="0.25">
      <c r="A56" s="26"/>
      <c r="B56" s="11" t="str">
        <f>CONCATENATE("          ", "6281", " - ", "STORAGE FEE")</f>
        <v xml:space="preserve">          6281 - STORAGE FEE</v>
      </c>
      <c r="C56" s="11"/>
      <c r="D56" s="6">
        <v>512.48</v>
      </c>
      <c r="E56" s="2"/>
      <c r="F56" s="7">
        <f t="shared" si="24"/>
        <v>0</v>
      </c>
      <c r="G56" s="2"/>
      <c r="H56" s="6">
        <v>1129.9100000000001</v>
      </c>
      <c r="I56" s="2"/>
      <c r="J56" s="7">
        <f t="shared" si="25"/>
        <v>0</v>
      </c>
      <c r="K56" s="2"/>
      <c r="L56" s="6">
        <f t="shared" si="26"/>
        <v>-617.43000000000006</v>
      </c>
      <c r="M56" s="2"/>
      <c r="N56" s="7">
        <f t="shared" si="27"/>
        <v>-0.54644175199794676</v>
      </c>
      <c r="O56" s="11"/>
      <c r="P56" s="6">
        <v>10967.41</v>
      </c>
      <c r="Q56" s="2"/>
      <c r="R56" s="7">
        <f t="shared" si="28"/>
        <v>0</v>
      </c>
      <c r="S56" s="2"/>
      <c r="T56" s="6">
        <v>8248.34</v>
      </c>
      <c r="U56" s="2"/>
      <c r="V56" s="7">
        <f t="shared" si="29"/>
        <v>0</v>
      </c>
      <c r="W56" s="2"/>
      <c r="X56" s="6">
        <f t="shared" si="30"/>
        <v>2719.0699999999997</v>
      </c>
      <c r="Y56" s="2"/>
      <c r="Z56" s="7">
        <f t="shared" si="31"/>
        <v>0.32965057211511645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si="24"/>
        <v>0</v>
      </c>
      <c r="G57" s="1"/>
      <c r="H57" s="1">
        <f>SUM(OSRRefH22_12x_0)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3"/>
      <c r="P57" s="1">
        <f>SUM(OSRRefP22_12x_0)</f>
        <v>39</v>
      </c>
      <c r="Q57" s="1"/>
      <c r="R57" s="5">
        <f t="shared" si="28"/>
        <v>0</v>
      </c>
      <c r="S57" s="1"/>
      <c r="T57" s="1">
        <f>SUM(OSRRefT22_12x_0)</f>
        <v>0</v>
      </c>
      <c r="U57" s="1"/>
      <c r="V57" s="5">
        <f t="shared" si="29"/>
        <v>0</v>
      </c>
      <c r="W57" s="1"/>
      <c r="X57" s="1">
        <f t="shared" si="30"/>
        <v>39</v>
      </c>
      <c r="Y57" s="1"/>
      <c r="Z57" s="5">
        <f t="shared" si="31"/>
        <v>0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39</v>
      </c>
      <c r="Q58" s="2"/>
      <c r="R58" s="7">
        <f t="shared" si="28"/>
        <v>0</v>
      </c>
      <c r="S58" s="2"/>
      <c r="T58" s="6"/>
      <c r="U58" s="2"/>
      <c r="V58" s="7">
        <f t="shared" si="29"/>
        <v>0</v>
      </c>
      <c r="W58" s="2"/>
      <c r="X58" s="6">
        <f t="shared" si="30"/>
        <v>39</v>
      </c>
      <c r="Y58" s="2"/>
      <c r="Z58" s="7">
        <f t="shared" si="31"/>
        <v>0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73.86</v>
      </c>
      <c r="E59" s="1"/>
      <c r="F59" s="5">
        <f t="shared" si="24"/>
        <v>0</v>
      </c>
      <c r="G59" s="1"/>
      <c r="H59" s="1">
        <f>SUM(OSRRefH22_13x_0)</f>
        <v>2688.81</v>
      </c>
      <c r="I59" s="1"/>
      <c r="J59" s="5">
        <f t="shared" si="25"/>
        <v>0</v>
      </c>
      <c r="K59" s="1"/>
      <c r="L59" s="1">
        <f t="shared" si="26"/>
        <v>-2614.9499999999998</v>
      </c>
      <c r="M59" s="1"/>
      <c r="N59" s="5">
        <f t="shared" si="27"/>
        <v>-0.97253059903823624</v>
      </c>
      <c r="O59" s="13"/>
      <c r="P59" s="1">
        <f>SUM(OSRRefP22_13x_0)</f>
        <v>6840.7699999999995</v>
      </c>
      <c r="Q59" s="1"/>
      <c r="R59" s="5">
        <f t="shared" si="28"/>
        <v>0</v>
      </c>
      <c r="S59" s="1"/>
      <c r="T59" s="1">
        <f>SUM(OSRRefT22_13x_0)</f>
        <v>17874.8</v>
      </c>
      <c r="U59" s="1"/>
      <c r="V59" s="5">
        <f t="shared" si="29"/>
        <v>0</v>
      </c>
      <c r="W59" s="1"/>
      <c r="X59" s="1">
        <f t="shared" si="30"/>
        <v>-11034.029999999999</v>
      </c>
      <c r="Y59" s="1"/>
      <c r="Z59" s="5">
        <f t="shared" si="31"/>
        <v>-0.61729529840893316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/>
      <c r="Q60" s="2"/>
      <c r="R60" s="7">
        <f t="shared" si="28"/>
        <v>0</v>
      </c>
      <c r="S60" s="2"/>
      <c r="T60" s="6">
        <v>2355.94</v>
      </c>
      <c r="U60" s="2"/>
      <c r="V60" s="7">
        <f t="shared" si="29"/>
        <v>0</v>
      </c>
      <c r="W60" s="2"/>
      <c r="X60" s="6">
        <f t="shared" si="30"/>
        <v>-2355.94</v>
      </c>
      <c r="Y60" s="2"/>
      <c r="Z60" s="7">
        <f t="shared" si="31"/>
        <v>-1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73.86</v>
      </c>
      <c r="E61" s="2"/>
      <c r="F61" s="7">
        <f t="shared" si="24"/>
        <v>0</v>
      </c>
      <c r="G61" s="2"/>
      <c r="H61" s="6">
        <v>2688.81</v>
      </c>
      <c r="I61" s="2"/>
      <c r="J61" s="7">
        <f t="shared" si="25"/>
        <v>0</v>
      </c>
      <c r="K61" s="2"/>
      <c r="L61" s="6">
        <f t="shared" si="26"/>
        <v>-2614.9499999999998</v>
      </c>
      <c r="M61" s="2"/>
      <c r="N61" s="7">
        <f t="shared" si="27"/>
        <v>-0.97253059903823624</v>
      </c>
      <c r="O61" s="11"/>
      <c r="P61" s="6">
        <v>6177.86</v>
      </c>
      <c r="Q61" s="2"/>
      <c r="R61" s="7">
        <f t="shared" si="28"/>
        <v>0</v>
      </c>
      <c r="S61" s="2"/>
      <c r="T61" s="6">
        <v>15517.670000000002</v>
      </c>
      <c r="U61" s="2"/>
      <c r="V61" s="7">
        <f t="shared" si="29"/>
        <v>0</v>
      </c>
      <c r="W61" s="2"/>
      <c r="X61" s="6">
        <f t="shared" si="30"/>
        <v>-9339.8100000000013</v>
      </c>
      <c r="Y61" s="2"/>
      <c r="Z61" s="7">
        <f t="shared" si="31"/>
        <v>-0.6018822413416447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>
        <v>662.91</v>
      </c>
      <c r="Q62" s="2"/>
      <c r="R62" s="7">
        <f t="shared" si="28"/>
        <v>0</v>
      </c>
      <c r="S62" s="2"/>
      <c r="T62" s="6">
        <v>1.19</v>
      </c>
      <c r="U62" s="2"/>
      <c r="V62" s="7">
        <f t="shared" si="29"/>
        <v>0</v>
      </c>
      <c r="W62" s="2"/>
      <c r="X62" s="6">
        <f t="shared" si="30"/>
        <v>661.71999999999991</v>
      </c>
      <c r="Y62" s="2"/>
      <c r="Z62" s="7">
        <f t="shared" si="31"/>
        <v>556.06722689075627</v>
      </c>
    </row>
    <row r="63" spans="1:26" s="27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430.85</v>
      </c>
      <c r="E63" s="1"/>
      <c r="F63" s="5">
        <f t="shared" ref="F63:F68" si="32">IF(D$12=0,0,D63/D$12)</f>
        <v>0</v>
      </c>
      <c r="G63" s="1"/>
      <c r="H63" s="1">
        <f>SUM(OSRRefH22_14x_0)</f>
        <v>373.2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57.650000000000034</v>
      </c>
      <c r="M63" s="1"/>
      <c r="N63" s="5">
        <f t="shared" ref="N63:N68" si="35">IF(H63=0,0,L63/H63)</f>
        <v>0.15447481243301189</v>
      </c>
      <c r="O63" s="13"/>
      <c r="P63" s="1">
        <f>SUM(OSRRefP22_14x_0)</f>
        <v>4546.3900000000003</v>
      </c>
      <c r="Q63" s="1"/>
      <c r="R63" s="5">
        <f t="shared" ref="R63:R68" si="36">IF(P$12=0,0,P63/P$12)</f>
        <v>0</v>
      </c>
      <c r="S63" s="1"/>
      <c r="T63" s="1">
        <f>SUM(OSRRefT22_14x_0)</f>
        <v>4082.9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463.49000000000024</v>
      </c>
      <c r="Y63" s="1"/>
      <c r="Z63" s="5">
        <f t="shared" ref="Z63:Z68" si="39">IF(T63=0,0,X63/T63)</f>
        <v>0.11351980210144756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430.85</v>
      </c>
      <c r="E64" s="2"/>
      <c r="F64" s="7">
        <f t="shared" si="32"/>
        <v>0</v>
      </c>
      <c r="G64" s="2"/>
      <c r="H64" s="6">
        <v>373.2</v>
      </c>
      <c r="I64" s="2"/>
      <c r="J64" s="7">
        <f t="shared" si="33"/>
        <v>0</v>
      </c>
      <c r="K64" s="2"/>
      <c r="L64" s="6">
        <f t="shared" si="34"/>
        <v>57.650000000000034</v>
      </c>
      <c r="M64" s="2"/>
      <c r="N64" s="7">
        <f t="shared" si="35"/>
        <v>0.15447481243301189</v>
      </c>
      <c r="O64" s="11"/>
      <c r="P64" s="6">
        <v>4546.3900000000003</v>
      </c>
      <c r="Q64" s="2"/>
      <c r="R64" s="7">
        <f t="shared" si="36"/>
        <v>0</v>
      </c>
      <c r="S64" s="2"/>
      <c r="T64" s="6">
        <v>4082.9</v>
      </c>
      <c r="U64" s="2"/>
      <c r="V64" s="7">
        <f t="shared" si="37"/>
        <v>0</v>
      </c>
      <c r="W64" s="2"/>
      <c r="X64" s="6">
        <f t="shared" si="38"/>
        <v>463.49000000000024</v>
      </c>
      <c r="Y64" s="2"/>
      <c r="Z64" s="7">
        <f t="shared" si="39"/>
        <v>0.11351980210144756</v>
      </c>
    </row>
    <row r="65" spans="1:26" s="27" customFormat="1" outlineLevel="1" collapsed="1" x14ac:dyDescent="0.25">
      <c r="A65" s="25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0</v>
      </c>
      <c r="E65" s="1"/>
      <c r="F65" s="5">
        <f t="shared" si="32"/>
        <v>0</v>
      </c>
      <c r="G65" s="1"/>
      <c r="H65" s="1">
        <f>SUM(OSRRefH22_15x_0)</f>
        <v>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3"/>
      <c r="P65" s="1">
        <f>SUM(OSRRefP22_15x_0)</f>
        <v>400.18</v>
      </c>
      <c r="Q65" s="1"/>
      <c r="R65" s="5">
        <f t="shared" si="36"/>
        <v>0</v>
      </c>
      <c r="S65" s="1"/>
      <c r="T65" s="1">
        <f>SUM(OSRRefT22_15x_0)</f>
        <v>5315.13</v>
      </c>
      <c r="U65" s="1"/>
      <c r="V65" s="5">
        <f t="shared" si="37"/>
        <v>0</v>
      </c>
      <c r="W65" s="1"/>
      <c r="X65" s="1">
        <f t="shared" si="38"/>
        <v>-4914.95</v>
      </c>
      <c r="Y65" s="1"/>
      <c r="Z65" s="5">
        <f t="shared" si="39"/>
        <v>-0.92470927333856368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400.18</v>
      </c>
      <c r="Q66" s="2"/>
      <c r="R66" s="7">
        <f t="shared" si="36"/>
        <v>0</v>
      </c>
      <c r="S66" s="2"/>
      <c r="T66" s="6">
        <v>5315.13</v>
      </c>
      <c r="U66" s="2"/>
      <c r="V66" s="7">
        <f t="shared" si="37"/>
        <v>0</v>
      </c>
      <c r="W66" s="2"/>
      <c r="X66" s="6">
        <f t="shared" si="38"/>
        <v>-4914.95</v>
      </c>
      <c r="Y66" s="2"/>
      <c r="Z66" s="7">
        <f t="shared" si="39"/>
        <v>-0.92470927333856368</v>
      </c>
    </row>
    <row r="67" spans="1:26" s="27" customFormat="1" outlineLevel="1" collapsed="1" x14ac:dyDescent="0.25">
      <c r="A67" s="25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0</v>
      </c>
      <c r="E67" s="1"/>
      <c r="F67" s="5">
        <f t="shared" si="32"/>
        <v>0</v>
      </c>
      <c r="G67" s="1"/>
      <c r="H67" s="1">
        <f>SUM(OSRRefH22_16x_0)</f>
        <v>0</v>
      </c>
      <c r="I67" s="1"/>
      <c r="J67" s="5">
        <f t="shared" si="33"/>
        <v>0</v>
      </c>
      <c r="K67" s="1"/>
      <c r="L67" s="1">
        <f t="shared" si="34"/>
        <v>0</v>
      </c>
      <c r="M67" s="1"/>
      <c r="N67" s="5">
        <f t="shared" si="35"/>
        <v>0</v>
      </c>
      <c r="O67" s="13"/>
      <c r="P67" s="1">
        <f>SUM(OSRRefP22_16x_0)</f>
        <v>0</v>
      </c>
      <c r="Q67" s="1"/>
      <c r="R67" s="5">
        <f t="shared" si="36"/>
        <v>0</v>
      </c>
      <c r="S67" s="1"/>
      <c r="T67" s="1">
        <f>SUM(OSRRefT22_16x_0)</f>
        <v>3.63</v>
      </c>
      <c r="U67" s="1"/>
      <c r="V67" s="5">
        <f t="shared" si="37"/>
        <v>0</v>
      </c>
      <c r="W67" s="1"/>
      <c r="X67" s="1">
        <f t="shared" si="38"/>
        <v>-3.63</v>
      </c>
      <c r="Y67" s="1"/>
      <c r="Z67" s="5">
        <f t="shared" si="39"/>
        <v>-1</v>
      </c>
    </row>
    <row r="68" spans="1:26" s="24" customFormat="1" hidden="1" outlineLevel="2" x14ac:dyDescent="0.25">
      <c r="A68" s="26"/>
      <c r="B68" s="11" t="str">
        <f>CONCATENATE("          ", "6294", " - ", "TRAVEL OPERATIONAL")</f>
        <v xml:space="preserve">          6294 - TRAVEL OPERATIONAL</v>
      </c>
      <c r="C68" s="11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1"/>
      <c r="P68" s="6"/>
      <c r="Q68" s="2"/>
      <c r="R68" s="7">
        <f t="shared" si="36"/>
        <v>0</v>
      </c>
      <c r="S68" s="2"/>
      <c r="T68" s="6">
        <v>3.63</v>
      </c>
      <c r="U68" s="2"/>
      <c r="V68" s="7">
        <f t="shared" si="37"/>
        <v>0</v>
      </c>
      <c r="W68" s="2"/>
      <c r="X68" s="6">
        <f t="shared" si="38"/>
        <v>-3.63</v>
      </c>
      <c r="Y68" s="2"/>
      <c r="Z68" s="7">
        <f t="shared" si="39"/>
        <v>-1</v>
      </c>
    </row>
    <row r="69" spans="1:26" s="58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3</v>
      </c>
      <c r="C72" s="29"/>
      <c r="D72" s="21">
        <f>+D16-D18+D70</f>
        <v>-30335.559999999998</v>
      </c>
      <c r="E72" s="14"/>
      <c r="F72" s="20">
        <f>IF(D$12=0,0,D72/D$12)</f>
        <v>0</v>
      </c>
      <c r="G72" s="14"/>
      <c r="H72" s="21">
        <f>+H16-H18+H70</f>
        <v>-55212.87999999999</v>
      </c>
      <c r="I72" s="14"/>
      <c r="J72" s="20">
        <f>IF(H$12=0,0,H72/H$12)</f>
        <v>0</v>
      </c>
      <c r="K72" s="16"/>
      <c r="L72" s="21">
        <f>+D72-H72</f>
        <v>24877.319999999992</v>
      </c>
      <c r="M72" s="16"/>
      <c r="N72" s="20">
        <f>IF(H72=0,0,L72/H72)</f>
        <v>-0.45057095373398376</v>
      </c>
      <c r="O72" s="28"/>
      <c r="P72" s="21">
        <f>+P16-P18+P70</f>
        <v>-536437.33000000007</v>
      </c>
      <c r="Q72" s="14"/>
      <c r="R72" s="20">
        <f>IF(P$12=0,0,P72/P$12)</f>
        <v>0</v>
      </c>
      <c r="S72" s="14"/>
      <c r="T72" s="21">
        <f>+T16-T18+T70</f>
        <v>-590458.25999999978</v>
      </c>
      <c r="U72" s="14"/>
      <c r="V72" s="20">
        <f>IF(T$12=0,0,T72/T$12)</f>
        <v>0</v>
      </c>
      <c r="W72" s="16"/>
      <c r="X72" s="21">
        <f>+P72-T72</f>
        <v>54020.929999999702</v>
      </c>
      <c r="Y72" s="16"/>
      <c r="Z72" s="20">
        <f>IF(T72=0,0,X72/T72)</f>
        <v>-9.1489837063164672E-2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4</v>
      </c>
      <c r="C76" s="29"/>
      <c r="D76" s="35">
        <f>+D72-D74</f>
        <v>-30335.559999999998</v>
      </c>
      <c r="E76" s="14"/>
      <c r="F76" s="32">
        <f>IF(D$12=0,0,D76/D$12)</f>
        <v>0</v>
      </c>
      <c r="G76" s="14"/>
      <c r="H76" s="35">
        <f>+H72-H74</f>
        <v>-55212.87999999999</v>
      </c>
      <c r="I76" s="14"/>
      <c r="J76" s="32">
        <f>IF(H$12=0,0,H76/H$12)</f>
        <v>0</v>
      </c>
      <c r="K76" s="16"/>
      <c r="L76" s="35">
        <f>D76-H76</f>
        <v>24877.319999999992</v>
      </c>
      <c r="M76" s="16"/>
      <c r="N76" s="32">
        <f>IF(H76=0,0,L76/H76)</f>
        <v>-0.45057095373398376</v>
      </c>
      <c r="O76" s="28"/>
      <c r="P76" s="35">
        <f>+P72-P74</f>
        <v>-536437.33000000007</v>
      </c>
      <c r="Q76" s="14"/>
      <c r="R76" s="32">
        <f>IF(P$12=0,0,P76/P$12)</f>
        <v>0</v>
      </c>
      <c r="S76" s="14"/>
      <c r="T76" s="35">
        <f>+T72-T74</f>
        <v>-590458.25999999978</v>
      </c>
      <c r="U76" s="14"/>
      <c r="V76" s="32">
        <f>IF(T$12=0,0,T76/T$12)</f>
        <v>0</v>
      </c>
      <c r="W76" s="16"/>
      <c r="X76" s="35">
        <f>P76-T76</f>
        <v>54020.929999999702</v>
      </c>
      <c r="Y76" s="16"/>
      <c r="Z76" s="32">
        <f>IF(T76=0,0,X76/T76)</f>
        <v>-9.1489837063164672E-2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5</v>
      </c>
      <c r="C79" s="29"/>
      <c r="D79" s="36">
        <f>SUM(D76:D78)</f>
        <v>-30335.559999999998</v>
      </c>
      <c r="E79" s="14"/>
      <c r="F79" s="33">
        <f>IF(D$12=0,0,D79/D$12)</f>
        <v>0</v>
      </c>
      <c r="G79" s="14"/>
      <c r="H79" s="36">
        <f>SUM(H76:H78)</f>
        <v>-55212.87999999999</v>
      </c>
      <c r="I79" s="14"/>
      <c r="J79" s="33">
        <f>IF(H$12=0,0,H79/H$12)</f>
        <v>0</v>
      </c>
      <c r="K79" s="16"/>
      <c r="L79" s="36">
        <f>+D79-H79</f>
        <v>24877.319999999992</v>
      </c>
      <c r="M79" s="16"/>
      <c r="N79" s="33">
        <f>IF(H79=0,0,L79/H79)</f>
        <v>-0.45057095373398376</v>
      </c>
      <c r="O79" s="28"/>
      <c r="P79" s="36">
        <f>SUM(P76:P78)</f>
        <v>-536437.33000000007</v>
      </c>
      <c r="Q79" s="14"/>
      <c r="R79" s="33">
        <f>IF(P$12=0,0,P79/P$12)</f>
        <v>0</v>
      </c>
      <c r="S79" s="14"/>
      <c r="T79" s="36">
        <f>SUM(T76:T78)</f>
        <v>-590458.25999999978</v>
      </c>
      <c r="U79" s="14"/>
      <c r="V79" s="33">
        <f>IF(T$12=0,0,T79/T$12)</f>
        <v>0</v>
      </c>
      <c r="W79" s="16"/>
      <c r="X79" s="36">
        <f>+P79-T79</f>
        <v>54020.929999999702</v>
      </c>
      <c r="Y79" s="16"/>
      <c r="Z79" s="33">
        <f>IF(T79=0,0,X79/T79)</f>
        <v>-9.1489837063164672E-2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5">
        <v>43992.375164583333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 t="s">
        <v>313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3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46363.990000000005</v>
      </c>
      <c r="E18" s="22"/>
      <c r="F18" s="31">
        <f t="shared" ref="F18:F29" si="0">IF(D$12=0,0,D18/D$12)</f>
        <v>0</v>
      </c>
      <c r="G18" s="22"/>
      <c r="H18" s="22">
        <f>SUM(OSRRefH22x_0)</f>
        <v>52891.869999999995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-6527.8799999999901</v>
      </c>
      <c r="M18" s="4"/>
      <c r="N18" s="31">
        <f t="shared" ref="N18:N29" si="3">IF(H18=0,0,L18/H18)</f>
        <v>-0.1234193459221614</v>
      </c>
      <c r="O18" s="10"/>
      <c r="P18" s="22">
        <f>SUM(OSRRefP22x_0)</f>
        <v>758327.4</v>
      </c>
      <c r="Q18" s="22"/>
      <c r="R18" s="31">
        <f t="shared" ref="R18:R29" si="4">IF(P$12=0,0,P18/P$12)</f>
        <v>0</v>
      </c>
      <c r="S18" s="22"/>
      <c r="T18" s="22">
        <f>SUM(OSRRefT22x_0)</f>
        <v>664894.88000000012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93432.519999999902</v>
      </c>
      <c r="Y18" s="4"/>
      <c r="Z18" s="31">
        <f t="shared" ref="Z18:Z29" si="7">IF(T18=0,0,X18/T18)</f>
        <v>0.14052224315518852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11125.470000000001</v>
      </c>
      <c r="E19" s="1"/>
      <c r="F19" s="5">
        <f t="shared" si="0"/>
        <v>0</v>
      </c>
      <c r="G19" s="1"/>
      <c r="H19" s="1">
        <f>SUM(OSRRefH22_0x_0)</f>
        <v>12548.92</v>
      </c>
      <c r="I19" s="1"/>
      <c r="J19" s="5">
        <f t="shared" si="1"/>
        <v>0</v>
      </c>
      <c r="K19" s="1"/>
      <c r="L19" s="1">
        <f t="shared" si="2"/>
        <v>-1423.4499999999989</v>
      </c>
      <c r="M19" s="1"/>
      <c r="N19" s="5">
        <f t="shared" si="3"/>
        <v>-0.11343207224207333</v>
      </c>
      <c r="O19" s="13"/>
      <c r="P19" s="1">
        <f>SUM(OSRRefP22_0x_0)</f>
        <v>155489.66999999998</v>
      </c>
      <c r="Q19" s="1"/>
      <c r="R19" s="5">
        <f t="shared" si="4"/>
        <v>0</v>
      </c>
      <c r="S19" s="1"/>
      <c r="T19" s="1">
        <f>SUM(OSRRefT22_0x_0)</f>
        <v>122579.94</v>
      </c>
      <c r="U19" s="1"/>
      <c r="V19" s="5">
        <f t="shared" si="5"/>
        <v>0</v>
      </c>
      <c r="W19" s="1"/>
      <c r="X19" s="1">
        <f t="shared" si="6"/>
        <v>32909.729999999981</v>
      </c>
      <c r="Y19" s="1"/>
      <c r="Z19" s="5">
        <f t="shared" si="7"/>
        <v>0.26847565759944064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1961.51</v>
      </c>
      <c r="E20" s="2"/>
      <c r="F20" s="7">
        <f t="shared" si="0"/>
        <v>0</v>
      </c>
      <c r="G20" s="2"/>
      <c r="H20" s="6">
        <v>2309.5</v>
      </c>
      <c r="I20" s="2"/>
      <c r="J20" s="7">
        <f t="shared" si="1"/>
        <v>0</v>
      </c>
      <c r="K20" s="2"/>
      <c r="L20" s="6">
        <f t="shared" si="2"/>
        <v>-347.99</v>
      </c>
      <c r="M20" s="2"/>
      <c r="N20" s="7">
        <f t="shared" si="3"/>
        <v>-0.15067763585191601</v>
      </c>
      <c r="O20" s="11"/>
      <c r="P20" s="6">
        <v>24896.09</v>
      </c>
      <c r="Q20" s="2"/>
      <c r="R20" s="7">
        <f t="shared" si="4"/>
        <v>0</v>
      </c>
      <c r="S20" s="2"/>
      <c r="T20" s="6">
        <v>19281.809999999998</v>
      </c>
      <c r="U20" s="2"/>
      <c r="V20" s="7">
        <f t="shared" si="5"/>
        <v>0</v>
      </c>
      <c r="W20" s="2"/>
      <c r="X20" s="6">
        <f t="shared" si="6"/>
        <v>5614.2800000000025</v>
      </c>
      <c r="Y20" s="2"/>
      <c r="Z20" s="7">
        <f t="shared" si="7"/>
        <v>0.29116976051522153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131.43</v>
      </c>
      <c r="E21" s="2"/>
      <c r="F21" s="7">
        <f t="shared" si="0"/>
        <v>0</v>
      </c>
      <c r="G21" s="2"/>
      <c r="H21" s="6">
        <v>63.99</v>
      </c>
      <c r="I21" s="2"/>
      <c r="J21" s="7">
        <f t="shared" si="1"/>
        <v>0</v>
      </c>
      <c r="K21" s="2"/>
      <c r="L21" s="6">
        <f t="shared" si="2"/>
        <v>67.44</v>
      </c>
      <c r="M21" s="2"/>
      <c r="N21" s="7">
        <f t="shared" si="3"/>
        <v>1.0539146741678387</v>
      </c>
      <c r="O21" s="11"/>
      <c r="P21" s="6">
        <v>978.43</v>
      </c>
      <c r="Q21" s="2"/>
      <c r="R21" s="7">
        <f t="shared" si="4"/>
        <v>0</v>
      </c>
      <c r="S21" s="2"/>
      <c r="T21" s="6">
        <v>717.48</v>
      </c>
      <c r="U21" s="2"/>
      <c r="V21" s="7">
        <f t="shared" si="5"/>
        <v>0</v>
      </c>
      <c r="W21" s="2"/>
      <c r="X21" s="6">
        <f t="shared" si="6"/>
        <v>260.94999999999993</v>
      </c>
      <c r="Y21" s="2"/>
      <c r="Z21" s="7">
        <f t="shared" si="7"/>
        <v>0.3637035178680938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5859.1</v>
      </c>
      <c r="I22" s="2"/>
      <c r="J22" s="7">
        <f t="shared" si="1"/>
        <v>0</v>
      </c>
      <c r="K22" s="2"/>
      <c r="L22" s="6">
        <f t="shared" si="2"/>
        <v>232.56999999999971</v>
      </c>
      <c r="M22" s="2"/>
      <c r="N22" s="7">
        <f t="shared" si="3"/>
        <v>3.9693809629465227E-2</v>
      </c>
      <c r="O22" s="11"/>
      <c r="P22" s="6">
        <v>67707.41</v>
      </c>
      <c r="Q22" s="2"/>
      <c r="R22" s="7">
        <f t="shared" si="4"/>
        <v>0</v>
      </c>
      <c r="S22" s="2"/>
      <c r="T22" s="6">
        <v>62029.100000000006</v>
      </c>
      <c r="U22" s="2"/>
      <c r="V22" s="7">
        <f t="shared" si="5"/>
        <v>0</v>
      </c>
      <c r="W22" s="2"/>
      <c r="X22" s="6">
        <f t="shared" si="6"/>
        <v>5678.3099999999977</v>
      </c>
      <c r="Y22" s="2"/>
      <c r="Z22" s="7">
        <f t="shared" si="7"/>
        <v>9.1542679161877208E-2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100.5</v>
      </c>
      <c r="E23" s="2"/>
      <c r="F23" s="7">
        <f t="shared" si="0"/>
        <v>0</v>
      </c>
      <c r="G23" s="2"/>
      <c r="H23" s="6">
        <v>53.67</v>
      </c>
      <c r="I23" s="2"/>
      <c r="J23" s="7">
        <f t="shared" si="1"/>
        <v>0</v>
      </c>
      <c r="K23" s="2"/>
      <c r="L23" s="6">
        <f t="shared" si="2"/>
        <v>46.83</v>
      </c>
      <c r="M23" s="2"/>
      <c r="N23" s="7">
        <f t="shared" si="3"/>
        <v>0.87255449972051424</v>
      </c>
      <c r="O23" s="11"/>
      <c r="P23" s="6">
        <v>846.89</v>
      </c>
      <c r="Q23" s="2"/>
      <c r="R23" s="7">
        <f t="shared" si="4"/>
        <v>0</v>
      </c>
      <c r="S23" s="2"/>
      <c r="T23" s="6">
        <v>679.54</v>
      </c>
      <c r="U23" s="2"/>
      <c r="V23" s="7">
        <f t="shared" si="5"/>
        <v>0</v>
      </c>
      <c r="W23" s="2"/>
      <c r="X23" s="6">
        <f t="shared" si="6"/>
        <v>167.35000000000002</v>
      </c>
      <c r="Y23" s="2"/>
      <c r="Z23" s="7">
        <f t="shared" si="7"/>
        <v>0.24626953527386178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1011.34</v>
      </c>
      <c r="E24" s="2"/>
      <c r="F24" s="7">
        <f t="shared" si="0"/>
        <v>0</v>
      </c>
      <c r="G24" s="2"/>
      <c r="H24" s="6">
        <v>727.17</v>
      </c>
      <c r="I24" s="2"/>
      <c r="J24" s="7">
        <f t="shared" si="1"/>
        <v>0</v>
      </c>
      <c r="K24" s="2"/>
      <c r="L24" s="6">
        <f t="shared" si="2"/>
        <v>284.17000000000007</v>
      </c>
      <c r="M24" s="2"/>
      <c r="N24" s="7">
        <f t="shared" si="3"/>
        <v>0.39078894893903776</v>
      </c>
      <c r="O24" s="11"/>
      <c r="P24" s="6">
        <v>13643.81</v>
      </c>
      <c r="Q24" s="2"/>
      <c r="R24" s="7">
        <f t="shared" si="4"/>
        <v>0</v>
      </c>
      <c r="S24" s="2"/>
      <c r="T24" s="6">
        <v>10133.44</v>
      </c>
      <c r="U24" s="2"/>
      <c r="V24" s="7">
        <f t="shared" si="5"/>
        <v>0</v>
      </c>
      <c r="W24" s="2"/>
      <c r="X24" s="6">
        <f t="shared" si="6"/>
        <v>3510.369999999999</v>
      </c>
      <c r="Y24" s="2"/>
      <c r="Z24" s="7">
        <f t="shared" si="7"/>
        <v>0.34641444563741425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4936.88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4936.88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468.85</v>
      </c>
      <c r="E26" s="2"/>
      <c r="F26" s="7">
        <f t="shared" si="0"/>
        <v>0</v>
      </c>
      <c r="G26" s="2"/>
      <c r="H26" s="6">
        <v>429.85</v>
      </c>
      <c r="I26" s="2"/>
      <c r="J26" s="7">
        <f t="shared" si="1"/>
        <v>0</v>
      </c>
      <c r="K26" s="2"/>
      <c r="L26" s="6">
        <f t="shared" si="2"/>
        <v>39</v>
      </c>
      <c r="M26" s="2"/>
      <c r="N26" s="7">
        <f t="shared" si="3"/>
        <v>9.0729324182854482E-2</v>
      </c>
      <c r="O26" s="11"/>
      <c r="P26" s="6">
        <v>5252.34</v>
      </c>
      <c r="Q26" s="2"/>
      <c r="R26" s="7">
        <f t="shared" si="4"/>
        <v>0</v>
      </c>
      <c r="S26" s="2"/>
      <c r="T26" s="6">
        <v>3724.28</v>
      </c>
      <c r="U26" s="2"/>
      <c r="V26" s="7">
        <f t="shared" si="5"/>
        <v>0</v>
      </c>
      <c r="W26" s="2"/>
      <c r="X26" s="6">
        <f t="shared" si="6"/>
        <v>1528.06</v>
      </c>
      <c r="Y26" s="2"/>
      <c r="Z26" s="7">
        <f t="shared" si="7"/>
        <v>0.41029675534599974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459.43</v>
      </c>
      <c r="E27" s="2"/>
      <c r="F27" s="7">
        <f t="shared" si="0"/>
        <v>0</v>
      </c>
      <c r="G27" s="2"/>
      <c r="H27" s="6">
        <v>1572.9</v>
      </c>
      <c r="I27" s="2"/>
      <c r="J27" s="7">
        <f t="shared" si="1"/>
        <v>0</v>
      </c>
      <c r="K27" s="2"/>
      <c r="L27" s="6">
        <f t="shared" si="2"/>
        <v>-1113.47</v>
      </c>
      <c r="M27" s="2"/>
      <c r="N27" s="7">
        <f t="shared" si="3"/>
        <v>-0.70790895797571363</v>
      </c>
      <c r="O27" s="11"/>
      <c r="P27" s="6">
        <v>19896.02</v>
      </c>
      <c r="Q27" s="2"/>
      <c r="R27" s="7">
        <f t="shared" si="4"/>
        <v>0</v>
      </c>
      <c r="S27" s="2"/>
      <c r="T27" s="6">
        <v>12821.44</v>
      </c>
      <c r="U27" s="2"/>
      <c r="V27" s="7">
        <f t="shared" si="5"/>
        <v>0</v>
      </c>
      <c r="W27" s="2"/>
      <c r="X27" s="6">
        <f t="shared" si="6"/>
        <v>7074.58</v>
      </c>
      <c r="Y27" s="2"/>
      <c r="Z27" s="7">
        <f t="shared" si="7"/>
        <v>0.55177733546309926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900.74</v>
      </c>
      <c r="E28" s="2"/>
      <c r="F28" s="7">
        <f t="shared" si="0"/>
        <v>0</v>
      </c>
      <c r="G28" s="2"/>
      <c r="H28" s="6">
        <v>1136.1600000000001</v>
      </c>
      <c r="I28" s="2"/>
      <c r="J28" s="7">
        <f t="shared" si="1"/>
        <v>0</v>
      </c>
      <c r="K28" s="2"/>
      <c r="L28" s="6">
        <f t="shared" si="2"/>
        <v>-235.42000000000007</v>
      </c>
      <c r="M28" s="2"/>
      <c r="N28" s="7">
        <f t="shared" si="3"/>
        <v>-0.20720673144627522</v>
      </c>
      <c r="O28" s="11"/>
      <c r="P28" s="6">
        <v>13678.84</v>
      </c>
      <c r="Q28" s="2"/>
      <c r="R28" s="7">
        <f t="shared" si="4"/>
        <v>0</v>
      </c>
      <c r="S28" s="2"/>
      <c r="T28" s="6">
        <v>9019.5300000000007</v>
      </c>
      <c r="U28" s="2"/>
      <c r="V28" s="7">
        <f t="shared" si="5"/>
        <v>0</v>
      </c>
      <c r="W28" s="2"/>
      <c r="X28" s="6">
        <f t="shared" si="6"/>
        <v>4659.3099999999995</v>
      </c>
      <c r="Y28" s="2"/>
      <c r="Z28" s="7">
        <f t="shared" si="7"/>
        <v>0.51658013222418453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396.58</v>
      </c>
      <c r="I29" s="2"/>
      <c r="J29" s="7">
        <f t="shared" si="1"/>
        <v>0</v>
      </c>
      <c r="K29" s="2"/>
      <c r="L29" s="6">
        <f t="shared" si="2"/>
        <v>-396.58</v>
      </c>
      <c r="M29" s="2"/>
      <c r="N29" s="7">
        <f t="shared" si="3"/>
        <v>-1</v>
      </c>
      <c r="O29" s="11"/>
      <c r="P29" s="6">
        <v>3652.96</v>
      </c>
      <c r="Q29" s="2"/>
      <c r="R29" s="7">
        <f t="shared" si="4"/>
        <v>0</v>
      </c>
      <c r="S29" s="2"/>
      <c r="T29" s="6">
        <v>4173.32</v>
      </c>
      <c r="U29" s="2"/>
      <c r="V29" s="7">
        <f t="shared" si="5"/>
        <v>0</v>
      </c>
      <c r="W29" s="2"/>
      <c r="X29" s="6">
        <f t="shared" si="6"/>
        <v>-520.35999999999967</v>
      </c>
      <c r="Y29" s="2"/>
      <c r="Z29" s="7">
        <f t="shared" si="7"/>
        <v>-0.12468729932044505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25368.91</v>
      </c>
      <c r="E30" s="1"/>
      <c r="F30" s="5">
        <f t="shared" ref="F30:F35" si="8">IF(D$12=0,0,D30/D$12)</f>
        <v>0</v>
      </c>
      <c r="G30" s="1"/>
      <c r="H30" s="1">
        <f>SUM(OSRRefH22_1x_0)</f>
        <v>24998.33</v>
      </c>
      <c r="I30" s="1"/>
      <c r="J30" s="5">
        <f t="shared" ref="J30:J35" si="9">IF(H$12=0,0,H30/H$12)</f>
        <v>0</v>
      </c>
      <c r="K30" s="1"/>
      <c r="L30" s="1">
        <f t="shared" ref="L30:L35" si="10">+D30-H30</f>
        <v>370.57999999999811</v>
      </c>
      <c r="M30" s="1"/>
      <c r="N30" s="5">
        <f t="shared" ref="N30:N35" si="11">IF(H30=0,0,L30/H30)</f>
        <v>1.4824190255909017E-2</v>
      </c>
      <c r="O30" s="13"/>
      <c r="P30" s="1">
        <f>SUM(OSRRefP22_1x_0)</f>
        <v>298728.62</v>
      </c>
      <c r="Q30" s="1"/>
      <c r="R30" s="5">
        <f t="shared" ref="R30:R35" si="12">IF(P$12=0,0,P30/P$12)</f>
        <v>0</v>
      </c>
      <c r="S30" s="1"/>
      <c r="T30" s="1">
        <f>SUM(OSRRefT22_1x_0)</f>
        <v>239758.41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58970.209999999992</v>
      </c>
      <c r="Y30" s="1"/>
      <c r="Z30" s="5">
        <f t="shared" ref="Z30:Z35" si="15">IF(T30=0,0,X30/T30)</f>
        <v>0.24595679459168915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9894.68</v>
      </c>
      <c r="E31" s="2"/>
      <c r="F31" s="7">
        <f t="shared" si="8"/>
        <v>0</v>
      </c>
      <c r="G31" s="2"/>
      <c r="H31" s="6">
        <v>8887.84</v>
      </c>
      <c r="I31" s="2"/>
      <c r="J31" s="7">
        <f t="shared" si="9"/>
        <v>0</v>
      </c>
      <c r="K31" s="2"/>
      <c r="L31" s="6">
        <f t="shared" si="10"/>
        <v>1006.8400000000001</v>
      </c>
      <c r="M31" s="2"/>
      <c r="N31" s="7">
        <f t="shared" si="11"/>
        <v>0.11328286737835067</v>
      </c>
      <c r="O31" s="11"/>
      <c r="P31" s="6">
        <v>102949.62</v>
      </c>
      <c r="Q31" s="2"/>
      <c r="R31" s="7">
        <f t="shared" si="12"/>
        <v>0</v>
      </c>
      <c r="S31" s="2"/>
      <c r="T31" s="6">
        <v>88104.450000000012</v>
      </c>
      <c r="U31" s="2"/>
      <c r="V31" s="7">
        <f t="shared" si="13"/>
        <v>0</v>
      </c>
      <c r="W31" s="2"/>
      <c r="X31" s="6">
        <f t="shared" si="14"/>
        <v>14845.169999999984</v>
      </c>
      <c r="Y31" s="2"/>
      <c r="Z31" s="7">
        <f t="shared" si="15"/>
        <v>0.1684951214155469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21069.18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21069.18</v>
      </c>
      <c r="Y32" s="2"/>
      <c r="Z32" s="7">
        <f t="shared" si="15"/>
        <v>0</v>
      </c>
    </row>
    <row r="33" spans="1:26" s="24" customFormat="1" hidden="1" outlineLevel="2" x14ac:dyDescent="0.25">
      <c r="A33" s="26"/>
      <c r="B33" s="11" t="str">
        <f>CONCATENATE("          ", "6004", " - ", "STAFF HOURLY")</f>
        <v xml:space="preserve">          6004 - STAFF HOURLY</v>
      </c>
      <c r="C33" s="11"/>
      <c r="D33" s="6">
        <v>9180.11</v>
      </c>
      <c r="E33" s="2"/>
      <c r="F33" s="7">
        <f t="shared" si="8"/>
        <v>0</v>
      </c>
      <c r="G33" s="2"/>
      <c r="H33" s="6">
        <v>12519.88</v>
      </c>
      <c r="I33" s="2"/>
      <c r="J33" s="7">
        <f t="shared" si="9"/>
        <v>0</v>
      </c>
      <c r="K33" s="2"/>
      <c r="L33" s="6">
        <f t="shared" si="10"/>
        <v>-3339.7699999999986</v>
      </c>
      <c r="M33" s="2"/>
      <c r="N33" s="7">
        <f t="shared" si="11"/>
        <v>-0.26675734911197224</v>
      </c>
      <c r="O33" s="11"/>
      <c r="P33" s="6">
        <v>111494</v>
      </c>
      <c r="Q33" s="2"/>
      <c r="R33" s="7">
        <f t="shared" si="12"/>
        <v>0</v>
      </c>
      <c r="S33" s="2"/>
      <c r="T33" s="6">
        <v>96836.67</v>
      </c>
      <c r="U33" s="2"/>
      <c r="V33" s="7">
        <f t="shared" si="13"/>
        <v>0</v>
      </c>
      <c r="W33" s="2"/>
      <c r="X33" s="6">
        <f t="shared" si="14"/>
        <v>14657.330000000002</v>
      </c>
      <c r="Y33" s="2"/>
      <c r="Z33" s="7">
        <f t="shared" si="15"/>
        <v>0.15136135928672478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6294.12</v>
      </c>
      <c r="E34" s="2"/>
      <c r="F34" s="7">
        <f t="shared" si="8"/>
        <v>0</v>
      </c>
      <c r="G34" s="2"/>
      <c r="H34" s="6">
        <v>4776.1099999999997</v>
      </c>
      <c r="I34" s="2"/>
      <c r="J34" s="7">
        <f t="shared" si="9"/>
        <v>0</v>
      </c>
      <c r="K34" s="2"/>
      <c r="L34" s="6">
        <f t="shared" si="10"/>
        <v>1518.0100000000002</v>
      </c>
      <c r="M34" s="2"/>
      <c r="N34" s="7">
        <f t="shared" si="11"/>
        <v>0.31783396948562748</v>
      </c>
      <c r="O34" s="11"/>
      <c r="P34" s="6">
        <v>63215.82</v>
      </c>
      <c r="Q34" s="2"/>
      <c r="R34" s="7">
        <f t="shared" si="12"/>
        <v>0</v>
      </c>
      <c r="S34" s="2"/>
      <c r="T34" s="6">
        <v>38684.85</v>
      </c>
      <c r="U34" s="2"/>
      <c r="V34" s="7">
        <f t="shared" si="13"/>
        <v>0</v>
      </c>
      <c r="W34" s="2"/>
      <c r="X34" s="6">
        <f t="shared" si="14"/>
        <v>24530.97</v>
      </c>
      <c r="Y34" s="2"/>
      <c r="Z34" s="7">
        <f t="shared" si="15"/>
        <v>0.63412343591871245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-1185.5</v>
      </c>
      <c r="I35" s="2"/>
      <c r="J35" s="7">
        <f t="shared" si="9"/>
        <v>0</v>
      </c>
      <c r="K35" s="2"/>
      <c r="L35" s="6">
        <f t="shared" si="10"/>
        <v>1185.5</v>
      </c>
      <c r="M35" s="2"/>
      <c r="N35" s="7">
        <f t="shared" si="11"/>
        <v>-1</v>
      </c>
      <c r="O35" s="11"/>
      <c r="P35" s="6">
        <v>0</v>
      </c>
      <c r="Q35" s="2"/>
      <c r="R35" s="7">
        <f t="shared" si="12"/>
        <v>0</v>
      </c>
      <c r="S35" s="2"/>
      <c r="T35" s="6">
        <v>16132.44</v>
      </c>
      <c r="U35" s="2"/>
      <c r="V35" s="7">
        <f t="shared" si="13"/>
        <v>0</v>
      </c>
      <c r="W35" s="2"/>
      <c r="X35" s="6">
        <f t="shared" si="14"/>
        <v>-16132.44</v>
      </c>
      <c r="Y35" s="2"/>
      <c r="Z35" s="7">
        <f t="shared" si="15"/>
        <v>-1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3" si="16">IF(D$12=0,0,D36/D$12)</f>
        <v>0</v>
      </c>
      <c r="G36" s="1"/>
      <c r="H36" s="1">
        <f>SUM(OSRRefH22_2x_0)</f>
        <v>385.02</v>
      </c>
      <c r="I36" s="1"/>
      <c r="J36" s="5">
        <f t="shared" ref="J36:J53" si="17">IF(H$12=0,0,H36/H$12)</f>
        <v>0</v>
      </c>
      <c r="K36" s="1"/>
      <c r="L36" s="1">
        <f t="shared" ref="L36:L53" si="18">+D36-H36</f>
        <v>-385.02</v>
      </c>
      <c r="M36" s="1"/>
      <c r="N36" s="5">
        <f t="shared" ref="N36:N53" si="19">IF(H36=0,0,L36/H36)</f>
        <v>-1</v>
      </c>
      <c r="O36" s="13"/>
      <c r="P36" s="1">
        <f>SUM(OSRRefP22_2x_0)</f>
        <v>1556.04</v>
      </c>
      <c r="Q36" s="1"/>
      <c r="R36" s="5">
        <f t="shared" ref="R36:R53" si="20">IF(P$12=0,0,P36/P$12)</f>
        <v>0</v>
      </c>
      <c r="S36" s="1"/>
      <c r="T36" s="1">
        <f>SUM(OSRRefT22_2x_0)</f>
        <v>4507.1499999999996</v>
      </c>
      <c r="U36" s="1"/>
      <c r="V36" s="5">
        <f t="shared" ref="V36:V53" si="21">IF(T$12=0,0,T36/T$12)</f>
        <v>0</v>
      </c>
      <c r="W36" s="1"/>
      <c r="X36" s="1">
        <f t="shared" ref="X36:X53" si="22">+P36-T36</f>
        <v>-2951.1099999999997</v>
      </c>
      <c r="Y36" s="1"/>
      <c r="Z36" s="5">
        <f t="shared" ref="Z36:Z53" si="23">IF(T36=0,0,X36/T36)</f>
        <v>-0.65476187834884569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385.02</v>
      </c>
      <c r="I37" s="2"/>
      <c r="J37" s="7">
        <f t="shared" si="17"/>
        <v>0</v>
      </c>
      <c r="K37" s="2"/>
      <c r="L37" s="6">
        <f t="shared" si="18"/>
        <v>-385.02</v>
      </c>
      <c r="M37" s="2"/>
      <c r="N37" s="7">
        <f t="shared" si="19"/>
        <v>-1</v>
      </c>
      <c r="O37" s="11"/>
      <c r="P37" s="6">
        <v>1556.04</v>
      </c>
      <c r="Q37" s="2"/>
      <c r="R37" s="7">
        <f t="shared" si="20"/>
        <v>0</v>
      </c>
      <c r="S37" s="2"/>
      <c r="T37" s="6">
        <v>4507.1499999999996</v>
      </c>
      <c r="U37" s="2"/>
      <c r="V37" s="7">
        <f t="shared" si="21"/>
        <v>0</v>
      </c>
      <c r="W37" s="2"/>
      <c r="X37" s="6">
        <f t="shared" si="22"/>
        <v>-2951.1099999999997</v>
      </c>
      <c r="Y37" s="2"/>
      <c r="Z37" s="7">
        <f t="shared" si="23"/>
        <v>-0.65476187834884569</v>
      </c>
    </row>
    <row r="38" spans="1:26" s="27" customFormat="1" outlineLevel="1" collapsed="1" x14ac:dyDescent="0.25">
      <c r="A38" s="25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224.17</v>
      </c>
      <c r="I38" s="1"/>
      <c r="J38" s="5">
        <f t="shared" si="17"/>
        <v>0</v>
      </c>
      <c r="K38" s="1"/>
      <c r="L38" s="1">
        <f t="shared" si="18"/>
        <v>-224.17</v>
      </c>
      <c r="M38" s="1"/>
      <c r="N38" s="5">
        <f t="shared" si="19"/>
        <v>-1</v>
      </c>
      <c r="O38" s="13"/>
      <c r="P38" s="1">
        <f>SUM(OSRRefP22_3x_0)</f>
        <v>2017.57</v>
      </c>
      <c r="Q38" s="1"/>
      <c r="R38" s="5">
        <f t="shared" si="20"/>
        <v>0</v>
      </c>
      <c r="S38" s="1"/>
      <c r="T38" s="1">
        <f>SUM(OSRRefT22_3x_0)</f>
        <v>2465.87</v>
      </c>
      <c r="U38" s="1"/>
      <c r="V38" s="5">
        <f t="shared" si="21"/>
        <v>0</v>
      </c>
      <c r="W38" s="1"/>
      <c r="X38" s="1">
        <f t="shared" si="22"/>
        <v>-448.29999999999995</v>
      </c>
      <c r="Y38" s="1"/>
      <c r="Z38" s="5">
        <f t="shared" si="23"/>
        <v>-0.18180196036287394</v>
      </c>
    </row>
    <row r="39" spans="1:26" s="24" customFormat="1" hidden="1" outlineLevel="2" x14ac:dyDescent="0.25">
      <c r="A39" s="26"/>
      <c r="B39" s="11" t="str">
        <f>CONCATENATE("          ", "6322", " - ", "EQUIPMENT DEPRECIATION EXPENSE")</f>
        <v xml:space="preserve">          6322 - EQUIPMENT DEPRECIATION EXPENSE</v>
      </c>
      <c r="C39" s="11"/>
      <c r="D39" s="6"/>
      <c r="E39" s="2"/>
      <c r="F39" s="7">
        <f t="shared" si="16"/>
        <v>0</v>
      </c>
      <c r="G39" s="2"/>
      <c r="H39" s="6">
        <v>224.17</v>
      </c>
      <c r="I39" s="2"/>
      <c r="J39" s="7">
        <f t="shared" si="17"/>
        <v>0</v>
      </c>
      <c r="K39" s="2"/>
      <c r="L39" s="6">
        <f t="shared" si="18"/>
        <v>-224.17</v>
      </c>
      <c r="M39" s="2"/>
      <c r="N39" s="7">
        <f t="shared" si="19"/>
        <v>-1</v>
      </c>
      <c r="O39" s="11"/>
      <c r="P39" s="6">
        <v>2017.57</v>
      </c>
      <c r="Q39" s="2"/>
      <c r="R39" s="7">
        <f t="shared" si="20"/>
        <v>0</v>
      </c>
      <c r="S39" s="2"/>
      <c r="T39" s="6">
        <v>2465.87</v>
      </c>
      <c r="U39" s="2"/>
      <c r="V39" s="7">
        <f t="shared" si="21"/>
        <v>0</v>
      </c>
      <c r="W39" s="2"/>
      <c r="X39" s="6">
        <f t="shared" si="22"/>
        <v>-448.29999999999995</v>
      </c>
      <c r="Y39" s="2"/>
      <c r="Z39" s="7">
        <f t="shared" si="23"/>
        <v>-0.18180196036287394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436.6</v>
      </c>
      <c r="I40" s="1"/>
      <c r="J40" s="5">
        <f t="shared" si="17"/>
        <v>0</v>
      </c>
      <c r="K40" s="1"/>
      <c r="L40" s="1">
        <f t="shared" si="18"/>
        <v>-436.6</v>
      </c>
      <c r="M40" s="1"/>
      <c r="N40" s="5">
        <f t="shared" si="19"/>
        <v>-1</v>
      </c>
      <c r="O40" s="13"/>
      <c r="P40" s="1">
        <f>SUM(OSRRefP22_4x_0)</f>
        <v>29521.939999999995</v>
      </c>
      <c r="Q40" s="1"/>
      <c r="R40" s="5">
        <f t="shared" si="20"/>
        <v>0</v>
      </c>
      <c r="S40" s="1"/>
      <c r="T40" s="1">
        <f>SUM(OSRRefT22_4x_0)</f>
        <v>46498.44</v>
      </c>
      <c r="U40" s="1"/>
      <c r="V40" s="5">
        <f t="shared" si="21"/>
        <v>0</v>
      </c>
      <c r="W40" s="1"/>
      <c r="X40" s="1">
        <f t="shared" si="22"/>
        <v>-16976.500000000007</v>
      </c>
      <c r="Y40" s="1"/>
      <c r="Z40" s="5">
        <f t="shared" si="23"/>
        <v>-0.36509826996346556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16"/>
        <v>0</v>
      </c>
      <c r="G41" s="2"/>
      <c r="H41" s="6">
        <v>436.6</v>
      </c>
      <c r="I41" s="2"/>
      <c r="J41" s="7">
        <f t="shared" si="17"/>
        <v>0</v>
      </c>
      <c r="K41" s="2"/>
      <c r="L41" s="6">
        <f t="shared" si="18"/>
        <v>-436.6</v>
      </c>
      <c r="M41" s="2"/>
      <c r="N41" s="7">
        <f t="shared" si="19"/>
        <v>-1</v>
      </c>
      <c r="O41" s="11"/>
      <c r="P41" s="6">
        <v>29521.939999999995</v>
      </c>
      <c r="Q41" s="2"/>
      <c r="R41" s="7">
        <f t="shared" si="20"/>
        <v>0</v>
      </c>
      <c r="S41" s="2"/>
      <c r="T41" s="6">
        <v>46498.44</v>
      </c>
      <c r="U41" s="2"/>
      <c r="V41" s="7">
        <f t="shared" si="21"/>
        <v>0</v>
      </c>
      <c r="W41" s="2"/>
      <c r="X41" s="6">
        <f t="shared" si="22"/>
        <v>-16976.500000000007</v>
      </c>
      <c r="Y41" s="2"/>
      <c r="Z41" s="7">
        <f t="shared" si="23"/>
        <v>-0.36509826996346556</v>
      </c>
    </row>
    <row r="42" spans="1:26" s="27" customFormat="1" outlineLevel="1" collapsed="1" x14ac:dyDescent="0.25">
      <c r="A42" s="25"/>
      <c r="B42" s="13" t="str">
        <f>CONCATENATE("     ","Equipment Rental                                  ")</f>
        <v xml:space="preserve">     Equipment Rental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91.26</v>
      </c>
      <c r="I42" s="1"/>
      <c r="J42" s="5">
        <f t="shared" si="17"/>
        <v>0</v>
      </c>
      <c r="K42" s="1"/>
      <c r="L42" s="1">
        <f t="shared" si="18"/>
        <v>-91.26</v>
      </c>
      <c r="M42" s="1"/>
      <c r="N42" s="5">
        <f t="shared" si="19"/>
        <v>-1</v>
      </c>
      <c r="O42" s="13"/>
      <c r="P42" s="1">
        <f>SUM(OSRRefP22_5x_0)</f>
        <v>273.77999999999997</v>
      </c>
      <c r="Q42" s="1"/>
      <c r="R42" s="5">
        <f t="shared" si="20"/>
        <v>0</v>
      </c>
      <c r="S42" s="1"/>
      <c r="T42" s="1">
        <f>SUM(OSRRefT22_5x_0)</f>
        <v>1003.86</v>
      </c>
      <c r="U42" s="1"/>
      <c r="V42" s="5">
        <f t="shared" si="21"/>
        <v>0</v>
      </c>
      <c r="W42" s="1"/>
      <c r="X42" s="1">
        <f t="shared" si="22"/>
        <v>-730.08</v>
      </c>
      <c r="Y42" s="1"/>
      <c r="Z42" s="5">
        <f t="shared" si="23"/>
        <v>-0.72727272727272729</v>
      </c>
    </row>
    <row r="43" spans="1:26" s="24" customFormat="1" hidden="1" outlineLevel="2" x14ac:dyDescent="0.25">
      <c r="A43" s="26"/>
      <c r="B43" s="11" t="str">
        <f>CONCATENATE("          ", "6351", " - ", "EQUIPMENT RENTAL")</f>
        <v xml:space="preserve">          6351 - EQUIPMENT RENTAL</v>
      </c>
      <c r="C43" s="11"/>
      <c r="D43" s="6"/>
      <c r="E43" s="2"/>
      <c r="F43" s="7">
        <f t="shared" si="16"/>
        <v>0</v>
      </c>
      <c r="G43" s="2"/>
      <c r="H43" s="6">
        <v>91.26</v>
      </c>
      <c r="I43" s="2"/>
      <c r="J43" s="7">
        <f t="shared" si="17"/>
        <v>0</v>
      </c>
      <c r="K43" s="2"/>
      <c r="L43" s="6">
        <f t="shared" si="18"/>
        <v>-91.26</v>
      </c>
      <c r="M43" s="2"/>
      <c r="N43" s="7">
        <f t="shared" si="19"/>
        <v>-1</v>
      </c>
      <c r="O43" s="11"/>
      <c r="P43" s="6">
        <v>273.77999999999997</v>
      </c>
      <c r="Q43" s="2"/>
      <c r="R43" s="7">
        <f t="shared" si="20"/>
        <v>0</v>
      </c>
      <c r="S43" s="2"/>
      <c r="T43" s="6">
        <v>1003.86</v>
      </c>
      <c r="U43" s="2"/>
      <c r="V43" s="7">
        <f t="shared" si="21"/>
        <v>0</v>
      </c>
      <c r="W43" s="2"/>
      <c r="X43" s="6">
        <f t="shared" si="22"/>
        <v>-730.08</v>
      </c>
      <c r="Y43" s="2"/>
      <c r="Z43" s="7">
        <f t="shared" si="23"/>
        <v>-0.72727272727272729</v>
      </c>
    </row>
    <row r="44" spans="1:26" s="27" customFormat="1" outlineLevel="1" collapsed="1" x14ac:dyDescent="0.25">
      <c r="A44" s="25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SUM(OSRRefD22_6x_0)</f>
        <v>51</v>
      </c>
      <c r="E44" s="1"/>
      <c r="F44" s="5">
        <f t="shared" si="16"/>
        <v>0</v>
      </c>
      <c r="G44" s="1"/>
      <c r="H44" s="1">
        <f>SUM(OSRRefH22_6x_0)</f>
        <v>34.25</v>
      </c>
      <c r="I44" s="1"/>
      <c r="J44" s="5">
        <f t="shared" si="17"/>
        <v>0</v>
      </c>
      <c r="K44" s="1"/>
      <c r="L44" s="1">
        <f t="shared" si="18"/>
        <v>16.75</v>
      </c>
      <c r="M44" s="1"/>
      <c r="N44" s="5">
        <f t="shared" si="19"/>
        <v>0.48905109489051096</v>
      </c>
      <c r="O44" s="13"/>
      <c r="P44" s="1">
        <f>SUM(OSRRefP22_6x_0)</f>
        <v>1115.5</v>
      </c>
      <c r="Q44" s="1"/>
      <c r="R44" s="5">
        <f t="shared" si="20"/>
        <v>0</v>
      </c>
      <c r="S44" s="1"/>
      <c r="T44" s="1">
        <f>SUM(OSRRefT22_6x_0)</f>
        <v>1470.88</v>
      </c>
      <c r="U44" s="1"/>
      <c r="V44" s="5">
        <f t="shared" si="21"/>
        <v>0</v>
      </c>
      <c r="W44" s="1"/>
      <c r="X44" s="1">
        <f t="shared" si="22"/>
        <v>-355.38000000000011</v>
      </c>
      <c r="Y44" s="1"/>
      <c r="Z44" s="5">
        <f t="shared" si="23"/>
        <v>-0.24161046448384646</v>
      </c>
    </row>
    <row r="45" spans="1:26" s="24" customFormat="1" hidden="1" outlineLevel="2" x14ac:dyDescent="0.25">
      <c r="A45" s="26"/>
      <c r="B45" s="11" t="str">
        <f>CONCATENATE("          ", "6307", " - ", "POSTAGE")</f>
        <v xml:space="preserve">          6307 - POSTAGE</v>
      </c>
      <c r="C45" s="11"/>
      <c r="D45" s="6">
        <v>51</v>
      </c>
      <c r="E45" s="2"/>
      <c r="F45" s="7">
        <f t="shared" si="16"/>
        <v>0</v>
      </c>
      <c r="G45" s="2"/>
      <c r="H45" s="6">
        <v>34.25</v>
      </c>
      <c r="I45" s="2"/>
      <c r="J45" s="7">
        <f t="shared" si="17"/>
        <v>0</v>
      </c>
      <c r="K45" s="2"/>
      <c r="L45" s="6">
        <f t="shared" si="18"/>
        <v>16.75</v>
      </c>
      <c r="M45" s="2"/>
      <c r="N45" s="7">
        <f t="shared" si="19"/>
        <v>0.48905109489051096</v>
      </c>
      <c r="O45" s="11"/>
      <c r="P45" s="6">
        <v>1115.5</v>
      </c>
      <c r="Q45" s="2"/>
      <c r="R45" s="7">
        <f t="shared" si="20"/>
        <v>0</v>
      </c>
      <c r="S45" s="2"/>
      <c r="T45" s="6">
        <v>1470.88</v>
      </c>
      <c r="U45" s="2"/>
      <c r="V45" s="7">
        <f t="shared" si="21"/>
        <v>0</v>
      </c>
      <c r="W45" s="2"/>
      <c r="X45" s="6">
        <f t="shared" si="22"/>
        <v>-355.38000000000011</v>
      </c>
      <c r="Y45" s="2"/>
      <c r="Z45" s="7">
        <f t="shared" si="23"/>
        <v>-0.24161046448384646</v>
      </c>
    </row>
    <row r="46" spans="1:26" s="27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SUM(OSRRefD22_7x_0)</f>
        <v>0</v>
      </c>
      <c r="E46" s="1"/>
      <c r="F46" s="5">
        <f t="shared" si="16"/>
        <v>0</v>
      </c>
      <c r="G46" s="1"/>
      <c r="H46" s="1">
        <f>SUM(OSRRefH22_7x_0)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SUM(OSRRefP22_7x_0)</f>
        <v>700</v>
      </c>
      <c r="Q46" s="1"/>
      <c r="R46" s="5">
        <f t="shared" si="20"/>
        <v>0</v>
      </c>
      <c r="S46" s="1"/>
      <c r="T46" s="1">
        <f>SUM(OSRRefT22_7x_0)</f>
        <v>700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700</v>
      </c>
      <c r="Q47" s="2"/>
      <c r="R47" s="7">
        <f t="shared" si="20"/>
        <v>0</v>
      </c>
      <c r="S47" s="2"/>
      <c r="T47" s="6">
        <v>700</v>
      </c>
      <c r="U47" s="2"/>
      <c r="V47" s="7">
        <f t="shared" si="21"/>
        <v>0</v>
      </c>
      <c r="W47" s="2"/>
      <c r="X47" s="6">
        <f t="shared" si="22"/>
        <v>0</v>
      </c>
      <c r="Y47" s="2"/>
      <c r="Z47" s="7">
        <f t="shared" si="23"/>
        <v>0</v>
      </c>
    </row>
    <row r="48" spans="1:26" s="27" customFormat="1" outlineLevel="1" collapsed="1" x14ac:dyDescent="0.25">
      <c r="A48" s="25"/>
      <c r="B48" s="13" t="str">
        <f>CONCATENATE("     ","Insurance                                         ")</f>
        <v xml:space="preserve">     Insurance                                         </v>
      </c>
      <c r="C48" s="13"/>
      <c r="D48" s="1">
        <f>SUM(OSRRefD22_8x_0)</f>
        <v>65.47</v>
      </c>
      <c r="E48" s="1"/>
      <c r="F48" s="5">
        <f t="shared" si="16"/>
        <v>0</v>
      </c>
      <c r="G48" s="1"/>
      <c r="H48" s="1">
        <f>SUM(OSRRefH22_8x_0)</f>
        <v>61.68</v>
      </c>
      <c r="I48" s="1"/>
      <c r="J48" s="5">
        <f t="shared" si="17"/>
        <v>0</v>
      </c>
      <c r="K48" s="1"/>
      <c r="L48" s="1">
        <f t="shared" si="18"/>
        <v>3.7899999999999991</v>
      </c>
      <c r="M48" s="1"/>
      <c r="N48" s="5">
        <f t="shared" si="19"/>
        <v>6.1446173800259393E-2</v>
      </c>
      <c r="O48" s="13"/>
      <c r="P48" s="1">
        <f>SUM(OSRRefP22_8x_0)</f>
        <v>720.17</v>
      </c>
      <c r="Q48" s="1"/>
      <c r="R48" s="5">
        <f t="shared" si="20"/>
        <v>0</v>
      </c>
      <c r="S48" s="1"/>
      <c r="T48" s="1">
        <f>SUM(OSRRefT22_8x_0)</f>
        <v>568.41999999999996</v>
      </c>
      <c r="U48" s="1"/>
      <c r="V48" s="5">
        <f t="shared" si="21"/>
        <v>0</v>
      </c>
      <c r="W48" s="1"/>
      <c r="X48" s="1">
        <f t="shared" si="22"/>
        <v>151.75</v>
      </c>
      <c r="Y48" s="1"/>
      <c r="Z48" s="5">
        <f t="shared" si="23"/>
        <v>0.26696808697793889</v>
      </c>
    </row>
    <row r="49" spans="1:26" s="24" customFormat="1" hidden="1" outlineLevel="2" x14ac:dyDescent="0.25">
      <c r="A49" s="26"/>
      <c r="B49" s="11" t="str">
        <f>CONCATENATE("          ", "6314", " - ", "LIABILITY INSURANCE")</f>
        <v xml:space="preserve">          6314 - LIABILITY INSURANCE</v>
      </c>
      <c r="C49" s="11"/>
      <c r="D49" s="6">
        <v>65.47</v>
      </c>
      <c r="E49" s="2"/>
      <c r="F49" s="7">
        <f t="shared" si="16"/>
        <v>0</v>
      </c>
      <c r="G49" s="2"/>
      <c r="H49" s="6">
        <v>61.68</v>
      </c>
      <c r="I49" s="2"/>
      <c r="J49" s="7">
        <f t="shared" si="17"/>
        <v>0</v>
      </c>
      <c r="K49" s="2"/>
      <c r="L49" s="6">
        <f t="shared" si="18"/>
        <v>3.7899999999999991</v>
      </c>
      <c r="M49" s="2"/>
      <c r="N49" s="7">
        <f t="shared" si="19"/>
        <v>6.1446173800259393E-2</v>
      </c>
      <c r="O49" s="11"/>
      <c r="P49" s="6">
        <v>720.17</v>
      </c>
      <c r="Q49" s="2"/>
      <c r="R49" s="7">
        <f t="shared" si="20"/>
        <v>0</v>
      </c>
      <c r="S49" s="2"/>
      <c r="T49" s="6">
        <v>568.41999999999996</v>
      </c>
      <c r="U49" s="2"/>
      <c r="V49" s="7">
        <f t="shared" si="21"/>
        <v>0</v>
      </c>
      <c r="W49" s="2"/>
      <c r="X49" s="6">
        <f t="shared" si="22"/>
        <v>151.75</v>
      </c>
      <c r="Y49" s="2"/>
      <c r="Z49" s="7">
        <f t="shared" si="23"/>
        <v>0.26696808697793889</v>
      </c>
    </row>
    <row r="50" spans="1:26" s="27" customFormat="1" outlineLevel="1" collapsed="1" x14ac:dyDescent="0.25">
      <c r="A50" s="25"/>
      <c r="B50" s="13" t="str">
        <f>CONCATENATE("     ","Professional Services                             ")</f>
        <v xml:space="preserve">     Professional Services                             </v>
      </c>
      <c r="C50" s="13"/>
      <c r="D50" s="1">
        <f>SUM(OSRRefD22_9x_0)</f>
        <v>0</v>
      </c>
      <c r="E50" s="1"/>
      <c r="F50" s="5">
        <f t="shared" si="16"/>
        <v>0</v>
      </c>
      <c r="G50" s="1"/>
      <c r="H50" s="1">
        <f>SUM(OSRRefH22_9x_0)</f>
        <v>0</v>
      </c>
      <c r="I50" s="1"/>
      <c r="J50" s="5">
        <f t="shared" si="17"/>
        <v>0</v>
      </c>
      <c r="K50" s="1"/>
      <c r="L50" s="1">
        <f t="shared" si="18"/>
        <v>0</v>
      </c>
      <c r="M50" s="1"/>
      <c r="N50" s="5">
        <f t="shared" si="19"/>
        <v>0</v>
      </c>
      <c r="O50" s="13"/>
      <c r="P50" s="1">
        <f>SUM(OSRRefP22_9x_0)</f>
        <v>88938.52</v>
      </c>
      <c r="Q50" s="1"/>
      <c r="R50" s="5">
        <f t="shared" si="20"/>
        <v>0</v>
      </c>
      <c r="S50" s="1"/>
      <c r="T50" s="1">
        <f>SUM(OSRRefT22_9x_0)</f>
        <v>54328.490000000005</v>
      </c>
      <c r="U50" s="1"/>
      <c r="V50" s="5">
        <f t="shared" si="21"/>
        <v>0</v>
      </c>
      <c r="W50" s="1"/>
      <c r="X50" s="1">
        <f t="shared" si="22"/>
        <v>34610.03</v>
      </c>
      <c r="Y50" s="1"/>
      <c r="Z50" s="5">
        <f t="shared" si="23"/>
        <v>0.63705120462578646</v>
      </c>
    </row>
    <row r="51" spans="1:26" s="24" customFormat="1" hidden="1" outlineLevel="2" x14ac:dyDescent="0.25">
      <c r="A51" s="26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>
        <v>21750</v>
      </c>
      <c r="Q51" s="2"/>
      <c r="R51" s="7">
        <f t="shared" si="20"/>
        <v>0</v>
      </c>
      <c r="S51" s="2"/>
      <c r="T51" s="6">
        <v>41800</v>
      </c>
      <c r="U51" s="2"/>
      <c r="V51" s="7">
        <f t="shared" si="21"/>
        <v>0</v>
      </c>
      <c r="W51" s="2"/>
      <c r="X51" s="6">
        <f t="shared" si="22"/>
        <v>-20050</v>
      </c>
      <c r="Y51" s="2"/>
      <c r="Z51" s="7">
        <f t="shared" si="23"/>
        <v>-0.47966507177033491</v>
      </c>
    </row>
    <row r="52" spans="1:26" s="24" customFormat="1" hidden="1" outlineLevel="2" x14ac:dyDescent="0.25">
      <c r="A52" s="26"/>
      <c r="B52" s="11" t="str">
        <f>CONCATENATE("          ", "6334", " - ", "LEGAL COUNCIL EXPENSE")</f>
        <v xml:space="preserve">          6334 - LEGAL COUNCIL EXPENSE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38010</v>
      </c>
      <c r="Q52" s="2"/>
      <c r="R52" s="7">
        <f t="shared" si="20"/>
        <v>0</v>
      </c>
      <c r="S52" s="2"/>
      <c r="T52" s="6">
        <v>1142.79</v>
      </c>
      <c r="U52" s="2"/>
      <c r="V52" s="7">
        <f t="shared" si="21"/>
        <v>0</v>
      </c>
      <c r="W52" s="2"/>
      <c r="X52" s="6">
        <f t="shared" si="22"/>
        <v>36867.21</v>
      </c>
      <c r="Y52" s="2"/>
      <c r="Z52" s="7">
        <f t="shared" si="23"/>
        <v>32.2607040663639</v>
      </c>
    </row>
    <row r="53" spans="1:26" s="24" customFormat="1" hidden="1" outlineLevel="2" x14ac:dyDescent="0.25">
      <c r="A53" s="26"/>
      <c r="B53" s="11" t="str">
        <f>CONCATENATE("          ", "6336", " - ", "PROFESSIONAL SERVICES")</f>
        <v xml:space="preserve">          6336 - PROFESSIONAL SERVICES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>
        <v>29178.52</v>
      </c>
      <c r="Q53" s="2"/>
      <c r="R53" s="7">
        <f t="shared" si="20"/>
        <v>0</v>
      </c>
      <c r="S53" s="2"/>
      <c r="T53" s="6">
        <v>11385.7</v>
      </c>
      <c r="U53" s="2"/>
      <c r="V53" s="7">
        <f t="shared" si="21"/>
        <v>0</v>
      </c>
      <c r="W53" s="2"/>
      <c r="X53" s="6">
        <f t="shared" si="22"/>
        <v>17792.82</v>
      </c>
      <c r="Y53" s="2"/>
      <c r="Z53" s="7">
        <f t="shared" si="23"/>
        <v>1.5627339557515127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9480.17</v>
      </c>
      <c r="E54" s="1"/>
      <c r="F54" s="5">
        <f t="shared" ref="F54:F56" si="24">IF(D$12=0,0,D54/D$12)</f>
        <v>0</v>
      </c>
      <c r="G54" s="1"/>
      <c r="H54" s="1">
        <f>SUM(OSRRefH22_10x_0)</f>
        <v>12366.61</v>
      </c>
      <c r="I54" s="1"/>
      <c r="J54" s="5">
        <f t="shared" ref="J54:J56" si="25">IF(H$12=0,0,H54/H$12)</f>
        <v>0</v>
      </c>
      <c r="K54" s="1"/>
      <c r="L54" s="1">
        <f t="shared" ref="L54:L56" si="26">+D54-H54</f>
        <v>-2886.4400000000005</v>
      </c>
      <c r="M54" s="1"/>
      <c r="N54" s="5">
        <f t="shared" ref="N54:N56" si="27">IF(H54=0,0,L54/H54)</f>
        <v>-0.2334059212670247</v>
      </c>
      <c r="O54" s="13"/>
      <c r="P54" s="1">
        <f>SUM(OSRRefP22_10x_0)</f>
        <v>143916.38</v>
      </c>
      <c r="Q54" s="1"/>
      <c r="R54" s="5">
        <f t="shared" ref="R54:R56" si="28">IF(P$12=0,0,P54/P$12)</f>
        <v>0</v>
      </c>
      <c r="S54" s="1"/>
      <c r="T54" s="1">
        <f>SUM(OSRRefT22_10x_0)</f>
        <v>146230.70000000001</v>
      </c>
      <c r="U54" s="1"/>
      <c r="V54" s="5">
        <f t="shared" ref="V54:V56" si="29">IF(T$12=0,0,T54/T$12)</f>
        <v>0</v>
      </c>
      <c r="W54" s="1"/>
      <c r="X54" s="1">
        <f t="shared" ref="X54:X56" si="30">+P54-T54</f>
        <v>-2314.320000000007</v>
      </c>
      <c r="Y54" s="1"/>
      <c r="Z54" s="5">
        <f t="shared" ref="Z54:Z56" si="31">IF(T54=0,0,X54/T54)</f>
        <v>-1.582649881317676E-2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6">
        <v>9346.2199999999993</v>
      </c>
      <c r="E55" s="2"/>
      <c r="F55" s="7">
        <f t="shared" si="24"/>
        <v>0</v>
      </c>
      <c r="G55" s="2"/>
      <c r="H55" s="6">
        <v>12348.36</v>
      </c>
      <c r="I55" s="2"/>
      <c r="J55" s="7">
        <f t="shared" si="25"/>
        <v>0</v>
      </c>
      <c r="K55" s="2"/>
      <c r="L55" s="6">
        <f t="shared" si="26"/>
        <v>-3002.1400000000012</v>
      </c>
      <c r="M55" s="2"/>
      <c r="N55" s="7">
        <f t="shared" si="27"/>
        <v>-0.24312054394267749</v>
      </c>
      <c r="O55" s="11"/>
      <c r="P55" s="6">
        <v>143088.76</v>
      </c>
      <c r="Q55" s="2"/>
      <c r="R55" s="7">
        <f t="shared" si="28"/>
        <v>0</v>
      </c>
      <c r="S55" s="2"/>
      <c r="T55" s="6">
        <v>143142.28</v>
      </c>
      <c r="U55" s="2"/>
      <c r="V55" s="7">
        <f t="shared" si="29"/>
        <v>0</v>
      </c>
      <c r="W55" s="2"/>
      <c r="X55" s="6">
        <f t="shared" si="30"/>
        <v>-53.519999999989523</v>
      </c>
      <c r="Y55" s="2"/>
      <c r="Z55" s="7">
        <f t="shared" si="31"/>
        <v>-3.7389372308439914E-4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133.94999999999999</v>
      </c>
      <c r="E56" s="2"/>
      <c r="F56" s="7">
        <f t="shared" si="24"/>
        <v>0</v>
      </c>
      <c r="G56" s="2"/>
      <c r="H56" s="6">
        <v>18.25</v>
      </c>
      <c r="I56" s="2"/>
      <c r="J56" s="7">
        <f t="shared" si="25"/>
        <v>0</v>
      </c>
      <c r="K56" s="2"/>
      <c r="L56" s="6">
        <f t="shared" si="26"/>
        <v>115.69999999999999</v>
      </c>
      <c r="M56" s="2"/>
      <c r="N56" s="7">
        <f t="shared" si="27"/>
        <v>6.3397260273972593</v>
      </c>
      <c r="O56" s="11"/>
      <c r="P56" s="6">
        <v>827.62</v>
      </c>
      <c r="Q56" s="2"/>
      <c r="R56" s="7">
        <f t="shared" si="28"/>
        <v>0</v>
      </c>
      <c r="S56" s="2"/>
      <c r="T56" s="6">
        <v>3088.42</v>
      </c>
      <c r="U56" s="2"/>
      <c r="V56" s="7">
        <f t="shared" si="29"/>
        <v>0</v>
      </c>
      <c r="W56" s="2"/>
      <c r="X56" s="6">
        <f t="shared" si="30"/>
        <v>-2260.8000000000002</v>
      </c>
      <c r="Y56" s="2"/>
      <c r="Z56" s="7">
        <f t="shared" si="31"/>
        <v>-0.73202478937450222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0</v>
      </c>
      <c r="E57" s="1"/>
      <c r="F57" s="5">
        <f t="shared" ref="F57:F59" si="32">IF(D$12=0,0,D57/D$12)</f>
        <v>0</v>
      </c>
      <c r="G57" s="1"/>
      <c r="H57" s="1">
        <f>SUM(OSRRefH22_11x_0)</f>
        <v>0</v>
      </c>
      <c r="I57" s="1"/>
      <c r="J57" s="5">
        <f t="shared" ref="J57:J59" si="33">IF(H$12=0,0,H57/H$12)</f>
        <v>0</v>
      </c>
      <c r="K57" s="1"/>
      <c r="L57" s="1">
        <f t="shared" ref="L57:L59" si="34">+D57-H57</f>
        <v>0</v>
      </c>
      <c r="M57" s="1"/>
      <c r="N57" s="5">
        <f t="shared" ref="N57:N59" si="35">IF(H57=0,0,L57/H57)</f>
        <v>0</v>
      </c>
      <c r="O57" s="13"/>
      <c r="P57" s="1">
        <f>SUM(OSRRefP22_11x_0)</f>
        <v>587</v>
      </c>
      <c r="Q57" s="1"/>
      <c r="R57" s="5">
        <f t="shared" ref="R57:R59" si="36">IF(P$12=0,0,P57/P$12)</f>
        <v>0</v>
      </c>
      <c r="S57" s="1"/>
      <c r="T57" s="1">
        <f>SUM(OSRRefT22_11x_0)</f>
        <v>2473.0100000000002</v>
      </c>
      <c r="U57" s="1"/>
      <c r="V57" s="5">
        <f t="shared" ref="V57:V59" si="37">IF(T$12=0,0,T57/T$12)</f>
        <v>0</v>
      </c>
      <c r="W57" s="1"/>
      <c r="X57" s="1">
        <f t="shared" ref="X57:X59" si="38">+P57-T57</f>
        <v>-1886.0100000000002</v>
      </c>
      <c r="Y57" s="1"/>
      <c r="Z57" s="5">
        <f t="shared" ref="Z57:Z59" si="39">IF(T57=0,0,X57/T57)</f>
        <v>-0.7626374337345988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587</v>
      </c>
      <c r="Q58" s="2"/>
      <c r="R58" s="7">
        <f t="shared" si="36"/>
        <v>0</v>
      </c>
      <c r="S58" s="2"/>
      <c r="T58" s="6">
        <v>587</v>
      </c>
      <c r="U58" s="2"/>
      <c r="V58" s="7">
        <f t="shared" si="37"/>
        <v>0</v>
      </c>
      <c r="W58" s="2"/>
      <c r="X58" s="6">
        <f t="shared" si="38"/>
        <v>0</v>
      </c>
      <c r="Y58" s="2"/>
      <c r="Z58" s="7">
        <f t="shared" si="39"/>
        <v>0</v>
      </c>
    </row>
    <row r="59" spans="1:26" s="24" customFormat="1" hidden="1" outlineLevel="2" x14ac:dyDescent="0.25">
      <c r="A59" s="26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2"/>
        <v>0</v>
      </c>
      <c r="G59" s="2"/>
      <c r="H59" s="6"/>
      <c r="I59" s="2"/>
      <c r="J59" s="7">
        <f t="shared" si="33"/>
        <v>0</v>
      </c>
      <c r="K59" s="2"/>
      <c r="L59" s="6">
        <f t="shared" si="34"/>
        <v>0</v>
      </c>
      <c r="M59" s="2"/>
      <c r="N59" s="7">
        <f t="shared" si="35"/>
        <v>0</v>
      </c>
      <c r="O59" s="11"/>
      <c r="P59" s="6"/>
      <c r="Q59" s="2"/>
      <c r="R59" s="7">
        <f t="shared" si="36"/>
        <v>0</v>
      </c>
      <c r="S59" s="2"/>
      <c r="T59" s="6">
        <v>1886.01</v>
      </c>
      <c r="U59" s="2"/>
      <c r="V59" s="7">
        <f t="shared" si="37"/>
        <v>0</v>
      </c>
      <c r="W59" s="2"/>
      <c r="X59" s="6">
        <f t="shared" si="38"/>
        <v>-1886.01</v>
      </c>
      <c r="Y59" s="2"/>
      <c r="Z59" s="7">
        <f t="shared" si="39"/>
        <v>-1</v>
      </c>
    </row>
    <row r="60" spans="1:26" s="27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SUM(OSRRefD22_12x_0)</f>
        <v>46.57</v>
      </c>
      <c r="E60" s="1"/>
      <c r="F60" s="5">
        <f t="shared" ref="F60:F63" si="40">IF(D$12=0,0,D60/D$12)</f>
        <v>0</v>
      </c>
      <c r="G60" s="1"/>
      <c r="H60" s="1">
        <f>SUM(OSRRefH22_12x_0)</f>
        <v>1433.83</v>
      </c>
      <c r="I60" s="1"/>
      <c r="J60" s="5">
        <f t="shared" ref="J60:J63" si="41">IF(H$12=0,0,H60/H$12)</f>
        <v>0</v>
      </c>
      <c r="K60" s="1"/>
      <c r="L60" s="1">
        <f t="shared" ref="L60:L63" si="42">+D60-H60</f>
        <v>-1387.26</v>
      </c>
      <c r="M60" s="1"/>
      <c r="N60" s="5">
        <f t="shared" ref="N60:N63" si="43">IF(H60=0,0,L60/H60)</f>
        <v>-0.96752055683030769</v>
      </c>
      <c r="O60" s="13"/>
      <c r="P60" s="1">
        <f>SUM(OSRRefP22_12x_0)</f>
        <v>16911.580000000002</v>
      </c>
      <c r="Q60" s="1"/>
      <c r="R60" s="5">
        <f t="shared" ref="R60:R63" si="44">IF(P$12=0,0,P60/P$12)</f>
        <v>0</v>
      </c>
      <c r="S60" s="1"/>
      <c r="T60" s="1">
        <f>SUM(OSRRefT22_12x_0)</f>
        <v>21080.510000000002</v>
      </c>
      <c r="U60" s="1"/>
      <c r="V60" s="5">
        <f t="shared" ref="V60:V63" si="45">IF(T$12=0,0,T60/T$12)</f>
        <v>0</v>
      </c>
      <c r="W60" s="1"/>
      <c r="X60" s="1">
        <f t="shared" ref="X60:X63" si="46">+P60-T60</f>
        <v>-4168.93</v>
      </c>
      <c r="Y60" s="1"/>
      <c r="Z60" s="5">
        <f t="shared" ref="Z60:Z63" si="47">IF(T60=0,0,X60/T60)</f>
        <v>-0.19776229322725114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46.57</v>
      </c>
      <c r="E61" s="2"/>
      <c r="F61" s="7">
        <f t="shared" si="40"/>
        <v>0</v>
      </c>
      <c r="G61" s="2"/>
      <c r="H61" s="6">
        <v>1238.1099999999999</v>
      </c>
      <c r="I61" s="2"/>
      <c r="J61" s="7">
        <f t="shared" si="41"/>
        <v>0</v>
      </c>
      <c r="K61" s="2"/>
      <c r="L61" s="6">
        <f t="shared" si="42"/>
        <v>-1191.54</v>
      </c>
      <c r="M61" s="2"/>
      <c r="N61" s="7">
        <f t="shared" si="43"/>
        <v>-0.96238621770278898</v>
      </c>
      <c r="O61" s="11"/>
      <c r="P61" s="6">
        <v>12673.23</v>
      </c>
      <c r="Q61" s="2"/>
      <c r="R61" s="7">
        <f t="shared" si="44"/>
        <v>0</v>
      </c>
      <c r="S61" s="2"/>
      <c r="T61" s="6">
        <v>16047.36</v>
      </c>
      <c r="U61" s="2"/>
      <c r="V61" s="7">
        <f t="shared" si="45"/>
        <v>0</v>
      </c>
      <c r="W61" s="2"/>
      <c r="X61" s="6">
        <f t="shared" si="46"/>
        <v>-3374.130000000001</v>
      </c>
      <c r="Y61" s="2"/>
      <c r="Z61" s="7">
        <f t="shared" si="47"/>
        <v>-0.21026075317061504</v>
      </c>
    </row>
    <row r="62" spans="1:26" s="24" customFormat="1" hidden="1" outlineLevel="2" x14ac:dyDescent="0.25">
      <c r="A62" s="26"/>
      <c r="B62" s="11" t="str">
        <f>CONCATENATE("          ", "6244", " - ", "SAFETY SUPPLY EXPENSE")</f>
        <v xml:space="preserve">          6244 - SAFETY SUPPLY EXPENSE</v>
      </c>
      <c r="C62" s="11"/>
      <c r="D62" s="6"/>
      <c r="E62" s="2"/>
      <c r="F62" s="7">
        <f t="shared" si="40"/>
        <v>0</v>
      </c>
      <c r="G62" s="2"/>
      <c r="H62" s="6">
        <v>75</v>
      </c>
      <c r="I62" s="2"/>
      <c r="J62" s="7">
        <f t="shared" si="41"/>
        <v>0</v>
      </c>
      <c r="K62" s="2"/>
      <c r="L62" s="6">
        <f t="shared" si="42"/>
        <v>-75</v>
      </c>
      <c r="M62" s="2"/>
      <c r="N62" s="7">
        <f t="shared" si="43"/>
        <v>-1</v>
      </c>
      <c r="O62" s="11"/>
      <c r="P62" s="6">
        <v>2034.69</v>
      </c>
      <c r="Q62" s="2"/>
      <c r="R62" s="7">
        <f t="shared" si="44"/>
        <v>0</v>
      </c>
      <c r="S62" s="2"/>
      <c r="T62" s="6">
        <v>3587.48</v>
      </c>
      <c r="U62" s="2"/>
      <c r="V62" s="7">
        <f t="shared" si="45"/>
        <v>0</v>
      </c>
      <c r="W62" s="2"/>
      <c r="X62" s="6">
        <f t="shared" si="46"/>
        <v>-1552.79</v>
      </c>
      <c r="Y62" s="2"/>
      <c r="Z62" s="7">
        <f t="shared" si="47"/>
        <v>-0.43283586249958189</v>
      </c>
    </row>
    <row r="63" spans="1:26" s="24" customFormat="1" hidden="1" outlineLevel="2" x14ac:dyDescent="0.25">
      <c r="A63" s="26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40"/>
        <v>0</v>
      </c>
      <c r="G63" s="2"/>
      <c r="H63" s="6">
        <v>120.72</v>
      </c>
      <c r="I63" s="2"/>
      <c r="J63" s="7">
        <f t="shared" si="41"/>
        <v>0</v>
      </c>
      <c r="K63" s="2"/>
      <c r="L63" s="6">
        <f t="shared" si="42"/>
        <v>-120.72</v>
      </c>
      <c r="M63" s="2"/>
      <c r="N63" s="7">
        <f t="shared" si="43"/>
        <v>-1</v>
      </c>
      <c r="O63" s="11"/>
      <c r="P63" s="6">
        <v>2203.66</v>
      </c>
      <c r="Q63" s="2"/>
      <c r="R63" s="7">
        <f t="shared" si="44"/>
        <v>0</v>
      </c>
      <c r="S63" s="2"/>
      <c r="T63" s="6">
        <v>1445.67</v>
      </c>
      <c r="U63" s="2"/>
      <c r="V63" s="7">
        <f t="shared" si="45"/>
        <v>0</v>
      </c>
      <c r="W63" s="2"/>
      <c r="X63" s="6">
        <f t="shared" si="46"/>
        <v>757.98999999999978</v>
      </c>
      <c r="Y63" s="2"/>
      <c r="Z63" s="7">
        <f t="shared" si="47"/>
        <v>0.52431744450669915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323.39999999999998</v>
      </c>
      <c r="E64" s="1"/>
      <c r="F64" s="5">
        <f t="shared" ref="F64:F69" si="48">IF(D$12=0,0,D64/D$12)</f>
        <v>0</v>
      </c>
      <c r="G64" s="1"/>
      <c r="H64" s="1">
        <f>SUM(OSRRefH22_13x_0)</f>
        <v>311.2</v>
      </c>
      <c r="I64" s="1"/>
      <c r="J64" s="5">
        <f t="shared" ref="J64:J69" si="49">IF(H$12=0,0,H64/H$12)</f>
        <v>0</v>
      </c>
      <c r="K64" s="1"/>
      <c r="L64" s="1">
        <f t="shared" ref="L64:L69" si="50">+D64-H64</f>
        <v>12.199999999999989</v>
      </c>
      <c r="M64" s="1"/>
      <c r="N64" s="5">
        <f t="shared" ref="N64:N69" si="51">IF(H64=0,0,L64/H64)</f>
        <v>3.9203084832904848E-2</v>
      </c>
      <c r="O64" s="13"/>
      <c r="P64" s="1">
        <f>SUM(OSRRefP22_13x_0)</f>
        <v>3738.82</v>
      </c>
      <c r="Q64" s="1"/>
      <c r="R64" s="5">
        <f t="shared" ref="R64:R69" si="52">IF(P$12=0,0,P64/P$12)</f>
        <v>0</v>
      </c>
      <c r="S64" s="1"/>
      <c r="T64" s="1">
        <f>SUM(OSRRefT22_13x_0)</f>
        <v>3670.55</v>
      </c>
      <c r="U64" s="1"/>
      <c r="V64" s="5">
        <f t="shared" ref="V64:V69" si="53">IF(T$12=0,0,T64/T$12)</f>
        <v>0</v>
      </c>
      <c r="W64" s="1"/>
      <c r="X64" s="1">
        <f t="shared" ref="X64:X69" si="54">+P64-T64</f>
        <v>68.269999999999982</v>
      </c>
      <c r="Y64" s="1"/>
      <c r="Z64" s="5">
        <f t="shared" ref="Z64:Z69" si="55">IF(T64=0,0,X64/T64)</f>
        <v>1.8599392461620186E-2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323.39999999999998</v>
      </c>
      <c r="E65" s="2"/>
      <c r="F65" s="7">
        <f t="shared" si="48"/>
        <v>0</v>
      </c>
      <c r="G65" s="2"/>
      <c r="H65" s="6">
        <v>311.2</v>
      </c>
      <c r="I65" s="2"/>
      <c r="J65" s="7">
        <f t="shared" si="49"/>
        <v>0</v>
      </c>
      <c r="K65" s="2"/>
      <c r="L65" s="6">
        <f t="shared" si="50"/>
        <v>12.199999999999989</v>
      </c>
      <c r="M65" s="2"/>
      <c r="N65" s="7">
        <f t="shared" si="51"/>
        <v>3.9203084832904848E-2</v>
      </c>
      <c r="O65" s="11"/>
      <c r="P65" s="6">
        <v>3738.82</v>
      </c>
      <c r="Q65" s="2"/>
      <c r="R65" s="7">
        <f t="shared" si="52"/>
        <v>0</v>
      </c>
      <c r="S65" s="2"/>
      <c r="T65" s="6">
        <v>3670.55</v>
      </c>
      <c r="U65" s="2"/>
      <c r="V65" s="7">
        <f t="shared" si="53"/>
        <v>0</v>
      </c>
      <c r="W65" s="2"/>
      <c r="X65" s="6">
        <f t="shared" si="54"/>
        <v>68.269999999999982</v>
      </c>
      <c r="Y65" s="2"/>
      <c r="Z65" s="7">
        <f t="shared" si="55"/>
        <v>1.8599392461620186E-2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-97</v>
      </c>
      <c r="E66" s="1"/>
      <c r="F66" s="5">
        <f t="shared" si="48"/>
        <v>0</v>
      </c>
      <c r="G66" s="1"/>
      <c r="H66" s="1">
        <f>SUM(OSRRefH22_14x_0)</f>
        <v>0</v>
      </c>
      <c r="I66" s="1"/>
      <c r="J66" s="5">
        <f t="shared" si="49"/>
        <v>0</v>
      </c>
      <c r="K66" s="1"/>
      <c r="L66" s="1">
        <f t="shared" si="50"/>
        <v>-97</v>
      </c>
      <c r="M66" s="1"/>
      <c r="N66" s="5">
        <f t="shared" si="51"/>
        <v>0</v>
      </c>
      <c r="O66" s="13"/>
      <c r="P66" s="1">
        <f>SUM(OSRRefP22_14x_0)</f>
        <v>10624.8</v>
      </c>
      <c r="Q66" s="1"/>
      <c r="R66" s="5">
        <f t="shared" si="52"/>
        <v>0</v>
      </c>
      <c r="S66" s="1"/>
      <c r="T66" s="1">
        <f>SUM(OSRRefT22_14x_0)</f>
        <v>11912.12</v>
      </c>
      <c r="U66" s="1"/>
      <c r="V66" s="5">
        <f t="shared" si="53"/>
        <v>0</v>
      </c>
      <c r="W66" s="1"/>
      <c r="X66" s="1">
        <f t="shared" si="54"/>
        <v>-1287.3200000000015</v>
      </c>
      <c r="Y66" s="1"/>
      <c r="Z66" s="5">
        <f t="shared" si="55"/>
        <v>-0.10806808527785158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>
        <v>-97</v>
      </c>
      <c r="E67" s="2"/>
      <c r="F67" s="7">
        <f t="shared" si="48"/>
        <v>0</v>
      </c>
      <c r="G67" s="2"/>
      <c r="H67" s="6"/>
      <c r="I67" s="2"/>
      <c r="J67" s="7">
        <f t="shared" si="49"/>
        <v>0</v>
      </c>
      <c r="K67" s="2"/>
      <c r="L67" s="6">
        <f t="shared" si="50"/>
        <v>-97</v>
      </c>
      <c r="M67" s="2"/>
      <c r="N67" s="7">
        <f t="shared" si="51"/>
        <v>0</v>
      </c>
      <c r="O67" s="11"/>
      <c r="P67" s="6">
        <v>10624.8</v>
      </c>
      <c r="Q67" s="2"/>
      <c r="R67" s="7">
        <f t="shared" si="52"/>
        <v>0</v>
      </c>
      <c r="S67" s="2"/>
      <c r="T67" s="6">
        <v>11912.12</v>
      </c>
      <c r="U67" s="2"/>
      <c r="V67" s="7">
        <f t="shared" si="53"/>
        <v>0</v>
      </c>
      <c r="W67" s="2"/>
      <c r="X67" s="6">
        <f t="shared" si="54"/>
        <v>-1287.3200000000015</v>
      </c>
      <c r="Y67" s="2"/>
      <c r="Z67" s="7">
        <f t="shared" si="55"/>
        <v>-0.10806808527785158</v>
      </c>
    </row>
    <row r="68" spans="1:26" s="27" customFormat="1" outlineLevel="1" collapsed="1" x14ac:dyDescent="0.25">
      <c r="A68" s="25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SUM(OSRRefD22_15x_0)</f>
        <v>0</v>
      </c>
      <c r="E68" s="1"/>
      <c r="F68" s="5">
        <f t="shared" si="48"/>
        <v>0</v>
      </c>
      <c r="G68" s="1"/>
      <c r="H68" s="1">
        <f>SUM(OSRRefH22_15x_0)</f>
        <v>0</v>
      </c>
      <c r="I68" s="1"/>
      <c r="J68" s="5">
        <f t="shared" si="49"/>
        <v>0</v>
      </c>
      <c r="K68" s="1"/>
      <c r="L68" s="1">
        <f t="shared" si="50"/>
        <v>0</v>
      </c>
      <c r="M68" s="1"/>
      <c r="N68" s="5">
        <f t="shared" si="51"/>
        <v>0</v>
      </c>
      <c r="O68" s="13"/>
      <c r="P68" s="1">
        <f>SUM(OSRRefP22_15x_0)</f>
        <v>3487.01</v>
      </c>
      <c r="Q68" s="1"/>
      <c r="R68" s="5">
        <f t="shared" si="52"/>
        <v>0</v>
      </c>
      <c r="S68" s="1"/>
      <c r="T68" s="1">
        <f>SUM(OSRRefT22_15x_0)</f>
        <v>5646.53</v>
      </c>
      <c r="U68" s="1"/>
      <c r="V68" s="5">
        <f t="shared" si="53"/>
        <v>0</v>
      </c>
      <c r="W68" s="1"/>
      <c r="X68" s="1">
        <f t="shared" si="54"/>
        <v>-2159.5199999999995</v>
      </c>
      <c r="Y68" s="1"/>
      <c r="Z68" s="5">
        <f t="shared" si="55"/>
        <v>-0.38245081492527261</v>
      </c>
    </row>
    <row r="69" spans="1:26" s="24" customFormat="1" hidden="1" outlineLevel="2" x14ac:dyDescent="0.25">
      <c r="A69" s="26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48"/>
        <v>0</v>
      </c>
      <c r="G69" s="2"/>
      <c r="H69" s="6"/>
      <c r="I69" s="2"/>
      <c r="J69" s="7">
        <f t="shared" si="49"/>
        <v>0</v>
      </c>
      <c r="K69" s="2"/>
      <c r="L69" s="6">
        <f t="shared" si="50"/>
        <v>0</v>
      </c>
      <c r="M69" s="2"/>
      <c r="N69" s="7">
        <f t="shared" si="51"/>
        <v>0</v>
      </c>
      <c r="O69" s="11"/>
      <c r="P69" s="6">
        <v>3487.01</v>
      </c>
      <c r="Q69" s="2"/>
      <c r="R69" s="7">
        <f t="shared" si="52"/>
        <v>0</v>
      </c>
      <c r="S69" s="2"/>
      <c r="T69" s="6">
        <v>5646.53</v>
      </c>
      <c r="U69" s="2"/>
      <c r="V69" s="7">
        <f t="shared" si="53"/>
        <v>0</v>
      </c>
      <c r="W69" s="2"/>
      <c r="X69" s="6">
        <f t="shared" si="54"/>
        <v>-2159.5199999999995</v>
      </c>
      <c r="Y69" s="2"/>
      <c r="Z69" s="7">
        <f t="shared" si="55"/>
        <v>-0.38245081492527261</v>
      </c>
    </row>
    <row r="70" spans="1:26" s="58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+D16-D18+D71</f>
        <v>-46363.990000000005</v>
      </c>
      <c r="E73" s="14"/>
      <c r="F73" s="20">
        <f>IF(D$12=0,0,D73/D$12)</f>
        <v>0</v>
      </c>
      <c r="G73" s="14"/>
      <c r="H73" s="21">
        <f>+H16-H18+H71</f>
        <v>-52891.869999999995</v>
      </c>
      <c r="I73" s="14"/>
      <c r="J73" s="20">
        <f>IF(H$12=0,0,H73/H$12)</f>
        <v>0</v>
      </c>
      <c r="K73" s="16"/>
      <c r="L73" s="21">
        <f>+D73-H73</f>
        <v>6527.8799999999901</v>
      </c>
      <c r="M73" s="16"/>
      <c r="N73" s="20">
        <f>IF(H73=0,0,L73/H73)</f>
        <v>-0.1234193459221614</v>
      </c>
      <c r="O73" s="28"/>
      <c r="P73" s="21">
        <f>+P16-P18+P71</f>
        <v>-758327.4</v>
      </c>
      <c r="Q73" s="14"/>
      <c r="R73" s="20">
        <f>IF(P$12=0,0,P73/P$12)</f>
        <v>0</v>
      </c>
      <c r="S73" s="14"/>
      <c r="T73" s="21">
        <f>+T16-T18+T71</f>
        <v>-664894.88000000012</v>
      </c>
      <c r="U73" s="14"/>
      <c r="V73" s="20">
        <f>IF(T$12=0,0,T73/T$12)</f>
        <v>0</v>
      </c>
      <c r="W73" s="16"/>
      <c r="X73" s="21">
        <f>+P73-T73</f>
        <v>-93432.519999999902</v>
      </c>
      <c r="Y73" s="16"/>
      <c r="Z73" s="20">
        <f>IF(T73=0,0,X73/T73)</f>
        <v>0.14052224315518852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-46363.990000000005</v>
      </c>
      <c r="E77" s="14"/>
      <c r="F77" s="32">
        <f>IF(D$12=0,0,D77/D$12)</f>
        <v>0</v>
      </c>
      <c r="G77" s="14"/>
      <c r="H77" s="35">
        <f>+H73-H75</f>
        <v>-52891.869999999995</v>
      </c>
      <c r="I77" s="14"/>
      <c r="J77" s="32">
        <f>IF(H$12=0,0,H77/H$12)</f>
        <v>0</v>
      </c>
      <c r="K77" s="16"/>
      <c r="L77" s="35">
        <f>D77-H77</f>
        <v>6527.8799999999901</v>
      </c>
      <c r="M77" s="16"/>
      <c r="N77" s="32">
        <f>IF(H77=0,0,L77/H77)</f>
        <v>-0.1234193459221614</v>
      </c>
      <c r="O77" s="28"/>
      <c r="P77" s="35">
        <f>+P73-P75</f>
        <v>-758327.4</v>
      </c>
      <c r="Q77" s="14"/>
      <c r="R77" s="32">
        <f>IF(P$12=0,0,P77/P$12)</f>
        <v>0</v>
      </c>
      <c r="S77" s="14"/>
      <c r="T77" s="35">
        <f>+T73-T75</f>
        <v>-664894.88000000012</v>
      </c>
      <c r="U77" s="14"/>
      <c r="V77" s="32">
        <f>IF(T$12=0,0,T77/T$12)</f>
        <v>0</v>
      </c>
      <c r="W77" s="16"/>
      <c r="X77" s="35">
        <f>P77-T77</f>
        <v>-93432.519999999902</v>
      </c>
      <c r="Y77" s="16"/>
      <c r="Z77" s="32">
        <f>IF(T77=0,0,X77/T77)</f>
        <v>0.14052224315518852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-46363.990000000005</v>
      </c>
      <c r="E80" s="14"/>
      <c r="F80" s="33">
        <f>IF(D$12=0,0,D80/D$12)</f>
        <v>0</v>
      </c>
      <c r="G80" s="14"/>
      <c r="H80" s="36">
        <f>SUM(H77:H79)</f>
        <v>-52891.869999999995</v>
      </c>
      <c r="I80" s="14"/>
      <c r="J80" s="33">
        <f>IF(H$12=0,0,H80/H$12)</f>
        <v>0</v>
      </c>
      <c r="K80" s="16"/>
      <c r="L80" s="36">
        <f>+D80-H80</f>
        <v>6527.8799999999901</v>
      </c>
      <c r="M80" s="16"/>
      <c r="N80" s="33">
        <f>IF(H80=0,0,L80/H80)</f>
        <v>-0.1234193459221614</v>
      </c>
      <c r="O80" s="28"/>
      <c r="P80" s="36">
        <f>SUM(P77:P79)</f>
        <v>-758327.4</v>
      </c>
      <c r="Q80" s="14"/>
      <c r="R80" s="33">
        <f>IF(P$12=0,0,P80/P$12)</f>
        <v>0</v>
      </c>
      <c r="S80" s="14"/>
      <c r="T80" s="36">
        <f>SUM(T77:T79)</f>
        <v>-664894.88000000012</v>
      </c>
      <c r="U80" s="14"/>
      <c r="V80" s="33">
        <f>IF(T$12=0,0,T80/T$12)</f>
        <v>0</v>
      </c>
      <c r="W80" s="16"/>
      <c r="X80" s="36">
        <f>+P80-T80</f>
        <v>-93432.519999999902</v>
      </c>
      <c r="Y80" s="16"/>
      <c r="Z80" s="33">
        <f>IF(T80=0,0,X80/T80)</f>
        <v>0.14052224315518852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>
        <v>43992.375181979165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62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45869.249999999985</v>
      </c>
      <c r="E18" s="22"/>
      <c r="F18" s="31">
        <f t="shared" ref="F18:F29" si="0">IF(D$12=0,0,D18/D$12)</f>
        <v>0</v>
      </c>
      <c r="G18" s="22"/>
      <c r="H18" s="22">
        <f>SUM(OSRRefH22x_0)</f>
        <v>58796.670000000006</v>
      </c>
      <c r="I18" s="22"/>
      <c r="J18" s="31">
        <f t="shared" ref="J18:J29" si="1">IF(H$12=0,0,H18/H$12)</f>
        <v>0</v>
      </c>
      <c r="K18" s="4"/>
      <c r="L18" s="22">
        <f t="shared" ref="L18:L29" si="2">+D18-H18</f>
        <v>-12927.42000000002</v>
      </c>
      <c r="M18" s="4"/>
      <c r="N18" s="31">
        <f t="shared" ref="N18:N29" si="3">IF(H18=0,0,L18/H18)</f>
        <v>-0.21986653325775113</v>
      </c>
      <c r="O18" s="10"/>
      <c r="P18" s="22">
        <f>SUM(OSRRefP22x_0)</f>
        <v>637097.89999999991</v>
      </c>
      <c r="Q18" s="22"/>
      <c r="R18" s="31">
        <f t="shared" ref="R18:R29" si="4">IF(P$12=0,0,P18/P$12)</f>
        <v>0</v>
      </c>
      <c r="S18" s="22"/>
      <c r="T18" s="22">
        <f>SUM(OSRRefT22x_0)</f>
        <v>723006.78999999992</v>
      </c>
      <c r="U18" s="22"/>
      <c r="V18" s="31">
        <f t="shared" ref="V18:V29" si="5">IF(T$12=0,0,T18/T$12)</f>
        <v>0</v>
      </c>
      <c r="W18" s="4"/>
      <c r="X18" s="22">
        <f t="shared" ref="X18:X29" si="6">+P18-T18</f>
        <v>-85908.890000000014</v>
      </c>
      <c r="Y18" s="4"/>
      <c r="Z18" s="31">
        <f t="shared" ref="Z18:Z29" si="7">IF(T18=0,0,X18/T18)</f>
        <v>-0.11882169184054278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11851.73</v>
      </c>
      <c r="E19" s="1"/>
      <c r="F19" s="5">
        <f t="shared" si="0"/>
        <v>0</v>
      </c>
      <c r="G19" s="1"/>
      <c r="H19" s="1">
        <f>SUM(OSRRefH22_0x_0)</f>
        <v>12616.77</v>
      </c>
      <c r="I19" s="1"/>
      <c r="J19" s="5">
        <f t="shared" si="1"/>
        <v>0</v>
      </c>
      <c r="K19" s="1"/>
      <c r="L19" s="1">
        <f t="shared" si="2"/>
        <v>-765.04000000000087</v>
      </c>
      <c r="M19" s="1"/>
      <c r="N19" s="5">
        <f t="shared" si="3"/>
        <v>-6.0636755683110721E-2</v>
      </c>
      <c r="O19" s="13"/>
      <c r="P19" s="1">
        <f>SUM(OSRRefP22_0x_0)</f>
        <v>141882.03999999998</v>
      </c>
      <c r="Q19" s="1"/>
      <c r="R19" s="5">
        <f t="shared" si="4"/>
        <v>0</v>
      </c>
      <c r="S19" s="1"/>
      <c r="T19" s="1">
        <f>SUM(OSRRefT22_0x_0)</f>
        <v>161021.62</v>
      </c>
      <c r="U19" s="1"/>
      <c r="V19" s="5">
        <f t="shared" si="5"/>
        <v>0</v>
      </c>
      <c r="W19" s="1"/>
      <c r="X19" s="1">
        <f t="shared" si="6"/>
        <v>-19139.580000000016</v>
      </c>
      <c r="Y19" s="1"/>
      <c r="Z19" s="5">
        <f t="shared" si="7"/>
        <v>-0.11886341722310344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1638.25</v>
      </c>
      <c r="E20" s="2"/>
      <c r="F20" s="7">
        <f t="shared" si="0"/>
        <v>0</v>
      </c>
      <c r="G20" s="2"/>
      <c r="H20" s="6">
        <v>3192.35</v>
      </c>
      <c r="I20" s="2"/>
      <c r="J20" s="7">
        <f t="shared" si="1"/>
        <v>0</v>
      </c>
      <c r="K20" s="2"/>
      <c r="L20" s="6">
        <f t="shared" si="2"/>
        <v>-1554.1</v>
      </c>
      <c r="M20" s="2"/>
      <c r="N20" s="7">
        <f t="shared" si="3"/>
        <v>-0.48682005419205288</v>
      </c>
      <c r="O20" s="11"/>
      <c r="P20" s="6">
        <v>22910.809999999998</v>
      </c>
      <c r="Q20" s="2"/>
      <c r="R20" s="7">
        <f t="shared" si="4"/>
        <v>0</v>
      </c>
      <c r="S20" s="2"/>
      <c r="T20" s="6">
        <v>26010.37</v>
      </c>
      <c r="U20" s="2"/>
      <c r="V20" s="7">
        <f t="shared" si="5"/>
        <v>0</v>
      </c>
      <c r="W20" s="2"/>
      <c r="X20" s="6">
        <f t="shared" si="6"/>
        <v>-3099.5600000000013</v>
      </c>
      <c r="Y20" s="2"/>
      <c r="Z20" s="7">
        <f t="shared" si="7"/>
        <v>-0.11916631712659226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109.54</v>
      </c>
      <c r="E21" s="2"/>
      <c r="F21" s="7">
        <f t="shared" si="0"/>
        <v>0</v>
      </c>
      <c r="G21" s="2"/>
      <c r="H21" s="6">
        <v>89.93</v>
      </c>
      <c r="I21" s="2"/>
      <c r="J21" s="7">
        <f t="shared" si="1"/>
        <v>0</v>
      </c>
      <c r="K21" s="2"/>
      <c r="L21" s="6">
        <f t="shared" si="2"/>
        <v>19.61</v>
      </c>
      <c r="M21" s="2"/>
      <c r="N21" s="7">
        <f t="shared" si="3"/>
        <v>0.21805848993661733</v>
      </c>
      <c r="O21" s="11"/>
      <c r="P21" s="6">
        <v>921.63</v>
      </c>
      <c r="Q21" s="2"/>
      <c r="R21" s="7">
        <f t="shared" si="4"/>
        <v>0</v>
      </c>
      <c r="S21" s="2"/>
      <c r="T21" s="6">
        <v>959.94</v>
      </c>
      <c r="U21" s="2"/>
      <c r="V21" s="7">
        <f t="shared" si="5"/>
        <v>0</v>
      </c>
      <c r="W21" s="2"/>
      <c r="X21" s="6">
        <f t="shared" si="6"/>
        <v>-38.310000000000059</v>
      </c>
      <c r="Y21" s="2"/>
      <c r="Z21" s="7">
        <f t="shared" si="7"/>
        <v>-3.990874429651859E-2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5288.51</v>
      </c>
      <c r="I22" s="2"/>
      <c r="J22" s="7">
        <f t="shared" si="1"/>
        <v>0</v>
      </c>
      <c r="K22" s="2"/>
      <c r="L22" s="6">
        <f t="shared" si="2"/>
        <v>279.35999999999967</v>
      </c>
      <c r="M22" s="2"/>
      <c r="N22" s="7">
        <f t="shared" si="3"/>
        <v>5.2823952304146098E-2</v>
      </c>
      <c r="O22" s="11"/>
      <c r="P22" s="6">
        <v>58815.13</v>
      </c>
      <c r="Q22" s="2"/>
      <c r="R22" s="7">
        <f t="shared" si="4"/>
        <v>0</v>
      </c>
      <c r="S22" s="2"/>
      <c r="T22" s="6">
        <v>71613.13</v>
      </c>
      <c r="U22" s="2"/>
      <c r="V22" s="7">
        <f t="shared" si="5"/>
        <v>0</v>
      </c>
      <c r="W22" s="2"/>
      <c r="X22" s="6">
        <f t="shared" si="6"/>
        <v>-12798.000000000007</v>
      </c>
      <c r="Y22" s="2"/>
      <c r="Z22" s="7">
        <f t="shared" si="7"/>
        <v>-0.1787102448950354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83.76</v>
      </c>
      <c r="E23" s="2"/>
      <c r="F23" s="7">
        <f t="shared" si="0"/>
        <v>0</v>
      </c>
      <c r="G23" s="2"/>
      <c r="H23" s="6">
        <v>75.430000000000007</v>
      </c>
      <c r="I23" s="2"/>
      <c r="J23" s="7">
        <f t="shared" si="1"/>
        <v>0</v>
      </c>
      <c r="K23" s="2"/>
      <c r="L23" s="6">
        <f t="shared" si="2"/>
        <v>8.3299999999999983</v>
      </c>
      <c r="M23" s="2"/>
      <c r="N23" s="7">
        <f t="shared" si="3"/>
        <v>0.11043351451677048</v>
      </c>
      <c r="O23" s="11"/>
      <c r="P23" s="6">
        <v>830.65</v>
      </c>
      <c r="Q23" s="2"/>
      <c r="R23" s="7">
        <f t="shared" si="4"/>
        <v>0</v>
      </c>
      <c r="S23" s="2"/>
      <c r="T23" s="6">
        <v>887.81</v>
      </c>
      <c r="U23" s="2"/>
      <c r="V23" s="7">
        <f t="shared" si="5"/>
        <v>0</v>
      </c>
      <c r="W23" s="2"/>
      <c r="X23" s="6">
        <f t="shared" si="6"/>
        <v>-57.159999999999968</v>
      </c>
      <c r="Y23" s="2"/>
      <c r="Z23" s="7">
        <f t="shared" si="7"/>
        <v>-6.4383145042295059E-2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1716.08</v>
      </c>
      <c r="E24" s="2"/>
      <c r="F24" s="7">
        <f t="shared" si="0"/>
        <v>0</v>
      </c>
      <c r="G24" s="2"/>
      <c r="H24" s="6">
        <v>1565.19</v>
      </c>
      <c r="I24" s="2"/>
      <c r="J24" s="7">
        <f t="shared" si="1"/>
        <v>0</v>
      </c>
      <c r="K24" s="2"/>
      <c r="L24" s="6">
        <f t="shared" si="2"/>
        <v>150.88999999999987</v>
      </c>
      <c r="M24" s="2"/>
      <c r="N24" s="7">
        <f t="shared" si="3"/>
        <v>9.6403631507995746E-2</v>
      </c>
      <c r="O24" s="11"/>
      <c r="P24" s="6">
        <v>18003.64</v>
      </c>
      <c r="Q24" s="2"/>
      <c r="R24" s="7">
        <f t="shared" si="4"/>
        <v>0</v>
      </c>
      <c r="S24" s="2"/>
      <c r="T24" s="6">
        <v>19746.560000000001</v>
      </c>
      <c r="U24" s="2"/>
      <c r="V24" s="7">
        <f t="shared" si="5"/>
        <v>0</v>
      </c>
      <c r="W24" s="2"/>
      <c r="X24" s="6">
        <f t="shared" si="6"/>
        <v>-1742.9200000000019</v>
      </c>
      <c r="Y24" s="2"/>
      <c r="Z24" s="7">
        <f t="shared" si="7"/>
        <v>-8.8264487586698734E-2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134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134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158.55000000000001</v>
      </c>
      <c r="E26" s="2"/>
      <c r="F26" s="7">
        <f t="shared" si="0"/>
        <v>0</v>
      </c>
      <c r="G26" s="2"/>
      <c r="H26" s="6">
        <v>186.3</v>
      </c>
      <c r="I26" s="2"/>
      <c r="J26" s="7">
        <f t="shared" si="1"/>
        <v>0</v>
      </c>
      <c r="K26" s="2"/>
      <c r="L26" s="6">
        <f t="shared" si="2"/>
        <v>-27.75</v>
      </c>
      <c r="M26" s="2"/>
      <c r="N26" s="7">
        <f t="shared" si="3"/>
        <v>-0.14895330112721417</v>
      </c>
      <c r="O26" s="11"/>
      <c r="P26" s="6">
        <v>4232.32</v>
      </c>
      <c r="Q26" s="2"/>
      <c r="R26" s="7">
        <f t="shared" si="4"/>
        <v>0</v>
      </c>
      <c r="S26" s="2"/>
      <c r="T26" s="6">
        <v>495.52</v>
      </c>
      <c r="U26" s="2"/>
      <c r="V26" s="7">
        <f t="shared" si="5"/>
        <v>0</v>
      </c>
      <c r="W26" s="2"/>
      <c r="X26" s="6">
        <f t="shared" si="6"/>
        <v>3736.7999999999997</v>
      </c>
      <c r="Y26" s="2"/>
      <c r="Z26" s="7">
        <f t="shared" si="7"/>
        <v>7.5411688731030022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1474.64</v>
      </c>
      <c r="E27" s="2"/>
      <c r="F27" s="7">
        <f t="shared" si="0"/>
        <v>0</v>
      </c>
      <c r="G27" s="2"/>
      <c r="H27" s="6">
        <v>2327.9499999999998</v>
      </c>
      <c r="I27" s="2"/>
      <c r="J27" s="7">
        <f t="shared" si="1"/>
        <v>0</v>
      </c>
      <c r="K27" s="2"/>
      <c r="L27" s="6">
        <f t="shared" si="2"/>
        <v>-853.30999999999972</v>
      </c>
      <c r="M27" s="2"/>
      <c r="N27" s="7">
        <f t="shared" si="3"/>
        <v>-0.36654996885671937</v>
      </c>
      <c r="O27" s="11"/>
      <c r="P27" s="6">
        <v>18206.919999999998</v>
      </c>
      <c r="Q27" s="2"/>
      <c r="R27" s="7">
        <f t="shared" si="4"/>
        <v>0</v>
      </c>
      <c r="S27" s="2"/>
      <c r="T27" s="6">
        <v>22692.870000000003</v>
      </c>
      <c r="U27" s="2"/>
      <c r="V27" s="7">
        <f t="shared" si="5"/>
        <v>0</v>
      </c>
      <c r="W27" s="2"/>
      <c r="X27" s="6">
        <f t="shared" si="6"/>
        <v>-4485.9500000000044</v>
      </c>
      <c r="Y27" s="2"/>
      <c r="Z27" s="7">
        <f t="shared" si="7"/>
        <v>-0.19768103373438459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999.04</v>
      </c>
      <c r="E28" s="2"/>
      <c r="F28" s="7">
        <f t="shared" si="0"/>
        <v>0</v>
      </c>
      <c r="G28" s="2"/>
      <c r="H28" s="6">
        <v>-690.33</v>
      </c>
      <c r="I28" s="2"/>
      <c r="J28" s="7">
        <f t="shared" si="1"/>
        <v>0</v>
      </c>
      <c r="K28" s="2"/>
      <c r="L28" s="6">
        <f t="shared" si="2"/>
        <v>1689.37</v>
      </c>
      <c r="M28" s="2"/>
      <c r="N28" s="7">
        <f t="shared" si="3"/>
        <v>-2.4471919227036341</v>
      </c>
      <c r="O28" s="11"/>
      <c r="P28" s="6">
        <v>12223.14</v>
      </c>
      <c r="Q28" s="2"/>
      <c r="R28" s="7">
        <f t="shared" si="4"/>
        <v>0</v>
      </c>
      <c r="S28" s="2"/>
      <c r="T28" s="6">
        <v>11469.83</v>
      </c>
      <c r="U28" s="2"/>
      <c r="V28" s="7">
        <f t="shared" si="5"/>
        <v>0</v>
      </c>
      <c r="W28" s="2"/>
      <c r="X28" s="6">
        <f t="shared" si="6"/>
        <v>753.30999999999949</v>
      </c>
      <c r="Y28" s="2"/>
      <c r="Z28" s="7">
        <f t="shared" si="7"/>
        <v>6.567752093971746E-2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104</v>
      </c>
      <c r="E29" s="2"/>
      <c r="F29" s="7">
        <f t="shared" si="0"/>
        <v>0</v>
      </c>
      <c r="G29" s="2"/>
      <c r="H29" s="6">
        <v>581.44000000000005</v>
      </c>
      <c r="I29" s="2"/>
      <c r="J29" s="7">
        <f t="shared" si="1"/>
        <v>0</v>
      </c>
      <c r="K29" s="2"/>
      <c r="L29" s="6">
        <f t="shared" si="2"/>
        <v>-477.44000000000005</v>
      </c>
      <c r="M29" s="2"/>
      <c r="N29" s="7">
        <f t="shared" si="3"/>
        <v>-0.82113373692900382</v>
      </c>
      <c r="O29" s="11"/>
      <c r="P29" s="6">
        <v>5603.8</v>
      </c>
      <c r="Q29" s="2"/>
      <c r="R29" s="7">
        <f t="shared" si="4"/>
        <v>0</v>
      </c>
      <c r="S29" s="2"/>
      <c r="T29" s="6">
        <v>7145.59</v>
      </c>
      <c r="U29" s="2"/>
      <c r="V29" s="7">
        <f t="shared" si="5"/>
        <v>0</v>
      </c>
      <c r="W29" s="2"/>
      <c r="X29" s="6">
        <f t="shared" si="6"/>
        <v>-1541.79</v>
      </c>
      <c r="Y29" s="2"/>
      <c r="Z29" s="7">
        <f t="shared" si="7"/>
        <v>-0.21576804714516226</v>
      </c>
    </row>
    <row r="30" spans="1:26" s="27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15843.26</v>
      </c>
      <c r="E30" s="1"/>
      <c r="F30" s="5">
        <f t="shared" ref="F30:F36" si="8">IF(D$12=0,0,D30/D$12)</f>
        <v>0</v>
      </c>
      <c r="G30" s="1"/>
      <c r="H30" s="1">
        <f>SUM(OSRRefH22_1x_0)</f>
        <v>29994.000000000004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-14150.740000000003</v>
      </c>
      <c r="M30" s="1"/>
      <c r="N30" s="5">
        <f t="shared" ref="N30:N36" si="11">IF(H30=0,0,L30/H30)</f>
        <v>-0.47178569047142765</v>
      </c>
      <c r="O30" s="13"/>
      <c r="P30" s="1">
        <f>SUM(OSRRefP22_1x_0)</f>
        <v>274980.47999999998</v>
      </c>
      <c r="Q30" s="1"/>
      <c r="R30" s="5">
        <f t="shared" ref="R30:R36" si="12">IF(P$12=0,0,P30/P$12)</f>
        <v>0</v>
      </c>
      <c r="S30" s="1"/>
      <c r="T30" s="1">
        <f>SUM(OSRRefT22_1x_0)</f>
        <v>303790.86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-28810.380000000005</v>
      </c>
      <c r="Y30" s="1"/>
      <c r="Z30" s="5">
        <f t="shared" ref="Z30:Z36" si="15">IF(T30=0,0,X30/T30)</f>
        <v>-9.4836230425102336E-2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12840.26</v>
      </c>
      <c r="E31" s="2"/>
      <c r="F31" s="7">
        <f t="shared" si="8"/>
        <v>0</v>
      </c>
      <c r="G31" s="2"/>
      <c r="H31" s="6">
        <v>20204.080000000002</v>
      </c>
      <c r="I31" s="2"/>
      <c r="J31" s="7">
        <f t="shared" si="9"/>
        <v>0</v>
      </c>
      <c r="K31" s="2"/>
      <c r="L31" s="6">
        <f t="shared" si="10"/>
        <v>-7363.8200000000015</v>
      </c>
      <c r="M31" s="2"/>
      <c r="N31" s="7">
        <f t="shared" si="11"/>
        <v>-0.36447192844217607</v>
      </c>
      <c r="O31" s="11"/>
      <c r="P31" s="6">
        <v>145157.13999999998</v>
      </c>
      <c r="Q31" s="2"/>
      <c r="R31" s="7">
        <f t="shared" si="12"/>
        <v>0</v>
      </c>
      <c r="S31" s="2"/>
      <c r="T31" s="6">
        <v>171758</v>
      </c>
      <c r="U31" s="2"/>
      <c r="V31" s="7">
        <f t="shared" si="13"/>
        <v>0</v>
      </c>
      <c r="W31" s="2"/>
      <c r="X31" s="6">
        <f t="shared" si="14"/>
        <v>-26600.860000000015</v>
      </c>
      <c r="Y31" s="2"/>
      <c r="Z31" s="7">
        <f t="shared" si="15"/>
        <v>-0.15487406700124604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3003</v>
      </c>
      <c r="E32" s="2"/>
      <c r="F32" s="7">
        <f t="shared" si="8"/>
        <v>0</v>
      </c>
      <c r="G32" s="2"/>
      <c r="H32" s="6">
        <v>6785.13</v>
      </c>
      <c r="I32" s="2"/>
      <c r="J32" s="7">
        <f t="shared" si="9"/>
        <v>0</v>
      </c>
      <c r="K32" s="2"/>
      <c r="L32" s="6">
        <f t="shared" si="10"/>
        <v>-3782.13</v>
      </c>
      <c r="M32" s="2"/>
      <c r="N32" s="7">
        <f t="shared" si="11"/>
        <v>-0.55741452263994939</v>
      </c>
      <c r="O32" s="11"/>
      <c r="P32" s="6">
        <v>77259.600000000006</v>
      </c>
      <c r="Q32" s="2"/>
      <c r="R32" s="7">
        <f t="shared" si="12"/>
        <v>0</v>
      </c>
      <c r="S32" s="2"/>
      <c r="T32" s="6">
        <v>81616.83</v>
      </c>
      <c r="U32" s="2"/>
      <c r="V32" s="7">
        <f t="shared" si="13"/>
        <v>0</v>
      </c>
      <c r="W32" s="2"/>
      <c r="X32" s="6">
        <f t="shared" si="14"/>
        <v>-4357.2299999999959</v>
      </c>
      <c r="Y32" s="2"/>
      <c r="Z32" s="7">
        <f t="shared" si="15"/>
        <v>-5.3386415522386689E-2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2757.38</v>
      </c>
      <c r="I33" s="2"/>
      <c r="J33" s="7">
        <f t="shared" si="9"/>
        <v>0</v>
      </c>
      <c r="K33" s="2"/>
      <c r="L33" s="6">
        <f t="shared" si="10"/>
        <v>-2757.38</v>
      </c>
      <c r="M33" s="2"/>
      <c r="N33" s="7">
        <f t="shared" si="11"/>
        <v>-1</v>
      </c>
      <c r="O33" s="11"/>
      <c r="P33" s="6">
        <v>23545.86</v>
      </c>
      <c r="Q33" s="2"/>
      <c r="R33" s="7">
        <f t="shared" si="12"/>
        <v>0</v>
      </c>
      <c r="S33" s="2"/>
      <c r="T33" s="6">
        <v>27069.75</v>
      </c>
      <c r="U33" s="2"/>
      <c r="V33" s="7">
        <f t="shared" si="13"/>
        <v>0</v>
      </c>
      <c r="W33" s="2"/>
      <c r="X33" s="6">
        <f t="shared" si="14"/>
        <v>-3523.8899999999994</v>
      </c>
      <c r="Y33" s="2"/>
      <c r="Z33" s="7">
        <f t="shared" si="15"/>
        <v>-0.13017815088798379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1329.41</v>
      </c>
      <c r="I34" s="2"/>
      <c r="J34" s="7">
        <f t="shared" si="9"/>
        <v>0</v>
      </c>
      <c r="K34" s="2"/>
      <c r="L34" s="6">
        <f t="shared" si="10"/>
        <v>-1329.41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5997.79</v>
      </c>
      <c r="U34" s="2"/>
      <c r="V34" s="7">
        <f t="shared" si="13"/>
        <v>0</v>
      </c>
      <c r="W34" s="2"/>
      <c r="X34" s="6">
        <f t="shared" si="14"/>
        <v>-5997.79</v>
      </c>
      <c r="Y34" s="2"/>
      <c r="Z34" s="7">
        <f t="shared" si="15"/>
        <v>-1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-1082</v>
      </c>
      <c r="I35" s="2"/>
      <c r="J35" s="7">
        <f t="shared" si="9"/>
        <v>0</v>
      </c>
      <c r="K35" s="2"/>
      <c r="L35" s="6">
        <f t="shared" si="10"/>
        <v>1082</v>
      </c>
      <c r="M35" s="2"/>
      <c r="N35" s="7">
        <f t="shared" si="11"/>
        <v>-1</v>
      </c>
      <c r="O35" s="11"/>
      <c r="P35" s="6">
        <v>26497.88</v>
      </c>
      <c r="Q35" s="2"/>
      <c r="R35" s="7">
        <f t="shared" si="12"/>
        <v>0</v>
      </c>
      <c r="S35" s="2"/>
      <c r="T35" s="6">
        <v>17348.489999999998</v>
      </c>
      <c r="U35" s="2"/>
      <c r="V35" s="7">
        <f t="shared" si="13"/>
        <v>0</v>
      </c>
      <c r="W35" s="2"/>
      <c r="X35" s="6">
        <f t="shared" si="14"/>
        <v>9149.3900000000031</v>
      </c>
      <c r="Y35" s="2"/>
      <c r="Z35" s="7">
        <f t="shared" si="15"/>
        <v>0.52738826260959915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2520</v>
      </c>
      <c r="Q36" s="2"/>
      <c r="R36" s="7">
        <f t="shared" si="12"/>
        <v>0</v>
      </c>
      <c r="S36" s="2"/>
      <c r="T36" s="6"/>
      <c r="U36" s="2"/>
      <c r="V36" s="7">
        <f t="shared" si="13"/>
        <v>0</v>
      </c>
      <c r="W36" s="2"/>
      <c r="X36" s="6">
        <f t="shared" si="14"/>
        <v>2520</v>
      </c>
      <c r="Y36" s="2"/>
      <c r="Z36" s="7">
        <f t="shared" si="15"/>
        <v>0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16">IF(D$12=0,0,D37/D$12)</f>
        <v>0</v>
      </c>
      <c r="G37" s="1"/>
      <c r="H37" s="1">
        <f>SUM(OSRRefH22_2x_0)</f>
        <v>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-6</v>
      </c>
      <c r="M37" s="1"/>
      <c r="N37" s="5">
        <f t="shared" ref="N37:N41" si="19">IF(H37=0,0,L37/H37)</f>
        <v>-1</v>
      </c>
      <c r="O37" s="13"/>
      <c r="P37" s="1">
        <f>SUM(OSRRefP22_2x_0)</f>
        <v>9.99</v>
      </c>
      <c r="Q37" s="1"/>
      <c r="R37" s="5">
        <f t="shared" ref="R37:R41" si="20">IF(P$12=0,0,P37/P$12)</f>
        <v>0</v>
      </c>
      <c r="S37" s="1"/>
      <c r="T37" s="1">
        <f>SUM(OSRRefT22_2x_0)</f>
        <v>1032.5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-1022.51</v>
      </c>
      <c r="Y37" s="1"/>
      <c r="Z37" s="5">
        <f t="shared" ref="Z37:Z41" si="23">IF(T37=0,0,X37/T37)</f>
        <v>-0.99032445520581114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16"/>
        <v>0</v>
      </c>
      <c r="G38" s="2"/>
      <c r="H38" s="6">
        <v>6</v>
      </c>
      <c r="I38" s="2"/>
      <c r="J38" s="7">
        <f t="shared" si="17"/>
        <v>0</v>
      </c>
      <c r="K38" s="2"/>
      <c r="L38" s="6">
        <f t="shared" si="18"/>
        <v>-6</v>
      </c>
      <c r="M38" s="2"/>
      <c r="N38" s="7">
        <f t="shared" si="19"/>
        <v>-1</v>
      </c>
      <c r="O38" s="11"/>
      <c r="P38" s="6">
        <v>9.99</v>
      </c>
      <c r="Q38" s="2"/>
      <c r="R38" s="7">
        <f t="shared" si="20"/>
        <v>0</v>
      </c>
      <c r="S38" s="2"/>
      <c r="T38" s="6">
        <v>1032.5</v>
      </c>
      <c r="U38" s="2"/>
      <c r="V38" s="7">
        <f t="shared" si="21"/>
        <v>0</v>
      </c>
      <c r="W38" s="2"/>
      <c r="X38" s="6">
        <f t="shared" si="22"/>
        <v>-1022.51</v>
      </c>
      <c r="Y38" s="2"/>
      <c r="Z38" s="7">
        <f t="shared" si="23"/>
        <v>-0.99032445520581114</v>
      </c>
    </row>
    <row r="39" spans="1:26" s="27" customFormat="1" outlineLevel="1" collapsed="1" x14ac:dyDescent="0.25">
      <c r="A39" s="25"/>
      <c r="B39" s="13" t="str">
        <f>CONCATENATE("     ","Depreciation                                      ")</f>
        <v xml:space="preserve">     Depreciation                                      </v>
      </c>
      <c r="C39" s="13"/>
      <c r="D39" s="1">
        <f>SUM(OSRRefD22_3x_0)</f>
        <v>5462.14</v>
      </c>
      <c r="E39" s="1"/>
      <c r="F39" s="5">
        <f t="shared" si="16"/>
        <v>0</v>
      </c>
      <c r="G39" s="1"/>
      <c r="H39" s="1">
        <f>SUM(OSRRefH22_3x_0)</f>
        <v>7869.79</v>
      </c>
      <c r="I39" s="1"/>
      <c r="J39" s="5">
        <f t="shared" si="17"/>
        <v>0</v>
      </c>
      <c r="K39" s="1"/>
      <c r="L39" s="1">
        <f t="shared" si="18"/>
        <v>-2407.6499999999996</v>
      </c>
      <c r="M39" s="1"/>
      <c r="N39" s="5">
        <f t="shared" si="19"/>
        <v>-0.30593573653172446</v>
      </c>
      <c r="O39" s="13"/>
      <c r="P39" s="1">
        <f>SUM(OSRRefP22_3x_0)</f>
        <v>66863.490000000005</v>
      </c>
      <c r="Q39" s="1"/>
      <c r="R39" s="5">
        <f t="shared" si="20"/>
        <v>0</v>
      </c>
      <c r="S39" s="1"/>
      <c r="T39" s="1">
        <f>SUM(OSRRefT22_3x_0)</f>
        <v>86568.69</v>
      </c>
      <c r="U39" s="1"/>
      <c r="V39" s="5">
        <f t="shared" si="21"/>
        <v>0</v>
      </c>
      <c r="W39" s="1"/>
      <c r="X39" s="1">
        <f t="shared" si="22"/>
        <v>-19705.199999999997</v>
      </c>
      <c r="Y39" s="1"/>
      <c r="Z39" s="5">
        <f t="shared" si="23"/>
        <v>-0.22762502239551038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5462.14</v>
      </c>
      <c r="E40" s="2"/>
      <c r="F40" s="7">
        <f t="shared" si="16"/>
        <v>0</v>
      </c>
      <c r="G40" s="2"/>
      <c r="H40" s="6">
        <v>7547.75</v>
      </c>
      <c r="I40" s="2"/>
      <c r="J40" s="7">
        <f t="shared" si="17"/>
        <v>0</v>
      </c>
      <c r="K40" s="2"/>
      <c r="L40" s="6">
        <f t="shared" si="18"/>
        <v>-2085.6099999999997</v>
      </c>
      <c r="M40" s="2"/>
      <c r="N40" s="7">
        <f t="shared" si="19"/>
        <v>-0.27632208273988934</v>
      </c>
      <c r="O40" s="11"/>
      <c r="P40" s="6">
        <v>66863.490000000005</v>
      </c>
      <c r="Q40" s="2"/>
      <c r="R40" s="7">
        <f t="shared" si="20"/>
        <v>0</v>
      </c>
      <c r="S40" s="2"/>
      <c r="T40" s="6">
        <v>83026.25</v>
      </c>
      <c r="U40" s="2"/>
      <c r="V40" s="7">
        <f t="shared" si="21"/>
        <v>0</v>
      </c>
      <c r="W40" s="2"/>
      <c r="X40" s="6">
        <f t="shared" si="22"/>
        <v>-16162.759999999995</v>
      </c>
      <c r="Y40" s="2"/>
      <c r="Z40" s="7">
        <f t="shared" si="23"/>
        <v>-0.19467048072145851</v>
      </c>
    </row>
    <row r="41" spans="1:26" s="24" customFormat="1" hidden="1" outlineLevel="2" x14ac:dyDescent="0.25">
      <c r="A41" s="26"/>
      <c r="B41" s="11" t="str">
        <f>CONCATENATE("          ", "6324", " - ", "FURNITURE + FIXT DEPRECIATION")</f>
        <v xml:space="preserve">          6324 - FURNITURE + FIXT DEPRECIATION</v>
      </c>
      <c r="C41" s="11"/>
      <c r="D41" s="6"/>
      <c r="E41" s="2"/>
      <c r="F41" s="7">
        <f t="shared" si="16"/>
        <v>0</v>
      </c>
      <c r="G41" s="2"/>
      <c r="H41" s="6">
        <v>322.04000000000002</v>
      </c>
      <c r="I41" s="2"/>
      <c r="J41" s="7">
        <f t="shared" si="17"/>
        <v>0</v>
      </c>
      <c r="K41" s="2"/>
      <c r="L41" s="6">
        <f t="shared" si="18"/>
        <v>-322.04000000000002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3542.44</v>
      </c>
      <c r="U41" s="2"/>
      <c r="V41" s="7">
        <f t="shared" si="21"/>
        <v>0</v>
      </c>
      <c r="W41" s="2"/>
      <c r="X41" s="6">
        <f t="shared" si="22"/>
        <v>-3542.44</v>
      </c>
      <c r="Y41" s="2"/>
      <c r="Z41" s="7">
        <f t="shared" si="23"/>
        <v>-1</v>
      </c>
    </row>
    <row r="42" spans="1:26" s="27" customFormat="1" outlineLevel="1" collapsed="1" x14ac:dyDescent="0.25">
      <c r="A42" s="25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SUM(OSRRefD22_4x_0)</f>
        <v>0</v>
      </c>
      <c r="E42" s="1"/>
      <c r="F42" s="5">
        <f t="shared" ref="F42:F50" si="24">IF(D$12=0,0,D42/D$12)</f>
        <v>0</v>
      </c>
      <c r="G42" s="1"/>
      <c r="H42" s="1">
        <f>SUM(OSRRefH22_4x_0)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3"/>
      <c r="P42" s="1">
        <f>SUM(OSRRefP22_4x_0)</f>
        <v>0</v>
      </c>
      <c r="Q42" s="1"/>
      <c r="R42" s="5">
        <f t="shared" ref="R42:R50" si="28">IF(P$12=0,0,P42/P$12)</f>
        <v>0</v>
      </c>
      <c r="S42" s="1"/>
      <c r="T42" s="1">
        <f>SUM(OSRRefT22_4x_0)</f>
        <v>486.19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-486.19</v>
      </c>
      <c r="Y42" s="1"/>
      <c r="Z42" s="5">
        <f t="shared" ref="Z42:Z50" si="31">IF(T42=0,0,X42/T42)</f>
        <v>-1</v>
      </c>
    </row>
    <row r="43" spans="1:26" s="24" customFormat="1" hidden="1" outlineLevel="2" x14ac:dyDescent="0.25">
      <c r="A43" s="26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486.19</v>
      </c>
      <c r="U43" s="2"/>
      <c r="V43" s="7">
        <f t="shared" si="29"/>
        <v>0</v>
      </c>
      <c r="W43" s="2"/>
      <c r="X43" s="6">
        <f t="shared" si="30"/>
        <v>-486.19</v>
      </c>
      <c r="Y43" s="2"/>
      <c r="Z43" s="7">
        <f t="shared" si="31"/>
        <v>-1</v>
      </c>
    </row>
    <row r="44" spans="1:26" s="27" customFormat="1" outlineLevel="1" collapsed="1" x14ac:dyDescent="0.25">
      <c r="A44" s="25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SUM(OSRRefD22_5x_0)</f>
        <v>56.34</v>
      </c>
      <c r="E44" s="1"/>
      <c r="F44" s="5">
        <f t="shared" si="24"/>
        <v>0</v>
      </c>
      <c r="G44" s="1"/>
      <c r="H44" s="1">
        <f>SUM(OSRRefH22_5x_0)</f>
        <v>53.08</v>
      </c>
      <c r="I44" s="1"/>
      <c r="J44" s="5">
        <f t="shared" si="25"/>
        <v>0</v>
      </c>
      <c r="K44" s="1"/>
      <c r="L44" s="1">
        <f t="shared" si="26"/>
        <v>3.2600000000000051</v>
      </c>
      <c r="M44" s="1"/>
      <c r="N44" s="5">
        <f t="shared" si="27"/>
        <v>6.1416729464958651E-2</v>
      </c>
      <c r="O44" s="13"/>
      <c r="P44" s="1">
        <f>SUM(OSRRefP22_5x_0)</f>
        <v>619.74</v>
      </c>
      <c r="Q44" s="1"/>
      <c r="R44" s="5">
        <f t="shared" si="28"/>
        <v>0</v>
      </c>
      <c r="S44" s="1"/>
      <c r="T44" s="1">
        <f>SUM(OSRRefT22_5x_0)</f>
        <v>489.18</v>
      </c>
      <c r="U44" s="1"/>
      <c r="V44" s="5">
        <f t="shared" si="29"/>
        <v>0</v>
      </c>
      <c r="W44" s="1"/>
      <c r="X44" s="1">
        <f t="shared" si="30"/>
        <v>130.56</v>
      </c>
      <c r="Y44" s="1"/>
      <c r="Z44" s="5">
        <f t="shared" si="31"/>
        <v>0.26689562124371397</v>
      </c>
    </row>
    <row r="45" spans="1:26" s="24" customFormat="1" hidden="1" outlineLevel="2" x14ac:dyDescent="0.25">
      <c r="A45" s="26"/>
      <c r="B45" s="11" t="str">
        <f>CONCATENATE("          ", "6314", " - ", "LIABILITY INSURANCE")</f>
        <v xml:space="preserve">          6314 - LIABILITY INSURANCE</v>
      </c>
      <c r="C45" s="11"/>
      <c r="D45" s="6">
        <v>56.34</v>
      </c>
      <c r="E45" s="2"/>
      <c r="F45" s="7">
        <f t="shared" si="24"/>
        <v>0</v>
      </c>
      <c r="G45" s="2"/>
      <c r="H45" s="6">
        <v>53.08</v>
      </c>
      <c r="I45" s="2"/>
      <c r="J45" s="7">
        <f t="shared" si="25"/>
        <v>0</v>
      </c>
      <c r="K45" s="2"/>
      <c r="L45" s="6">
        <f t="shared" si="26"/>
        <v>3.2600000000000051</v>
      </c>
      <c r="M45" s="2"/>
      <c r="N45" s="7">
        <f t="shared" si="27"/>
        <v>6.1416729464958651E-2</v>
      </c>
      <c r="O45" s="11"/>
      <c r="P45" s="6">
        <v>619.74</v>
      </c>
      <c r="Q45" s="2"/>
      <c r="R45" s="7">
        <f t="shared" si="28"/>
        <v>0</v>
      </c>
      <c r="S45" s="2"/>
      <c r="T45" s="6">
        <v>489.18</v>
      </c>
      <c r="U45" s="2"/>
      <c r="V45" s="7">
        <f t="shared" si="29"/>
        <v>0</v>
      </c>
      <c r="W45" s="2"/>
      <c r="X45" s="6">
        <f t="shared" si="30"/>
        <v>130.56</v>
      </c>
      <c r="Y45" s="2"/>
      <c r="Z45" s="7">
        <f t="shared" si="31"/>
        <v>0.26689562124371397</v>
      </c>
    </row>
    <row r="46" spans="1:26" s="27" customFormat="1" outlineLevel="1" collapsed="1" x14ac:dyDescent="0.25">
      <c r="A46" s="25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11662.95</v>
      </c>
      <c r="E46" s="1"/>
      <c r="F46" s="5">
        <f t="shared" si="24"/>
        <v>0</v>
      </c>
      <c r="G46" s="1"/>
      <c r="H46" s="1">
        <f>SUM(OSRRefH22_6x_0)</f>
        <v>6249.95</v>
      </c>
      <c r="I46" s="1"/>
      <c r="J46" s="5">
        <f t="shared" si="25"/>
        <v>0</v>
      </c>
      <c r="K46" s="1"/>
      <c r="L46" s="1">
        <f t="shared" si="26"/>
        <v>5413.0000000000009</v>
      </c>
      <c r="M46" s="1"/>
      <c r="N46" s="5">
        <f t="shared" si="27"/>
        <v>0.86608692869542969</v>
      </c>
      <c r="O46" s="13"/>
      <c r="P46" s="1">
        <f>SUM(OSRRefP22_6x_0)</f>
        <v>107724.67</v>
      </c>
      <c r="Q46" s="1"/>
      <c r="R46" s="5">
        <f t="shared" si="28"/>
        <v>0</v>
      </c>
      <c r="S46" s="1"/>
      <c r="T46" s="1">
        <f>SUM(OSRRefT22_6x_0)</f>
        <v>96319.75999999998</v>
      </c>
      <c r="U46" s="1"/>
      <c r="V46" s="5">
        <f t="shared" si="29"/>
        <v>0</v>
      </c>
      <c r="W46" s="1"/>
      <c r="X46" s="1">
        <f t="shared" si="30"/>
        <v>11404.910000000018</v>
      </c>
      <c r="Y46" s="1"/>
      <c r="Z46" s="5">
        <f t="shared" si="31"/>
        <v>0.11840675267463312</v>
      </c>
    </row>
    <row r="47" spans="1:26" s="24" customFormat="1" hidden="1" outlineLevel="2" x14ac:dyDescent="0.25">
      <c r="A47" s="26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2255.9499999999998</v>
      </c>
      <c r="E47" s="2"/>
      <c r="F47" s="7">
        <f t="shared" si="24"/>
        <v>0</v>
      </c>
      <c r="G47" s="2"/>
      <c r="H47" s="6">
        <v>90.95</v>
      </c>
      <c r="I47" s="2"/>
      <c r="J47" s="7">
        <f t="shared" si="25"/>
        <v>0</v>
      </c>
      <c r="K47" s="2"/>
      <c r="L47" s="6">
        <f t="shared" si="26"/>
        <v>2165</v>
      </c>
      <c r="M47" s="2"/>
      <c r="N47" s="7">
        <f t="shared" si="27"/>
        <v>23.804288070368333</v>
      </c>
      <c r="O47" s="11"/>
      <c r="P47" s="6">
        <v>3502.2</v>
      </c>
      <c r="Q47" s="2"/>
      <c r="R47" s="7">
        <f t="shared" si="28"/>
        <v>0</v>
      </c>
      <c r="S47" s="2"/>
      <c r="T47" s="6">
        <v>2955.62</v>
      </c>
      <c r="U47" s="2"/>
      <c r="V47" s="7">
        <f t="shared" si="29"/>
        <v>0</v>
      </c>
      <c r="W47" s="2"/>
      <c r="X47" s="6">
        <f t="shared" si="30"/>
        <v>546.57999999999993</v>
      </c>
      <c r="Y47" s="2"/>
      <c r="Z47" s="7">
        <f t="shared" si="31"/>
        <v>0.18492905041920138</v>
      </c>
    </row>
    <row r="48" spans="1:26" s="24" customFormat="1" hidden="1" outlineLevel="2" x14ac:dyDescent="0.25">
      <c r="A48" s="26"/>
      <c r="B48" s="11" t="str">
        <f>CONCATENATE("          ", "6372", " - ", "COMPUTER HARDWARE MAINTENANCE")</f>
        <v xml:space="preserve">          6372 - COMPUTER HARDWARE MAINTENANCE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321.92</v>
      </c>
      <c r="U48" s="2"/>
      <c r="V48" s="7">
        <f t="shared" si="29"/>
        <v>0</v>
      </c>
      <c r="W48" s="2"/>
      <c r="X48" s="6">
        <f t="shared" si="30"/>
        <v>-321.92</v>
      </c>
      <c r="Y48" s="2"/>
      <c r="Z48" s="7">
        <f t="shared" si="31"/>
        <v>-1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>
        <v>9407</v>
      </c>
      <c r="E49" s="2"/>
      <c r="F49" s="7">
        <f t="shared" si="24"/>
        <v>0</v>
      </c>
      <c r="G49" s="2"/>
      <c r="H49" s="6">
        <v>6159</v>
      </c>
      <c r="I49" s="2"/>
      <c r="J49" s="7">
        <f t="shared" si="25"/>
        <v>0</v>
      </c>
      <c r="K49" s="2"/>
      <c r="L49" s="6">
        <f t="shared" si="26"/>
        <v>3248</v>
      </c>
      <c r="M49" s="2"/>
      <c r="N49" s="7">
        <f t="shared" si="27"/>
        <v>0.52735833739243387</v>
      </c>
      <c r="O49" s="11"/>
      <c r="P49" s="6">
        <v>104064.07</v>
      </c>
      <c r="Q49" s="2"/>
      <c r="R49" s="7">
        <f t="shared" si="28"/>
        <v>0</v>
      </c>
      <c r="S49" s="2"/>
      <c r="T49" s="6">
        <v>92243.849999999991</v>
      </c>
      <c r="U49" s="2"/>
      <c r="V49" s="7">
        <f t="shared" si="29"/>
        <v>0</v>
      </c>
      <c r="W49" s="2"/>
      <c r="X49" s="6">
        <f t="shared" si="30"/>
        <v>11820.220000000016</v>
      </c>
      <c r="Y49" s="2"/>
      <c r="Z49" s="7">
        <f t="shared" si="31"/>
        <v>0.12814100885858534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158.4</v>
      </c>
      <c r="Q50" s="2"/>
      <c r="R50" s="7">
        <f t="shared" si="28"/>
        <v>0</v>
      </c>
      <c r="S50" s="2"/>
      <c r="T50" s="6">
        <v>798.37</v>
      </c>
      <c r="U50" s="2"/>
      <c r="V50" s="7">
        <f t="shared" si="29"/>
        <v>0</v>
      </c>
      <c r="W50" s="2"/>
      <c r="X50" s="6">
        <f t="shared" si="30"/>
        <v>-639.97</v>
      </c>
      <c r="Y50" s="2"/>
      <c r="Z50" s="7">
        <f t="shared" si="31"/>
        <v>-0.80159575134336214</v>
      </c>
    </row>
    <row r="51" spans="1:26" s="27" customFormat="1" outlineLevel="1" collapsed="1" x14ac:dyDescent="0.25">
      <c r="A51" s="25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276.64</v>
      </c>
      <c r="E51" s="1"/>
      <c r="F51" s="5">
        <f t="shared" ref="F51:F53" si="32">IF(D$12=0,0,D51/D$12)</f>
        <v>0</v>
      </c>
      <c r="G51" s="1"/>
      <c r="H51" s="1">
        <f>SUM(OSRRefH22_7x_0)</f>
        <v>707.67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-431.03</v>
      </c>
      <c r="M51" s="1"/>
      <c r="N51" s="5">
        <f t="shared" ref="N51:N53" si="35">IF(H51=0,0,L51/H51)</f>
        <v>-0.6090833298006133</v>
      </c>
      <c r="O51" s="13"/>
      <c r="P51" s="1">
        <f>SUM(OSRRefP22_7x_0)</f>
        <v>26123.449999999997</v>
      </c>
      <c r="Q51" s="1"/>
      <c r="R51" s="5">
        <f t="shared" ref="R51:R53" si="36">IF(P$12=0,0,P51/P$12)</f>
        <v>0</v>
      </c>
      <c r="S51" s="1"/>
      <c r="T51" s="1">
        <f>SUM(OSRRefT22_7x_0)</f>
        <v>51792.19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-25668.740000000005</v>
      </c>
      <c r="Y51" s="1"/>
      <c r="Z51" s="5">
        <f t="shared" ref="Z51:Z53" si="39">IF(T51=0,0,X51/T51)</f>
        <v>-0.49561024548295801</v>
      </c>
    </row>
    <row r="52" spans="1:26" s="24" customFormat="1" hidden="1" outlineLevel="2" x14ac:dyDescent="0.25">
      <c r="A52" s="26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/>
      <c r="Q52" s="2"/>
      <c r="R52" s="7">
        <f t="shared" si="36"/>
        <v>0</v>
      </c>
      <c r="S52" s="2"/>
      <c r="T52" s="6">
        <v>1245.83</v>
      </c>
      <c r="U52" s="2"/>
      <c r="V52" s="7">
        <f t="shared" si="37"/>
        <v>0</v>
      </c>
      <c r="W52" s="2"/>
      <c r="X52" s="6">
        <f t="shared" si="38"/>
        <v>-1245.83</v>
      </c>
      <c r="Y52" s="2"/>
      <c r="Z52" s="7">
        <f t="shared" si="39"/>
        <v>-1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>
        <v>276.64</v>
      </c>
      <c r="E53" s="2"/>
      <c r="F53" s="7">
        <f t="shared" si="32"/>
        <v>0</v>
      </c>
      <c r="G53" s="2"/>
      <c r="H53" s="6">
        <v>707.67</v>
      </c>
      <c r="I53" s="2"/>
      <c r="J53" s="7">
        <f t="shared" si="33"/>
        <v>0</v>
      </c>
      <c r="K53" s="2"/>
      <c r="L53" s="6">
        <f t="shared" si="34"/>
        <v>-431.03</v>
      </c>
      <c r="M53" s="2"/>
      <c r="N53" s="7">
        <f t="shared" si="35"/>
        <v>-0.6090833298006133</v>
      </c>
      <c r="O53" s="11"/>
      <c r="P53" s="6">
        <v>26123.449999999997</v>
      </c>
      <c r="Q53" s="2"/>
      <c r="R53" s="7">
        <f t="shared" si="36"/>
        <v>0</v>
      </c>
      <c r="S53" s="2"/>
      <c r="T53" s="6">
        <v>50546.36</v>
      </c>
      <c r="U53" s="2"/>
      <c r="V53" s="7">
        <f t="shared" si="37"/>
        <v>0</v>
      </c>
      <c r="W53" s="2"/>
      <c r="X53" s="6">
        <f t="shared" si="38"/>
        <v>-24422.910000000003</v>
      </c>
      <c r="Y53" s="2"/>
      <c r="Z53" s="7">
        <f t="shared" si="39"/>
        <v>-0.48317841284713681</v>
      </c>
    </row>
    <row r="54" spans="1:26" s="27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716.19</v>
      </c>
      <c r="E54" s="1"/>
      <c r="F54" s="5">
        <f t="shared" ref="F54:F56" si="40">IF(D$12=0,0,D54/D$12)</f>
        <v>0</v>
      </c>
      <c r="G54" s="1"/>
      <c r="H54" s="1">
        <f>SUM(OSRRefH22_8x_0)</f>
        <v>918.01</v>
      </c>
      <c r="I54" s="1"/>
      <c r="J54" s="5">
        <f t="shared" ref="J54:J56" si="41">IF(H$12=0,0,H54/H$12)</f>
        <v>0</v>
      </c>
      <c r="K54" s="1"/>
      <c r="L54" s="1">
        <f t="shared" ref="L54:L56" si="42">+D54-H54</f>
        <v>-201.81999999999994</v>
      </c>
      <c r="M54" s="1"/>
      <c r="N54" s="5">
        <f t="shared" ref="N54:N56" si="43">IF(H54=0,0,L54/H54)</f>
        <v>-0.21984509972658242</v>
      </c>
      <c r="O54" s="13"/>
      <c r="P54" s="1">
        <f>SUM(OSRRefP22_8x_0)</f>
        <v>13164.98</v>
      </c>
      <c r="Q54" s="1"/>
      <c r="R54" s="5">
        <f t="shared" ref="R54:R56" si="44">IF(P$12=0,0,P54/P$12)</f>
        <v>0</v>
      </c>
      <c r="S54" s="1"/>
      <c r="T54" s="1">
        <f>SUM(OSRRefT22_8x_0)</f>
        <v>11749.539999999999</v>
      </c>
      <c r="U54" s="1"/>
      <c r="V54" s="5">
        <f t="shared" ref="V54:V56" si="45">IF(T$12=0,0,T54/T$12)</f>
        <v>0</v>
      </c>
      <c r="W54" s="1"/>
      <c r="X54" s="1">
        <f t="shared" ref="X54:X56" si="46">+P54-T54</f>
        <v>1415.4400000000005</v>
      </c>
      <c r="Y54" s="1"/>
      <c r="Z54" s="5">
        <f t="shared" ref="Z54:Z56" si="47">IF(T54=0,0,X54/T54)</f>
        <v>0.12046769490550274</v>
      </c>
    </row>
    <row r="55" spans="1:26" s="24" customFormat="1" hidden="1" outlineLevel="2" x14ac:dyDescent="0.25">
      <c r="A55" s="26"/>
      <c r="B55" s="11" t="str">
        <f>CONCATENATE("          ", "6303", " - ", "DATA PHONE LINES")</f>
        <v xml:space="preserve">          6303 - DATA PHONE LINES</v>
      </c>
      <c r="C55" s="11"/>
      <c r="D55" s="6">
        <v>78.989999999999995</v>
      </c>
      <c r="E55" s="2"/>
      <c r="F55" s="7">
        <f t="shared" si="40"/>
        <v>0</v>
      </c>
      <c r="G55" s="2"/>
      <c r="H55" s="6">
        <v>195.53</v>
      </c>
      <c r="I55" s="2"/>
      <c r="J55" s="7">
        <f t="shared" si="41"/>
        <v>0</v>
      </c>
      <c r="K55" s="2"/>
      <c r="L55" s="6">
        <f t="shared" si="42"/>
        <v>-116.54</v>
      </c>
      <c r="M55" s="2"/>
      <c r="N55" s="7">
        <f t="shared" si="43"/>
        <v>-0.59602107093540635</v>
      </c>
      <c r="O55" s="11"/>
      <c r="P55" s="6">
        <v>1680.98</v>
      </c>
      <c r="Q55" s="2"/>
      <c r="R55" s="7">
        <f t="shared" si="44"/>
        <v>0</v>
      </c>
      <c r="S55" s="2"/>
      <c r="T55" s="6">
        <v>1922.64</v>
      </c>
      <c r="U55" s="2"/>
      <c r="V55" s="7">
        <f t="shared" si="45"/>
        <v>0</v>
      </c>
      <c r="W55" s="2"/>
      <c r="X55" s="6">
        <f t="shared" si="46"/>
        <v>-241.66000000000008</v>
      </c>
      <c r="Y55" s="2"/>
      <c r="Z55" s="7">
        <f t="shared" si="47"/>
        <v>-0.12569175716722844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6">
        <v>637.20000000000005</v>
      </c>
      <c r="E56" s="2"/>
      <c r="F56" s="7">
        <f t="shared" si="40"/>
        <v>0</v>
      </c>
      <c r="G56" s="2"/>
      <c r="H56" s="6">
        <v>722.48</v>
      </c>
      <c r="I56" s="2"/>
      <c r="J56" s="7">
        <f t="shared" si="41"/>
        <v>0</v>
      </c>
      <c r="K56" s="2"/>
      <c r="L56" s="6">
        <f t="shared" si="42"/>
        <v>-85.279999999999973</v>
      </c>
      <c r="M56" s="2"/>
      <c r="N56" s="7">
        <f t="shared" si="43"/>
        <v>-0.11803786956040302</v>
      </c>
      <c r="O56" s="11"/>
      <c r="P56" s="6">
        <v>11484</v>
      </c>
      <c r="Q56" s="2"/>
      <c r="R56" s="7">
        <f t="shared" si="44"/>
        <v>0</v>
      </c>
      <c r="S56" s="2"/>
      <c r="T56" s="6">
        <v>9826.9</v>
      </c>
      <c r="U56" s="2"/>
      <c r="V56" s="7">
        <f t="shared" si="45"/>
        <v>0</v>
      </c>
      <c r="W56" s="2"/>
      <c r="X56" s="6">
        <f t="shared" si="46"/>
        <v>1657.1000000000004</v>
      </c>
      <c r="Y56" s="2"/>
      <c r="Z56" s="7">
        <f t="shared" si="47"/>
        <v>0.16862896742614664</v>
      </c>
    </row>
    <row r="57" spans="1:26" s="27" customFormat="1" outlineLevel="1" collapsed="1" x14ac:dyDescent="0.25">
      <c r="A57" s="25"/>
      <c r="B57" s="13" t="str">
        <f>CONCATENATE("     ","Training                                          ")</f>
        <v xml:space="preserve">     Training                                          </v>
      </c>
      <c r="C57" s="13"/>
      <c r="D57" s="1">
        <f>SUM(OSRRefD22_9x_0)</f>
        <v>0</v>
      </c>
      <c r="E57" s="1"/>
      <c r="F57" s="5">
        <f t="shared" ref="F57:F61" si="48">IF(D$12=0,0,D57/D$12)</f>
        <v>0</v>
      </c>
      <c r="G57" s="1"/>
      <c r="H57" s="1">
        <f>SUM(OSRRefH22_9x_0)</f>
        <v>381.4</v>
      </c>
      <c r="I57" s="1"/>
      <c r="J57" s="5">
        <f t="shared" ref="J57:J61" si="49">IF(H$12=0,0,H57/H$12)</f>
        <v>0</v>
      </c>
      <c r="K57" s="1"/>
      <c r="L57" s="1">
        <f t="shared" ref="L57:L61" si="50">+D57-H57</f>
        <v>-381.4</v>
      </c>
      <c r="M57" s="1"/>
      <c r="N57" s="5">
        <f t="shared" ref="N57:N61" si="51">IF(H57=0,0,L57/H57)</f>
        <v>-1</v>
      </c>
      <c r="O57" s="13"/>
      <c r="P57" s="1">
        <f>SUM(OSRRefP22_9x_0)</f>
        <v>4345.8500000000004</v>
      </c>
      <c r="Q57" s="1"/>
      <c r="R57" s="5">
        <f t="shared" ref="R57:R61" si="52">IF(P$12=0,0,P57/P$12)</f>
        <v>0</v>
      </c>
      <c r="S57" s="1"/>
      <c r="T57" s="1">
        <f>SUM(OSRRefT22_9x_0)</f>
        <v>8710.23</v>
      </c>
      <c r="U57" s="1"/>
      <c r="V57" s="5">
        <f t="shared" ref="V57:V61" si="53">IF(T$12=0,0,T57/T$12)</f>
        <v>0</v>
      </c>
      <c r="W57" s="1"/>
      <c r="X57" s="1">
        <f t="shared" ref="X57:X61" si="54">+P57-T57</f>
        <v>-4364.3799999999992</v>
      </c>
      <c r="Y57" s="1"/>
      <c r="Z57" s="5">
        <f t="shared" ref="Z57:Z61" si="55">IF(T57=0,0,X57/T57)</f>
        <v>-0.50106369177392551</v>
      </c>
    </row>
    <row r="58" spans="1:26" s="24" customFormat="1" hidden="1" outlineLevel="2" x14ac:dyDescent="0.25">
      <c r="A58" s="26"/>
      <c r="B58" s="11" t="str">
        <f>CONCATENATE("          ", "6376", " - ", "TRAINING")</f>
        <v xml:space="preserve">          6376 - TRAINING</v>
      </c>
      <c r="C58" s="11"/>
      <c r="D58" s="6"/>
      <c r="E58" s="2"/>
      <c r="F58" s="7">
        <f t="shared" si="48"/>
        <v>0</v>
      </c>
      <c r="G58" s="2"/>
      <c r="H58" s="6">
        <v>381.4</v>
      </c>
      <c r="I58" s="2"/>
      <c r="J58" s="7">
        <f t="shared" si="49"/>
        <v>0</v>
      </c>
      <c r="K58" s="2"/>
      <c r="L58" s="6">
        <f t="shared" si="50"/>
        <v>-381.4</v>
      </c>
      <c r="M58" s="2"/>
      <c r="N58" s="7">
        <f t="shared" si="51"/>
        <v>-1</v>
      </c>
      <c r="O58" s="11"/>
      <c r="P58" s="6">
        <v>4345.8500000000004</v>
      </c>
      <c r="Q58" s="2"/>
      <c r="R58" s="7">
        <f t="shared" si="52"/>
        <v>0</v>
      </c>
      <c r="S58" s="2"/>
      <c r="T58" s="6">
        <v>8710.23</v>
      </c>
      <c r="U58" s="2"/>
      <c r="V58" s="7">
        <f t="shared" si="53"/>
        <v>0</v>
      </c>
      <c r="W58" s="2"/>
      <c r="X58" s="6">
        <f t="shared" si="54"/>
        <v>-4364.3799999999992</v>
      </c>
      <c r="Y58" s="2"/>
      <c r="Z58" s="7">
        <f t="shared" si="55"/>
        <v>-0.50106369177392551</v>
      </c>
    </row>
    <row r="59" spans="1:26" s="27" customFormat="1" outlineLevel="1" collapsed="1" x14ac:dyDescent="0.25">
      <c r="A59" s="25"/>
      <c r="B59" s="13" t="str">
        <f>CONCATENATE("     ","Travel                                            ")</f>
        <v xml:space="preserve">     Travel                                            </v>
      </c>
      <c r="C59" s="13"/>
      <c r="D59" s="1">
        <f>SUM(OSRRefD22_10x_0)</f>
        <v>0</v>
      </c>
      <c r="E59" s="1"/>
      <c r="F59" s="5">
        <f t="shared" si="48"/>
        <v>0</v>
      </c>
      <c r="G59" s="1"/>
      <c r="H59" s="1">
        <f>SUM(OSRRefH22_10x_0)</f>
        <v>0</v>
      </c>
      <c r="I59" s="1"/>
      <c r="J59" s="5">
        <f t="shared" si="49"/>
        <v>0</v>
      </c>
      <c r="K59" s="1"/>
      <c r="L59" s="1">
        <f t="shared" si="50"/>
        <v>0</v>
      </c>
      <c r="M59" s="1"/>
      <c r="N59" s="5">
        <f t="shared" si="51"/>
        <v>0</v>
      </c>
      <c r="O59" s="13"/>
      <c r="P59" s="1">
        <f>SUM(OSRRefP22_10x_0)</f>
        <v>1383.21</v>
      </c>
      <c r="Q59" s="1"/>
      <c r="R59" s="5">
        <f t="shared" si="52"/>
        <v>0</v>
      </c>
      <c r="S59" s="1"/>
      <c r="T59" s="1">
        <f>SUM(OSRRefT22_10x_0)</f>
        <v>1046.03</v>
      </c>
      <c r="U59" s="1"/>
      <c r="V59" s="5">
        <f t="shared" si="53"/>
        <v>0</v>
      </c>
      <c r="W59" s="1"/>
      <c r="X59" s="1">
        <f t="shared" si="54"/>
        <v>337.18000000000006</v>
      </c>
      <c r="Y59" s="1"/>
      <c r="Z59" s="5">
        <f t="shared" si="55"/>
        <v>0.32234257143676576</v>
      </c>
    </row>
    <row r="60" spans="1:26" s="24" customFormat="1" hidden="1" outlineLevel="2" x14ac:dyDescent="0.25">
      <c r="A60" s="26"/>
      <c r="B60" s="11" t="str">
        <f>CONCATENATE("          ", "6292", " - ", "TRAVEL/CONFERENCE")</f>
        <v xml:space="preserve">          6292 - TRAVEL/CONFERENCE</v>
      </c>
      <c r="C60" s="11"/>
      <c r="D60" s="6"/>
      <c r="E60" s="2"/>
      <c r="F60" s="7">
        <f t="shared" si="48"/>
        <v>0</v>
      </c>
      <c r="G60" s="2"/>
      <c r="H60" s="6"/>
      <c r="I60" s="2"/>
      <c r="J60" s="7">
        <f t="shared" si="49"/>
        <v>0</v>
      </c>
      <c r="K60" s="2"/>
      <c r="L60" s="6">
        <f t="shared" si="50"/>
        <v>0</v>
      </c>
      <c r="M60" s="2"/>
      <c r="N60" s="7">
        <f t="shared" si="51"/>
        <v>0</v>
      </c>
      <c r="O60" s="11"/>
      <c r="P60" s="6">
        <v>1359.31</v>
      </c>
      <c r="Q60" s="2"/>
      <c r="R60" s="7">
        <f t="shared" si="52"/>
        <v>0</v>
      </c>
      <c r="S60" s="2"/>
      <c r="T60" s="6">
        <v>1046.03</v>
      </c>
      <c r="U60" s="2"/>
      <c r="V60" s="7">
        <f t="shared" si="53"/>
        <v>0</v>
      </c>
      <c r="W60" s="2"/>
      <c r="X60" s="6">
        <f t="shared" si="54"/>
        <v>313.27999999999997</v>
      </c>
      <c r="Y60" s="2"/>
      <c r="Z60" s="7">
        <f t="shared" si="55"/>
        <v>0.29949427836677722</v>
      </c>
    </row>
    <row r="61" spans="1:26" s="24" customFormat="1" hidden="1" outlineLevel="2" x14ac:dyDescent="0.25">
      <c r="A61" s="26"/>
      <c r="B61" s="11" t="str">
        <f>CONCATENATE("          ", "6294", " - ", "TRAVEL OPERATIONAL")</f>
        <v xml:space="preserve">          6294 - TRAVEL OPERATIONAL</v>
      </c>
      <c r="C61" s="11"/>
      <c r="D61" s="6"/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23.9</v>
      </c>
      <c r="Q61" s="2"/>
      <c r="R61" s="7">
        <f t="shared" si="52"/>
        <v>0</v>
      </c>
      <c r="S61" s="2"/>
      <c r="T61" s="6"/>
      <c r="U61" s="2"/>
      <c r="V61" s="7">
        <f t="shared" si="53"/>
        <v>0</v>
      </c>
      <c r="W61" s="2"/>
      <c r="X61" s="6">
        <f t="shared" si="54"/>
        <v>23.9</v>
      </c>
      <c r="Y61" s="2"/>
      <c r="Z61" s="7">
        <f t="shared" si="55"/>
        <v>0</v>
      </c>
    </row>
    <row r="62" spans="1:26" s="58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1">
        <f>+D16-D18+D63</f>
        <v>-45869.249999999985</v>
      </c>
      <c r="E65" s="14"/>
      <c r="F65" s="20">
        <f>IF(D$12=0,0,D65/D$12)</f>
        <v>0</v>
      </c>
      <c r="G65" s="14"/>
      <c r="H65" s="21">
        <f>+H16-H18+H63</f>
        <v>-58796.670000000006</v>
      </c>
      <c r="I65" s="14"/>
      <c r="J65" s="20">
        <f>IF(H$12=0,0,H65/H$12)</f>
        <v>0</v>
      </c>
      <c r="K65" s="16"/>
      <c r="L65" s="21">
        <f>+D65-H65</f>
        <v>12927.42000000002</v>
      </c>
      <c r="M65" s="16"/>
      <c r="N65" s="20">
        <f>IF(H65=0,0,L65/H65)</f>
        <v>-0.21986653325775113</v>
      </c>
      <c r="O65" s="28"/>
      <c r="P65" s="21">
        <f>+P16-P18+P63</f>
        <v>-637097.89999999991</v>
      </c>
      <c r="Q65" s="14"/>
      <c r="R65" s="20">
        <f>IF(P$12=0,0,P65/P$12)</f>
        <v>0</v>
      </c>
      <c r="S65" s="14"/>
      <c r="T65" s="21">
        <f>+T16-T18+T63</f>
        <v>-723006.78999999992</v>
      </c>
      <c r="U65" s="14"/>
      <c r="V65" s="20">
        <f>IF(T$12=0,0,T65/T$12)</f>
        <v>0</v>
      </c>
      <c r="W65" s="16"/>
      <c r="X65" s="21">
        <f>+P65-T65</f>
        <v>85908.890000000014</v>
      </c>
      <c r="Y65" s="16"/>
      <c r="Z65" s="20">
        <f>IF(T65=0,0,X65/T65)</f>
        <v>-0.11882169184054278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5">
        <f>+D65-D67</f>
        <v>-45869.249999999985</v>
      </c>
      <c r="E69" s="14"/>
      <c r="F69" s="32">
        <f>IF(D$12=0,0,D69/D$12)</f>
        <v>0</v>
      </c>
      <c r="G69" s="14"/>
      <c r="H69" s="35">
        <f>+H65-H67</f>
        <v>-58796.670000000006</v>
      </c>
      <c r="I69" s="14"/>
      <c r="J69" s="32">
        <f>IF(H$12=0,0,H69/H$12)</f>
        <v>0</v>
      </c>
      <c r="K69" s="16"/>
      <c r="L69" s="35">
        <f>D69-H69</f>
        <v>12927.42000000002</v>
      </c>
      <c r="M69" s="16"/>
      <c r="N69" s="32">
        <f>IF(H69=0,0,L69/H69)</f>
        <v>-0.21986653325775113</v>
      </c>
      <c r="O69" s="28"/>
      <c r="P69" s="35">
        <f>+P65-P67</f>
        <v>-637097.89999999991</v>
      </c>
      <c r="Q69" s="14"/>
      <c r="R69" s="32">
        <f>IF(P$12=0,0,P69/P$12)</f>
        <v>0</v>
      </c>
      <c r="S69" s="14"/>
      <c r="T69" s="35">
        <f>+T65-T67</f>
        <v>-723006.78999999992</v>
      </c>
      <c r="U69" s="14"/>
      <c r="V69" s="32">
        <f>IF(T$12=0,0,T69/T$12)</f>
        <v>0</v>
      </c>
      <c r="W69" s="16"/>
      <c r="X69" s="35">
        <f>P69-T69</f>
        <v>85908.890000000014</v>
      </c>
      <c r="Y69" s="16"/>
      <c r="Z69" s="32">
        <f>IF(T69=0,0,X69/T69)</f>
        <v>-0.11882169184054278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6">
        <f>SUM(D69:D71)</f>
        <v>-45869.249999999985</v>
      </c>
      <c r="E72" s="14"/>
      <c r="F72" s="33">
        <f>IF(D$12=0,0,D72/D$12)</f>
        <v>0</v>
      </c>
      <c r="G72" s="14"/>
      <c r="H72" s="36">
        <f>SUM(H69:H71)</f>
        <v>-58796.670000000006</v>
      </c>
      <c r="I72" s="14"/>
      <c r="J72" s="33">
        <f>IF(H$12=0,0,H72/H$12)</f>
        <v>0</v>
      </c>
      <c r="K72" s="16"/>
      <c r="L72" s="36">
        <f>+D72-H72</f>
        <v>12927.42000000002</v>
      </c>
      <c r="M72" s="16"/>
      <c r="N72" s="33">
        <f>IF(H72=0,0,L72/H72)</f>
        <v>-0.21986653325775113</v>
      </c>
      <c r="O72" s="28"/>
      <c r="P72" s="36">
        <f>SUM(P69:P71)</f>
        <v>-637097.89999999991</v>
      </c>
      <c r="Q72" s="14"/>
      <c r="R72" s="33">
        <f>IF(P$12=0,0,P72/P$12)</f>
        <v>0</v>
      </c>
      <c r="S72" s="14"/>
      <c r="T72" s="36">
        <f>SUM(T69:T71)</f>
        <v>-723006.78999999992</v>
      </c>
      <c r="U72" s="14"/>
      <c r="V72" s="33">
        <f>IF(T$12=0,0,T72/T$12)</f>
        <v>0</v>
      </c>
      <c r="W72" s="16"/>
      <c r="X72" s="36">
        <f>+P72-T72</f>
        <v>85908.890000000014</v>
      </c>
      <c r="Y72" s="16"/>
      <c r="Z72" s="33">
        <f>IF(T72=0,0,X72/T72)</f>
        <v>-0.11882169184054278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5">
        <v>43992.37520130787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62" t="s">
        <v>313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3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3332.2499999999995</v>
      </c>
      <c r="E18" s="22"/>
      <c r="F18" s="31">
        <f t="shared" ref="F18:F27" si="0">IF(D$12=0,0,D18/D$12)</f>
        <v>0</v>
      </c>
      <c r="G18" s="22"/>
      <c r="H18" s="22">
        <f>SUM(OSRRefH22x_0)</f>
        <v>8689.9900000000016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-5357.7400000000016</v>
      </c>
      <c r="M18" s="4"/>
      <c r="N18" s="31">
        <f t="shared" ref="N18:N27" si="3">IF(H18=0,0,L18/H18)</f>
        <v>-0.6165415610374696</v>
      </c>
      <c r="O18" s="10"/>
      <c r="P18" s="22">
        <f>SUM(OSRRefP22x_0)</f>
        <v>84171.829999999973</v>
      </c>
      <c r="Q18" s="22"/>
      <c r="R18" s="31">
        <f t="shared" ref="R18:R27" si="4">IF(P$12=0,0,P18/P$12)</f>
        <v>0</v>
      </c>
      <c r="S18" s="22"/>
      <c r="T18" s="22">
        <f>SUM(OSRRefT22x_0)</f>
        <v>89172.540000000008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-5000.7100000000355</v>
      </c>
      <c r="Y18" s="4"/>
      <c r="Z18" s="31">
        <f t="shared" ref="Z18:Z27" si="7">IF(T18=0,0,X18/T18)</f>
        <v>-5.6079035093090708E-2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2098.7199999999998</v>
      </c>
      <c r="E19" s="1"/>
      <c r="F19" s="5">
        <f t="shared" si="0"/>
        <v>0</v>
      </c>
      <c r="G19" s="1"/>
      <c r="H19" s="1">
        <f>SUM(OSRRefH22_0x_0)</f>
        <v>2746.66</v>
      </c>
      <c r="I19" s="1"/>
      <c r="J19" s="5">
        <f t="shared" si="1"/>
        <v>0</v>
      </c>
      <c r="K19" s="1"/>
      <c r="L19" s="1">
        <f t="shared" si="2"/>
        <v>-647.94000000000005</v>
      </c>
      <c r="M19" s="1"/>
      <c r="N19" s="5">
        <f t="shared" si="3"/>
        <v>-0.23590105801227676</v>
      </c>
      <c r="O19" s="13"/>
      <c r="P19" s="1">
        <f>SUM(OSRRefP22_0x_0)</f>
        <v>28633.19</v>
      </c>
      <c r="Q19" s="1"/>
      <c r="R19" s="5">
        <f t="shared" si="4"/>
        <v>0</v>
      </c>
      <c r="S19" s="1"/>
      <c r="T19" s="1">
        <f>SUM(OSRRefT22_0x_0)</f>
        <v>25921.410000000003</v>
      </c>
      <c r="U19" s="1"/>
      <c r="V19" s="5">
        <f t="shared" si="5"/>
        <v>0</v>
      </c>
      <c r="W19" s="1"/>
      <c r="X19" s="1">
        <f t="shared" si="6"/>
        <v>2711.7799999999952</v>
      </c>
      <c r="Y19" s="1"/>
      <c r="Z19" s="5">
        <f t="shared" si="7"/>
        <v>0.10461545108850155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477.93</v>
      </c>
      <c r="I20" s="2"/>
      <c r="J20" s="7">
        <f t="shared" si="1"/>
        <v>0</v>
      </c>
      <c r="K20" s="2"/>
      <c r="L20" s="6">
        <f t="shared" si="2"/>
        <v>-162.09000000000003</v>
      </c>
      <c r="M20" s="2"/>
      <c r="N20" s="7">
        <f t="shared" si="3"/>
        <v>-0.33915008474044323</v>
      </c>
      <c r="O20" s="11"/>
      <c r="P20" s="6">
        <v>3881.72</v>
      </c>
      <c r="Q20" s="2"/>
      <c r="R20" s="7">
        <f t="shared" si="4"/>
        <v>0</v>
      </c>
      <c r="S20" s="2"/>
      <c r="T20" s="6">
        <v>3728.07</v>
      </c>
      <c r="U20" s="2"/>
      <c r="V20" s="7">
        <f t="shared" si="5"/>
        <v>0</v>
      </c>
      <c r="W20" s="2"/>
      <c r="X20" s="6">
        <f t="shared" si="6"/>
        <v>153.64999999999964</v>
      </c>
      <c r="Y20" s="2"/>
      <c r="Z20" s="7">
        <f t="shared" si="7"/>
        <v>4.1214354880675423E-2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419.29</v>
      </c>
      <c r="E21" s="2"/>
      <c r="F21" s="7">
        <f t="shared" si="0"/>
        <v>0</v>
      </c>
      <c r="G21" s="2"/>
      <c r="H21" s="6">
        <v>182.01</v>
      </c>
      <c r="I21" s="2"/>
      <c r="J21" s="7">
        <f t="shared" si="1"/>
        <v>0</v>
      </c>
      <c r="K21" s="2"/>
      <c r="L21" s="6">
        <f t="shared" si="2"/>
        <v>237.28000000000003</v>
      </c>
      <c r="M21" s="2"/>
      <c r="N21" s="7">
        <f t="shared" si="3"/>
        <v>1.3036646338113294</v>
      </c>
      <c r="O21" s="11"/>
      <c r="P21" s="6">
        <v>3071.26</v>
      </c>
      <c r="Q21" s="2"/>
      <c r="R21" s="7">
        <f t="shared" si="4"/>
        <v>0</v>
      </c>
      <c r="S21" s="2"/>
      <c r="T21" s="6">
        <v>1884.31</v>
      </c>
      <c r="U21" s="2"/>
      <c r="V21" s="7">
        <f t="shared" si="5"/>
        <v>0</v>
      </c>
      <c r="W21" s="2"/>
      <c r="X21" s="6">
        <f t="shared" si="6"/>
        <v>1186.9500000000003</v>
      </c>
      <c r="Y21" s="2"/>
      <c r="Z21" s="7">
        <f t="shared" si="7"/>
        <v>0.62991227558098206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1.0199999999999818</v>
      </c>
      <c r="M22" s="2"/>
      <c r="N22" s="7">
        <f t="shared" si="3"/>
        <v>1.4673303219495091E-3</v>
      </c>
      <c r="O22" s="11"/>
      <c r="P22" s="6">
        <v>7651.64</v>
      </c>
      <c r="Q22" s="2"/>
      <c r="R22" s="7">
        <f t="shared" si="4"/>
        <v>0</v>
      </c>
      <c r="S22" s="2"/>
      <c r="T22" s="6">
        <v>7220.11</v>
      </c>
      <c r="U22" s="2"/>
      <c r="V22" s="7">
        <f t="shared" si="5"/>
        <v>0</v>
      </c>
      <c r="W22" s="2"/>
      <c r="X22" s="6">
        <f t="shared" si="6"/>
        <v>431.53000000000065</v>
      </c>
      <c r="Y22" s="2"/>
      <c r="Z22" s="7">
        <f t="shared" si="7"/>
        <v>5.976778747138211E-2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16.100000000000001</v>
      </c>
      <c r="E23" s="2"/>
      <c r="F23" s="7">
        <f t="shared" si="0"/>
        <v>0</v>
      </c>
      <c r="G23" s="2"/>
      <c r="H23" s="6">
        <v>10.83</v>
      </c>
      <c r="I23" s="2"/>
      <c r="J23" s="7">
        <f t="shared" si="1"/>
        <v>0</v>
      </c>
      <c r="K23" s="2"/>
      <c r="L23" s="6">
        <f t="shared" si="2"/>
        <v>5.2700000000000014</v>
      </c>
      <c r="M23" s="2"/>
      <c r="N23" s="7">
        <f t="shared" si="3"/>
        <v>0.48661126500461693</v>
      </c>
      <c r="O23" s="11"/>
      <c r="P23" s="6">
        <v>131</v>
      </c>
      <c r="Q23" s="2"/>
      <c r="R23" s="7">
        <f t="shared" si="4"/>
        <v>0</v>
      </c>
      <c r="S23" s="2"/>
      <c r="T23" s="6">
        <v>126.02</v>
      </c>
      <c r="U23" s="2"/>
      <c r="V23" s="7">
        <f t="shared" si="5"/>
        <v>0</v>
      </c>
      <c r="W23" s="2"/>
      <c r="X23" s="6">
        <f t="shared" si="6"/>
        <v>4.980000000000004</v>
      </c>
      <c r="Y23" s="2"/>
      <c r="Z23" s="7">
        <f t="shared" si="7"/>
        <v>3.951753689890497E-2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383.64</v>
      </c>
      <c r="I24" s="2"/>
      <c r="J24" s="7">
        <f t="shared" si="1"/>
        <v>0</v>
      </c>
      <c r="K24" s="2"/>
      <c r="L24" s="6">
        <f t="shared" si="2"/>
        <v>45.620000000000005</v>
      </c>
      <c r="M24" s="2"/>
      <c r="N24" s="7">
        <f t="shared" si="3"/>
        <v>0.11891356480033366</v>
      </c>
      <c r="O24" s="11"/>
      <c r="P24" s="6">
        <v>4936.4799999999996</v>
      </c>
      <c r="Q24" s="2"/>
      <c r="R24" s="7">
        <f t="shared" si="4"/>
        <v>0</v>
      </c>
      <c r="S24" s="2"/>
      <c r="T24" s="6">
        <v>4612.5</v>
      </c>
      <c r="U24" s="2"/>
      <c r="V24" s="7">
        <f t="shared" si="5"/>
        <v>0</v>
      </c>
      <c r="W24" s="2"/>
      <c r="X24" s="6">
        <f t="shared" si="6"/>
        <v>323.97999999999956</v>
      </c>
      <c r="Y24" s="2"/>
      <c r="Z24" s="7">
        <f t="shared" si="7"/>
        <v>7.0239566395663866E-2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28.35</v>
      </c>
      <c r="E25" s="2"/>
      <c r="F25" s="7">
        <f t="shared" si="0"/>
        <v>0</v>
      </c>
      <c r="G25" s="2"/>
      <c r="H25" s="6">
        <v>564.99</v>
      </c>
      <c r="I25" s="2"/>
      <c r="J25" s="7">
        <f t="shared" si="1"/>
        <v>0</v>
      </c>
      <c r="K25" s="2"/>
      <c r="L25" s="6">
        <f t="shared" si="2"/>
        <v>-536.64</v>
      </c>
      <c r="M25" s="2"/>
      <c r="N25" s="7">
        <f t="shared" si="3"/>
        <v>-0.94982212074549988</v>
      </c>
      <c r="O25" s="11"/>
      <c r="P25" s="6">
        <v>4611.1400000000003</v>
      </c>
      <c r="Q25" s="2"/>
      <c r="R25" s="7">
        <f t="shared" si="4"/>
        <v>0</v>
      </c>
      <c r="S25" s="2"/>
      <c r="T25" s="6">
        <v>3711.72</v>
      </c>
      <c r="U25" s="2"/>
      <c r="V25" s="7">
        <f t="shared" si="5"/>
        <v>0</v>
      </c>
      <c r="W25" s="2"/>
      <c r="X25" s="6">
        <f t="shared" si="6"/>
        <v>899.42000000000053</v>
      </c>
      <c r="Y25" s="2"/>
      <c r="Z25" s="7">
        <f t="shared" si="7"/>
        <v>0.24231892491890566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282.12</v>
      </c>
      <c r="I26" s="2"/>
      <c r="J26" s="7">
        <f t="shared" si="1"/>
        <v>0</v>
      </c>
      <c r="K26" s="2"/>
      <c r="L26" s="6">
        <f t="shared" si="2"/>
        <v>-88.4</v>
      </c>
      <c r="M26" s="2"/>
      <c r="N26" s="7">
        <f t="shared" si="3"/>
        <v>-0.31334184035162344</v>
      </c>
      <c r="O26" s="11"/>
      <c r="P26" s="6">
        <v>3169.68</v>
      </c>
      <c r="Q26" s="2"/>
      <c r="R26" s="7">
        <f t="shared" si="4"/>
        <v>0</v>
      </c>
      <c r="S26" s="2"/>
      <c r="T26" s="6">
        <v>3038.11</v>
      </c>
      <c r="U26" s="2"/>
      <c r="V26" s="7">
        <f t="shared" si="5"/>
        <v>0</v>
      </c>
      <c r="W26" s="2"/>
      <c r="X26" s="6">
        <f t="shared" si="6"/>
        <v>131.56999999999971</v>
      </c>
      <c r="Y26" s="2"/>
      <c r="Z26" s="7">
        <f t="shared" si="7"/>
        <v>4.3306529388336727E-2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150</v>
      </c>
      <c r="I27" s="2"/>
      <c r="J27" s="7">
        <f t="shared" si="1"/>
        <v>0</v>
      </c>
      <c r="K27" s="2"/>
      <c r="L27" s="6">
        <f t="shared" si="2"/>
        <v>-150</v>
      </c>
      <c r="M27" s="2"/>
      <c r="N27" s="7">
        <f t="shared" si="3"/>
        <v>-1</v>
      </c>
      <c r="O27" s="11"/>
      <c r="P27" s="6">
        <v>1180.27</v>
      </c>
      <c r="Q27" s="2"/>
      <c r="R27" s="7">
        <f t="shared" si="4"/>
        <v>0</v>
      </c>
      <c r="S27" s="2"/>
      <c r="T27" s="6">
        <v>1600.57</v>
      </c>
      <c r="U27" s="2"/>
      <c r="V27" s="7">
        <f t="shared" si="5"/>
        <v>0</v>
      </c>
      <c r="W27" s="2"/>
      <c r="X27" s="6">
        <f t="shared" si="6"/>
        <v>-420.29999999999995</v>
      </c>
      <c r="Y27" s="2"/>
      <c r="Z27" s="7">
        <f t="shared" si="7"/>
        <v>-0.2625939509049901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419.97</v>
      </c>
      <c r="E28" s="1"/>
      <c r="F28" s="5">
        <f t="shared" ref="F28:F37" si="8">IF(D$12=0,0,D28/D$12)</f>
        <v>0</v>
      </c>
      <c r="G28" s="1"/>
      <c r="H28" s="1">
        <f>SUM(OSRRefH22_1x_0)</f>
        <v>4307.1000000000004</v>
      </c>
      <c r="I28" s="1"/>
      <c r="J28" s="5">
        <f t="shared" ref="J28:J37" si="9">IF(H$12=0,0,H28/H$12)</f>
        <v>0</v>
      </c>
      <c r="K28" s="1"/>
      <c r="L28" s="1">
        <f t="shared" ref="L28:L37" si="10">+D28-H28</f>
        <v>-3887.13</v>
      </c>
      <c r="M28" s="1"/>
      <c r="N28" s="5">
        <f t="shared" ref="N28:N37" si="11">IF(H28=0,0,L28/H28)</f>
        <v>-0.90249355714982238</v>
      </c>
      <c r="O28" s="13"/>
      <c r="P28" s="1">
        <f>SUM(OSRRefP22_1x_0)</f>
        <v>32928.659999999996</v>
      </c>
      <c r="Q28" s="1"/>
      <c r="R28" s="5">
        <f t="shared" ref="R28:R37" si="12">IF(P$12=0,0,P28/P$12)</f>
        <v>0</v>
      </c>
      <c r="S28" s="1"/>
      <c r="T28" s="1">
        <f>SUM(OSRRefT22_1x_0)</f>
        <v>44176.2</v>
      </c>
      <c r="U28" s="1"/>
      <c r="V28" s="5">
        <f t="shared" ref="V28:V37" si="13">IF(T$12=0,0,T28/T$12)</f>
        <v>0</v>
      </c>
      <c r="W28" s="1"/>
      <c r="X28" s="1">
        <f t="shared" ref="X28:X37" si="14">+P28-T28</f>
        <v>-11247.54</v>
      </c>
      <c r="Y28" s="1"/>
      <c r="Z28" s="5">
        <f t="shared" ref="Z28:Z37" si="15">IF(T28=0,0,X28/T28)</f>
        <v>-0.25460632648349113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419.97</v>
      </c>
      <c r="E29" s="2"/>
      <c r="F29" s="7">
        <f t="shared" si="8"/>
        <v>0</v>
      </c>
      <c r="G29" s="2"/>
      <c r="H29" s="6">
        <v>4307.1000000000004</v>
      </c>
      <c r="I29" s="2"/>
      <c r="J29" s="7">
        <f t="shared" si="9"/>
        <v>0</v>
      </c>
      <c r="K29" s="2"/>
      <c r="L29" s="6">
        <f t="shared" si="10"/>
        <v>-3887.13</v>
      </c>
      <c r="M29" s="2"/>
      <c r="N29" s="7">
        <f t="shared" si="11"/>
        <v>-0.90249355714982238</v>
      </c>
      <c r="O29" s="11"/>
      <c r="P29" s="6">
        <v>32928.659999999996</v>
      </c>
      <c r="Q29" s="2"/>
      <c r="R29" s="7">
        <f t="shared" si="12"/>
        <v>0</v>
      </c>
      <c r="S29" s="2"/>
      <c r="T29" s="6">
        <v>44176.2</v>
      </c>
      <c r="U29" s="2"/>
      <c r="V29" s="7">
        <f t="shared" si="13"/>
        <v>0</v>
      </c>
      <c r="W29" s="2"/>
      <c r="X29" s="6">
        <f t="shared" si="14"/>
        <v>-11247.54</v>
      </c>
      <c r="Y29" s="2"/>
      <c r="Z29" s="7">
        <f t="shared" si="15"/>
        <v>-0.25460632648349113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-908.94</v>
      </c>
      <c r="Q30" s="1"/>
      <c r="R30" s="5">
        <f t="shared" si="12"/>
        <v>0</v>
      </c>
      <c r="S30" s="1"/>
      <c r="T30" s="1">
        <f>SUM(OSRRefT22_2x_0)</f>
        <v>-3317.4</v>
      </c>
      <c r="U30" s="1"/>
      <c r="V30" s="5">
        <f t="shared" si="13"/>
        <v>0</v>
      </c>
      <c r="W30" s="1"/>
      <c r="X30" s="1">
        <f t="shared" si="14"/>
        <v>2408.46</v>
      </c>
      <c r="Y30" s="1"/>
      <c r="Z30" s="5">
        <f t="shared" si="15"/>
        <v>-0.72600831976849334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-908.94</v>
      </c>
      <c r="Q31" s="2"/>
      <c r="R31" s="7">
        <f t="shared" si="12"/>
        <v>0</v>
      </c>
      <c r="S31" s="2"/>
      <c r="T31" s="6">
        <v>-3317.4</v>
      </c>
      <c r="U31" s="2"/>
      <c r="V31" s="7">
        <f t="shared" si="13"/>
        <v>0</v>
      </c>
      <c r="W31" s="2"/>
      <c r="X31" s="6">
        <f t="shared" si="14"/>
        <v>2408.46</v>
      </c>
      <c r="Y31" s="2"/>
      <c r="Z31" s="7">
        <f t="shared" si="15"/>
        <v>-0.72600831976849334</v>
      </c>
    </row>
    <row r="32" spans="1:26" s="27" customFormat="1" outlineLevel="1" collapsed="1" x14ac:dyDescent="0.25">
      <c r="A32" s="25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270.16000000000003</v>
      </c>
      <c r="Q32" s="1"/>
      <c r="R32" s="5">
        <f t="shared" si="12"/>
        <v>0</v>
      </c>
      <c r="S32" s="1"/>
      <c r="T32" s="1">
        <f>SUM(OSRRefT22_3x_0)</f>
        <v>213.25</v>
      </c>
      <c r="U32" s="1"/>
      <c r="V32" s="5">
        <f t="shared" si="13"/>
        <v>0</v>
      </c>
      <c r="W32" s="1"/>
      <c r="X32" s="1">
        <f t="shared" si="14"/>
        <v>56.910000000000025</v>
      </c>
      <c r="Y32" s="1"/>
      <c r="Z32" s="5">
        <f t="shared" si="15"/>
        <v>0.26686987104337645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270.16000000000003</v>
      </c>
      <c r="Q33" s="2"/>
      <c r="R33" s="7">
        <f t="shared" si="12"/>
        <v>0</v>
      </c>
      <c r="S33" s="2"/>
      <c r="T33" s="6">
        <v>213.25</v>
      </c>
      <c r="U33" s="2"/>
      <c r="V33" s="7">
        <f t="shared" si="13"/>
        <v>0</v>
      </c>
      <c r="W33" s="2"/>
      <c r="X33" s="6">
        <f t="shared" si="14"/>
        <v>56.910000000000025</v>
      </c>
      <c r="Y33" s="2"/>
      <c r="Z33" s="7">
        <f t="shared" si="15"/>
        <v>0.26686987104337645</v>
      </c>
    </row>
    <row r="34" spans="1:26" s="27" customFormat="1" outlineLevel="1" collapsed="1" x14ac:dyDescent="0.25">
      <c r="A34" s="25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866</v>
      </c>
      <c r="E34" s="1"/>
      <c r="F34" s="5">
        <f t="shared" si="8"/>
        <v>0</v>
      </c>
      <c r="G34" s="1"/>
      <c r="H34" s="1">
        <f>SUM(OSRRefH22_4x_0)</f>
        <v>1405.95</v>
      </c>
      <c r="I34" s="1"/>
      <c r="J34" s="5">
        <f t="shared" si="9"/>
        <v>0</v>
      </c>
      <c r="K34" s="1"/>
      <c r="L34" s="1">
        <f t="shared" si="10"/>
        <v>-539.95000000000005</v>
      </c>
      <c r="M34" s="1"/>
      <c r="N34" s="5">
        <f t="shared" si="11"/>
        <v>-0.3840463743376365</v>
      </c>
      <c r="O34" s="13"/>
      <c r="P34" s="1">
        <f>SUM(OSRRefP22_4x_0)</f>
        <v>21028.82</v>
      </c>
      <c r="Q34" s="1"/>
      <c r="R34" s="5">
        <f t="shared" si="12"/>
        <v>0</v>
      </c>
      <c r="S34" s="1"/>
      <c r="T34" s="1">
        <f>SUM(OSRRefT22_4x_0)</f>
        <v>18013.559999999998</v>
      </c>
      <c r="U34" s="1"/>
      <c r="V34" s="5">
        <f t="shared" si="13"/>
        <v>0</v>
      </c>
      <c r="W34" s="1"/>
      <c r="X34" s="1">
        <f t="shared" si="14"/>
        <v>3015.260000000002</v>
      </c>
      <c r="Y34" s="1"/>
      <c r="Z34" s="5">
        <f t="shared" si="15"/>
        <v>0.16738834522437554</v>
      </c>
    </row>
    <row r="35" spans="1:26" s="24" customFormat="1" hidden="1" outlineLevel="2" x14ac:dyDescent="0.25">
      <c r="A35" s="26"/>
      <c r="B35" s="11" t="str">
        <f>CONCATENATE("          ", "6371", " - ", "COMPUTER SOFTWARE MAINTENANCE")</f>
        <v xml:space="preserve">          6371 - COMPUTER SOFTWARE MAINTENANCE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4968.9799999999996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4968.9799999999996</v>
      </c>
      <c r="Y35" s="2"/>
      <c r="Z35" s="7">
        <f t="shared" si="15"/>
        <v>0</v>
      </c>
    </row>
    <row r="36" spans="1:26" s="24" customFormat="1" hidden="1" outlineLevel="2" x14ac:dyDescent="0.25">
      <c r="A36" s="26"/>
      <c r="B36" s="11" t="str">
        <f>CONCATENATE("          ", "6373", " - ", "MAINTENANCE CONTRACTS")</f>
        <v xml:space="preserve">          6373 - MAINTENANCE CONTRACTS</v>
      </c>
      <c r="C36" s="11"/>
      <c r="D36" s="6">
        <v>866</v>
      </c>
      <c r="E36" s="2"/>
      <c r="F36" s="7">
        <f t="shared" si="8"/>
        <v>0</v>
      </c>
      <c r="G36" s="2"/>
      <c r="H36" s="6">
        <v>1405.95</v>
      </c>
      <c r="I36" s="2"/>
      <c r="J36" s="7">
        <f t="shared" si="9"/>
        <v>0</v>
      </c>
      <c r="K36" s="2"/>
      <c r="L36" s="6">
        <f t="shared" si="10"/>
        <v>-539.95000000000005</v>
      </c>
      <c r="M36" s="2"/>
      <c r="N36" s="7">
        <f t="shared" si="11"/>
        <v>-0.3840463743376365</v>
      </c>
      <c r="O36" s="11"/>
      <c r="P36" s="6">
        <v>13653.91</v>
      </c>
      <c r="Q36" s="2"/>
      <c r="R36" s="7">
        <f t="shared" si="12"/>
        <v>0</v>
      </c>
      <c r="S36" s="2"/>
      <c r="T36" s="6">
        <v>16335.8</v>
      </c>
      <c r="U36" s="2"/>
      <c r="V36" s="7">
        <f t="shared" si="13"/>
        <v>0</v>
      </c>
      <c r="W36" s="2"/>
      <c r="X36" s="6">
        <f t="shared" si="14"/>
        <v>-2681.8899999999994</v>
      </c>
      <c r="Y36" s="2"/>
      <c r="Z36" s="7">
        <f t="shared" si="15"/>
        <v>-0.16417255353273177</v>
      </c>
    </row>
    <row r="37" spans="1:26" s="24" customFormat="1" hidden="1" outlineLevel="2" x14ac:dyDescent="0.25">
      <c r="A37" s="26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2405.9299999999998</v>
      </c>
      <c r="Q37" s="2"/>
      <c r="R37" s="7">
        <f t="shared" si="12"/>
        <v>0</v>
      </c>
      <c r="S37" s="2"/>
      <c r="T37" s="6">
        <v>1677.76</v>
      </c>
      <c r="U37" s="2"/>
      <c r="V37" s="7">
        <f t="shared" si="13"/>
        <v>0</v>
      </c>
      <c r="W37" s="2"/>
      <c r="X37" s="6">
        <f t="shared" si="14"/>
        <v>728.16999999999985</v>
      </c>
      <c r="Y37" s="2"/>
      <c r="Z37" s="7">
        <f t="shared" si="15"/>
        <v>0.43401320808697302</v>
      </c>
    </row>
    <row r="38" spans="1:26" s="27" customFormat="1" outlineLevel="1" collapsed="1" x14ac:dyDescent="0.25">
      <c r="A38" s="25"/>
      <c r="B38" s="13" t="str">
        <f>CONCATENATE("     ","Services                                          ")</f>
        <v xml:space="preserve">     Services                                          </v>
      </c>
      <c r="C38" s="13"/>
      <c r="D38" s="1">
        <f>SUM(OSRRefD22_5x_0)</f>
        <v>0</v>
      </c>
      <c r="E38" s="1"/>
      <c r="F38" s="5">
        <f t="shared" ref="F38:F42" si="16">IF(D$12=0,0,D38/D$12)</f>
        <v>0</v>
      </c>
      <c r="G38" s="1"/>
      <c r="H38" s="1">
        <f>SUM(OSRRefH22_5x_0)</f>
        <v>4.42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-4.42</v>
      </c>
      <c r="M38" s="1"/>
      <c r="N38" s="5">
        <f t="shared" ref="N38:N42" si="19">IF(H38=0,0,L38/H38)</f>
        <v>-1</v>
      </c>
      <c r="O38" s="13"/>
      <c r="P38" s="1">
        <f>SUM(OSRRefP22_5x_0)</f>
        <v>83.98</v>
      </c>
      <c r="Q38" s="1"/>
      <c r="R38" s="5">
        <f t="shared" ref="R38:R42" si="20">IF(P$12=0,0,P38/P$12)</f>
        <v>0</v>
      </c>
      <c r="S38" s="1"/>
      <c r="T38" s="1">
        <f>SUM(OSRRefT22_5x_0)</f>
        <v>89.38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-5.3999999999999915</v>
      </c>
      <c r="Y38" s="1"/>
      <c r="Z38" s="5">
        <f t="shared" ref="Z38:Z42" si="23">IF(T38=0,0,X38/T38)</f>
        <v>-6.041620049228006E-2</v>
      </c>
    </row>
    <row r="39" spans="1:26" s="24" customFormat="1" hidden="1" outlineLevel="2" x14ac:dyDescent="0.25">
      <c r="A39" s="26"/>
      <c r="B39" s="11" t="str">
        <f>CONCATENATE("          ", "6286", " - ", "LAUNDRY EXPENSE")</f>
        <v xml:space="preserve">          6286 - LAUNDRY EXPENSE</v>
      </c>
      <c r="C39" s="11"/>
      <c r="D39" s="6"/>
      <c r="E39" s="2"/>
      <c r="F39" s="7">
        <f t="shared" si="16"/>
        <v>0</v>
      </c>
      <c r="G39" s="2"/>
      <c r="H39" s="6">
        <v>4.42</v>
      </c>
      <c r="I39" s="2"/>
      <c r="J39" s="7">
        <f t="shared" si="17"/>
        <v>0</v>
      </c>
      <c r="K39" s="2"/>
      <c r="L39" s="6">
        <f t="shared" si="18"/>
        <v>-4.42</v>
      </c>
      <c r="M39" s="2"/>
      <c r="N39" s="7">
        <f t="shared" si="19"/>
        <v>-1</v>
      </c>
      <c r="O39" s="11"/>
      <c r="P39" s="6">
        <v>83.98</v>
      </c>
      <c r="Q39" s="2"/>
      <c r="R39" s="7">
        <f t="shared" si="20"/>
        <v>0</v>
      </c>
      <c r="S39" s="2"/>
      <c r="T39" s="6">
        <v>89.38</v>
      </c>
      <c r="U39" s="2"/>
      <c r="V39" s="7">
        <f t="shared" si="21"/>
        <v>0</v>
      </c>
      <c r="W39" s="2"/>
      <c r="X39" s="6">
        <f t="shared" si="22"/>
        <v>-5.3999999999999915</v>
      </c>
      <c r="Y39" s="2"/>
      <c r="Z39" s="7">
        <f t="shared" si="23"/>
        <v>-6.041620049228006E-2</v>
      </c>
    </row>
    <row r="40" spans="1:26" s="27" customFormat="1" outlineLevel="1" collapsed="1" x14ac:dyDescent="0.25">
      <c r="A40" s="25"/>
      <c r="B40" s="13" t="str">
        <f>CONCATENATE("     ","Supplies                                          ")</f>
        <v xml:space="preserve">     Supplies                                          </v>
      </c>
      <c r="C40" s="13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177.77</v>
      </c>
      <c r="I40" s="1"/>
      <c r="J40" s="5">
        <f t="shared" si="17"/>
        <v>0</v>
      </c>
      <c r="K40" s="1"/>
      <c r="L40" s="1">
        <f t="shared" si="18"/>
        <v>-177.77</v>
      </c>
      <c r="M40" s="1"/>
      <c r="N40" s="5">
        <f t="shared" si="19"/>
        <v>-1</v>
      </c>
      <c r="O40" s="13"/>
      <c r="P40" s="1">
        <f>SUM(OSRRefP22_6x_0)</f>
        <v>1123.9000000000001</v>
      </c>
      <c r="Q40" s="1"/>
      <c r="R40" s="5">
        <f t="shared" si="20"/>
        <v>0</v>
      </c>
      <c r="S40" s="1"/>
      <c r="T40" s="1">
        <f>SUM(OSRRefT22_6x_0)</f>
        <v>3303.4</v>
      </c>
      <c r="U40" s="1"/>
      <c r="V40" s="5">
        <f t="shared" si="21"/>
        <v>0</v>
      </c>
      <c r="W40" s="1"/>
      <c r="X40" s="1">
        <f t="shared" si="22"/>
        <v>-2179.5</v>
      </c>
      <c r="Y40" s="1"/>
      <c r="Z40" s="5">
        <f t="shared" si="23"/>
        <v>-0.65977477750196767</v>
      </c>
    </row>
    <row r="41" spans="1:26" s="24" customFormat="1" hidden="1" outlineLevel="2" x14ac:dyDescent="0.25">
      <c r="A41" s="26"/>
      <c r="B41" s="11" t="str">
        <f>CONCATENATE("          ", "6234", " - ", "EXPENDABLE SUPPLIES &amp; EQUIPMEN")</f>
        <v xml:space="preserve">          6234 - EXPENDABLE SUPPLIES &amp; EQUIPMEN</v>
      </c>
      <c r="C41" s="11"/>
      <c r="D41" s="6"/>
      <c r="E41" s="2"/>
      <c r="F41" s="7">
        <f t="shared" si="16"/>
        <v>0</v>
      </c>
      <c r="G41" s="2"/>
      <c r="H41" s="6">
        <v>177.77</v>
      </c>
      <c r="I41" s="2"/>
      <c r="J41" s="7">
        <f t="shared" si="17"/>
        <v>0</v>
      </c>
      <c r="K41" s="2"/>
      <c r="L41" s="6">
        <f t="shared" si="18"/>
        <v>-177.77</v>
      </c>
      <c r="M41" s="2"/>
      <c r="N41" s="7">
        <f t="shared" si="19"/>
        <v>-1</v>
      </c>
      <c r="O41" s="11"/>
      <c r="P41" s="6">
        <v>1006.59</v>
      </c>
      <c r="Q41" s="2"/>
      <c r="R41" s="7">
        <f t="shared" si="20"/>
        <v>0</v>
      </c>
      <c r="S41" s="2"/>
      <c r="T41" s="6">
        <v>1429</v>
      </c>
      <c r="U41" s="2"/>
      <c r="V41" s="7">
        <f t="shared" si="21"/>
        <v>0</v>
      </c>
      <c r="W41" s="2"/>
      <c r="X41" s="6">
        <f t="shared" si="22"/>
        <v>-422.40999999999997</v>
      </c>
      <c r="Y41" s="2"/>
      <c r="Z41" s="7">
        <f t="shared" si="23"/>
        <v>-0.29559832050384882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117.31</v>
      </c>
      <c r="Q42" s="2"/>
      <c r="R42" s="7">
        <f t="shared" si="20"/>
        <v>0</v>
      </c>
      <c r="S42" s="2"/>
      <c r="T42" s="6">
        <v>1874.4</v>
      </c>
      <c r="U42" s="2"/>
      <c r="V42" s="7">
        <f t="shared" si="21"/>
        <v>0</v>
      </c>
      <c r="W42" s="2"/>
      <c r="X42" s="6">
        <f t="shared" si="22"/>
        <v>-1757.0900000000001</v>
      </c>
      <c r="Y42" s="2"/>
      <c r="Z42" s="7">
        <f t="shared" si="23"/>
        <v>-0.93741463935125913</v>
      </c>
    </row>
    <row r="43" spans="1:26" s="27" customFormat="1" outlineLevel="1" collapsed="1" x14ac:dyDescent="0.25">
      <c r="A43" s="25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-77</v>
      </c>
      <c r="E43" s="1"/>
      <c r="F43" s="5">
        <f t="shared" ref="F43:F46" si="24">IF(D$12=0,0,D43/D$12)</f>
        <v>0</v>
      </c>
      <c r="G43" s="1"/>
      <c r="H43" s="1">
        <f>SUM(OSRRefH22_7x_0)</f>
        <v>24.95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-101.95</v>
      </c>
      <c r="M43" s="1"/>
      <c r="N43" s="5">
        <f t="shared" ref="N43:N46" si="27">IF(H43=0,0,L43/H43)</f>
        <v>-4.0861723446893787</v>
      </c>
      <c r="O43" s="13"/>
      <c r="P43" s="1">
        <f>SUM(OSRRefP22_7x_0)</f>
        <v>755.2</v>
      </c>
      <c r="Q43" s="1"/>
      <c r="R43" s="5">
        <f t="shared" ref="R43:R46" si="28">IF(P$12=0,0,P43/P$12)</f>
        <v>0</v>
      </c>
      <c r="S43" s="1"/>
      <c r="T43" s="1">
        <f>SUM(OSRRefT22_7x_0)</f>
        <v>505.21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249.99000000000007</v>
      </c>
      <c r="Y43" s="1"/>
      <c r="Z43" s="5">
        <f t="shared" ref="Z43:Z46" si="31">IF(T43=0,0,X43/T43)</f>
        <v>0.49482393460145302</v>
      </c>
    </row>
    <row r="44" spans="1:26" s="24" customFormat="1" hidden="1" outlineLevel="2" x14ac:dyDescent="0.25">
      <c r="A44" s="26"/>
      <c r="B44" s="11" t="str">
        <f>CONCATENATE("          ", "6309", " - ", "TELEPHONE")</f>
        <v xml:space="preserve">          6309 - TELEPHONE</v>
      </c>
      <c r="C44" s="11"/>
      <c r="D44" s="6">
        <v>-77</v>
      </c>
      <c r="E44" s="2"/>
      <c r="F44" s="7">
        <f t="shared" si="24"/>
        <v>0</v>
      </c>
      <c r="G44" s="2"/>
      <c r="H44" s="6">
        <v>24.95</v>
      </c>
      <c r="I44" s="2"/>
      <c r="J44" s="7">
        <f t="shared" si="25"/>
        <v>0</v>
      </c>
      <c r="K44" s="2"/>
      <c r="L44" s="6">
        <f t="shared" si="26"/>
        <v>-101.95</v>
      </c>
      <c r="M44" s="2"/>
      <c r="N44" s="7">
        <f t="shared" si="27"/>
        <v>-4.0861723446893787</v>
      </c>
      <c r="O44" s="11"/>
      <c r="P44" s="6">
        <v>755.2</v>
      </c>
      <c r="Q44" s="2"/>
      <c r="R44" s="7">
        <f t="shared" si="28"/>
        <v>0</v>
      </c>
      <c r="S44" s="2"/>
      <c r="T44" s="6">
        <v>505.21</v>
      </c>
      <c r="U44" s="2"/>
      <c r="V44" s="7">
        <f t="shared" si="29"/>
        <v>0</v>
      </c>
      <c r="W44" s="2"/>
      <c r="X44" s="6">
        <f t="shared" si="30"/>
        <v>249.99000000000007</v>
      </c>
      <c r="Y44" s="2"/>
      <c r="Z44" s="7">
        <f t="shared" si="31"/>
        <v>0.49482393460145302</v>
      </c>
    </row>
    <row r="45" spans="1:26" s="27" customFormat="1" outlineLevel="1" collapsed="1" x14ac:dyDescent="0.25">
      <c r="A45" s="25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256.86</v>
      </c>
      <c r="Q45" s="1"/>
      <c r="R45" s="5">
        <f t="shared" si="28"/>
        <v>0</v>
      </c>
      <c r="S45" s="1"/>
      <c r="T45" s="1">
        <f>SUM(OSRRefT22_8x_0)</f>
        <v>267.52999999999997</v>
      </c>
      <c r="U45" s="1"/>
      <c r="V45" s="5">
        <f t="shared" si="29"/>
        <v>0</v>
      </c>
      <c r="W45" s="1"/>
      <c r="X45" s="1">
        <f t="shared" si="30"/>
        <v>-10.669999999999959</v>
      </c>
      <c r="Y45" s="1"/>
      <c r="Z45" s="5">
        <f t="shared" si="31"/>
        <v>-3.988337756513273E-2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256.86</v>
      </c>
      <c r="Q46" s="2"/>
      <c r="R46" s="7">
        <f t="shared" si="28"/>
        <v>0</v>
      </c>
      <c r="S46" s="2"/>
      <c r="T46" s="6">
        <v>267.52999999999997</v>
      </c>
      <c r="U46" s="2"/>
      <c r="V46" s="7">
        <f t="shared" si="29"/>
        <v>0</v>
      </c>
      <c r="W46" s="2"/>
      <c r="X46" s="6">
        <f t="shared" si="30"/>
        <v>-10.669999999999959</v>
      </c>
      <c r="Y46" s="2"/>
      <c r="Z46" s="7">
        <f t="shared" si="31"/>
        <v>-3.988337756513273E-2</v>
      </c>
    </row>
    <row r="47" spans="1:26" s="58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1">
        <f>+D16-D18+D48</f>
        <v>-3332.2499999999995</v>
      </c>
      <c r="E50" s="14"/>
      <c r="F50" s="20">
        <f>IF(D$12=0,0,D50/D$12)</f>
        <v>0</v>
      </c>
      <c r="G50" s="14"/>
      <c r="H50" s="21">
        <f>+H16-H18+H48</f>
        <v>-8689.9900000000016</v>
      </c>
      <c r="I50" s="14"/>
      <c r="J50" s="20">
        <f>IF(H$12=0,0,H50/H$12)</f>
        <v>0</v>
      </c>
      <c r="K50" s="16"/>
      <c r="L50" s="21">
        <f>+D50-H50</f>
        <v>5357.7400000000016</v>
      </c>
      <c r="M50" s="16"/>
      <c r="N50" s="20">
        <f>IF(H50=0,0,L50/H50)</f>
        <v>-0.6165415610374696</v>
      </c>
      <c r="O50" s="28"/>
      <c r="P50" s="21">
        <f>+P16-P18+P48</f>
        <v>-84171.829999999973</v>
      </c>
      <c r="Q50" s="14"/>
      <c r="R50" s="20">
        <f>IF(P$12=0,0,P50/P$12)</f>
        <v>0</v>
      </c>
      <c r="S50" s="14"/>
      <c r="T50" s="21">
        <f>+T16-T18+T48</f>
        <v>-89172.540000000008</v>
      </c>
      <c r="U50" s="14"/>
      <c r="V50" s="20">
        <f>IF(T$12=0,0,T50/T$12)</f>
        <v>0</v>
      </c>
      <c r="W50" s="16"/>
      <c r="X50" s="21">
        <f>+P50-T50</f>
        <v>5000.7100000000355</v>
      </c>
      <c r="Y50" s="16"/>
      <c r="Z50" s="20">
        <f>IF(T50=0,0,X50/T50)</f>
        <v>-5.6079035093090708E-2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5">
        <f>+D50-D52</f>
        <v>-3332.2499999999995</v>
      </c>
      <c r="E54" s="14"/>
      <c r="F54" s="32">
        <f>IF(D$12=0,0,D54/D$12)</f>
        <v>0</v>
      </c>
      <c r="G54" s="14"/>
      <c r="H54" s="35">
        <f>+H50-H52</f>
        <v>-8689.9900000000016</v>
      </c>
      <c r="I54" s="14"/>
      <c r="J54" s="32">
        <f>IF(H$12=0,0,H54/H$12)</f>
        <v>0</v>
      </c>
      <c r="K54" s="16"/>
      <c r="L54" s="35">
        <f>D54-H54</f>
        <v>5357.7400000000016</v>
      </c>
      <c r="M54" s="16"/>
      <c r="N54" s="32">
        <f>IF(H54=0,0,L54/H54)</f>
        <v>-0.6165415610374696</v>
      </c>
      <c r="O54" s="28"/>
      <c r="P54" s="35">
        <f>+P50-P52</f>
        <v>-84171.829999999973</v>
      </c>
      <c r="Q54" s="14"/>
      <c r="R54" s="32">
        <f>IF(P$12=0,0,P54/P$12)</f>
        <v>0</v>
      </c>
      <c r="S54" s="14"/>
      <c r="T54" s="35">
        <f>+T50-T52</f>
        <v>-89172.540000000008</v>
      </c>
      <c r="U54" s="14"/>
      <c r="V54" s="32">
        <f>IF(T$12=0,0,T54/T$12)</f>
        <v>0</v>
      </c>
      <c r="W54" s="16"/>
      <c r="X54" s="35">
        <f>P54-T54</f>
        <v>5000.7100000000355</v>
      </c>
      <c r="Y54" s="16"/>
      <c r="Z54" s="32">
        <f>IF(T54=0,0,X54/T54)</f>
        <v>-5.6079035093090708E-2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6">
        <f>SUM(D54:D56)</f>
        <v>-3332.2499999999995</v>
      </c>
      <c r="E57" s="14"/>
      <c r="F57" s="33">
        <f>IF(D$12=0,0,D57/D$12)</f>
        <v>0</v>
      </c>
      <c r="G57" s="14"/>
      <c r="H57" s="36">
        <f>SUM(H54:H56)</f>
        <v>-8689.9900000000016</v>
      </c>
      <c r="I57" s="14"/>
      <c r="J57" s="33">
        <f>IF(H$12=0,0,H57/H$12)</f>
        <v>0</v>
      </c>
      <c r="K57" s="16"/>
      <c r="L57" s="36">
        <f>+D57-H57</f>
        <v>5357.7400000000016</v>
      </c>
      <c r="M57" s="16"/>
      <c r="N57" s="33">
        <f>IF(H57=0,0,L57/H57)</f>
        <v>-0.6165415610374696</v>
      </c>
      <c r="O57" s="28"/>
      <c r="P57" s="36">
        <f>SUM(P54:P56)</f>
        <v>-84171.829999999973</v>
      </c>
      <c r="Q57" s="14"/>
      <c r="R57" s="33">
        <f>IF(P$12=0,0,P57/P$12)</f>
        <v>0</v>
      </c>
      <c r="S57" s="14"/>
      <c r="T57" s="36">
        <f>SUM(T54:T56)</f>
        <v>-89172.540000000008</v>
      </c>
      <c r="U57" s="14"/>
      <c r="V57" s="33">
        <f>IF(T$12=0,0,T57/T$12)</f>
        <v>0</v>
      </c>
      <c r="W57" s="16"/>
      <c r="X57" s="36">
        <f>+P57-T57</f>
        <v>5000.7100000000355</v>
      </c>
      <c r="Y57" s="16"/>
      <c r="Z57" s="33">
        <f>IF(T57=0,0,X57/T57)</f>
        <v>-5.6079035093090708E-2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25">
      <c r="A59" s="9"/>
      <c r="B59" s="55">
        <v>43992.375229976853</v>
      </c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62" t="s">
        <v>313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53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8403.91</v>
      </c>
      <c r="E18" s="22"/>
      <c r="F18" s="31">
        <f t="shared" ref="F18:F27" si="0">IF(D$12=0,0,D18/D$12)</f>
        <v>0</v>
      </c>
      <c r="G18" s="22"/>
      <c r="H18" s="22">
        <f>SUM(OSRRefH22x_0)</f>
        <v>2108.5400000000004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6295.369999999999</v>
      </c>
      <c r="M18" s="4"/>
      <c r="N18" s="31">
        <f t="shared" ref="N18:N27" si="3">IF(H18=0,0,L18/H18)</f>
        <v>2.9856535802024138</v>
      </c>
      <c r="O18" s="10"/>
      <c r="P18" s="22">
        <f>SUM(OSRRefP22x_0)</f>
        <v>98248.739999999991</v>
      </c>
      <c r="Q18" s="22"/>
      <c r="R18" s="31">
        <f t="shared" ref="R18:R27" si="4">IF(P$12=0,0,P18/P$12)</f>
        <v>0</v>
      </c>
      <c r="S18" s="22"/>
      <c r="T18" s="22">
        <f>SUM(OSRRefT22x_0)</f>
        <v>64422.410000000047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33826.329999999944</v>
      </c>
      <c r="Y18" s="4"/>
      <c r="Z18" s="31">
        <f t="shared" ref="Z18:Z27" si="7">IF(T18=0,0,X18/T18)</f>
        <v>0.52507085655441821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1529.3700000000001</v>
      </c>
      <c r="E19" s="1"/>
      <c r="F19" s="5">
        <f t="shared" si="0"/>
        <v>0</v>
      </c>
      <c r="G19" s="1"/>
      <c r="H19" s="1">
        <f>SUM(OSRRefH22_0x_0)</f>
        <v>2306.0099999999998</v>
      </c>
      <c r="I19" s="1"/>
      <c r="J19" s="5">
        <f t="shared" si="1"/>
        <v>0</v>
      </c>
      <c r="K19" s="1"/>
      <c r="L19" s="1">
        <f t="shared" si="2"/>
        <v>-776.63999999999965</v>
      </c>
      <c r="M19" s="1"/>
      <c r="N19" s="5">
        <f t="shared" si="3"/>
        <v>-0.33678951955975894</v>
      </c>
      <c r="O19" s="13"/>
      <c r="P19" s="1">
        <f>SUM(OSRRefP22_0x_0)</f>
        <v>19626.11</v>
      </c>
      <c r="Q19" s="1"/>
      <c r="R19" s="5">
        <f t="shared" si="4"/>
        <v>0</v>
      </c>
      <c r="S19" s="1"/>
      <c r="T19" s="1">
        <f>SUM(OSRRefT22_0x_0)</f>
        <v>56360.6</v>
      </c>
      <c r="U19" s="1"/>
      <c r="V19" s="5">
        <f t="shared" si="5"/>
        <v>0</v>
      </c>
      <c r="W19" s="1"/>
      <c r="X19" s="1">
        <f t="shared" si="6"/>
        <v>-36734.49</v>
      </c>
      <c r="Y19" s="1"/>
      <c r="Z19" s="5">
        <f t="shared" si="7"/>
        <v>-0.65177606342019068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369.23</v>
      </c>
      <c r="E20" s="2"/>
      <c r="F20" s="7">
        <f t="shared" si="0"/>
        <v>0</v>
      </c>
      <c r="G20" s="2"/>
      <c r="H20" s="6">
        <v>822.94</v>
      </c>
      <c r="I20" s="2"/>
      <c r="J20" s="7">
        <f t="shared" si="1"/>
        <v>0</v>
      </c>
      <c r="K20" s="2"/>
      <c r="L20" s="6">
        <f t="shared" si="2"/>
        <v>-453.71000000000004</v>
      </c>
      <c r="M20" s="2"/>
      <c r="N20" s="7">
        <f t="shared" si="3"/>
        <v>-0.5513281648722872</v>
      </c>
      <c r="O20" s="11"/>
      <c r="P20" s="6">
        <v>5082.66</v>
      </c>
      <c r="Q20" s="2"/>
      <c r="R20" s="7">
        <f t="shared" si="4"/>
        <v>0</v>
      </c>
      <c r="S20" s="2"/>
      <c r="T20" s="6">
        <v>12103.13</v>
      </c>
      <c r="U20" s="2"/>
      <c r="V20" s="7">
        <f t="shared" si="5"/>
        <v>0</v>
      </c>
      <c r="W20" s="2"/>
      <c r="X20" s="6">
        <f t="shared" si="6"/>
        <v>-7020.4699999999993</v>
      </c>
      <c r="Y20" s="2"/>
      <c r="Z20" s="7">
        <f t="shared" si="7"/>
        <v>-0.58005408518292378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30.07</v>
      </c>
      <c r="E21" s="2"/>
      <c r="F21" s="7">
        <f t="shared" si="0"/>
        <v>0</v>
      </c>
      <c r="G21" s="2"/>
      <c r="H21" s="6">
        <v>37.51</v>
      </c>
      <c r="I21" s="2"/>
      <c r="J21" s="7">
        <f t="shared" si="1"/>
        <v>0</v>
      </c>
      <c r="K21" s="2"/>
      <c r="L21" s="6">
        <f t="shared" si="2"/>
        <v>-7.4399999999999977</v>
      </c>
      <c r="M21" s="2"/>
      <c r="N21" s="7">
        <f t="shared" si="3"/>
        <v>-0.19834710743801648</v>
      </c>
      <c r="O21" s="11"/>
      <c r="P21" s="6">
        <v>275.24</v>
      </c>
      <c r="Q21" s="2"/>
      <c r="R21" s="7">
        <f t="shared" si="4"/>
        <v>0</v>
      </c>
      <c r="S21" s="2"/>
      <c r="T21" s="6">
        <v>591.87</v>
      </c>
      <c r="U21" s="2"/>
      <c r="V21" s="7">
        <f t="shared" si="5"/>
        <v>0</v>
      </c>
      <c r="W21" s="2"/>
      <c r="X21" s="6">
        <f t="shared" si="6"/>
        <v>-316.63</v>
      </c>
      <c r="Y21" s="2"/>
      <c r="Z21" s="7">
        <f t="shared" si="7"/>
        <v>-0.53496544849375705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694.13</v>
      </c>
      <c r="I22" s="2"/>
      <c r="J22" s="7">
        <f t="shared" si="1"/>
        <v>0</v>
      </c>
      <c r="K22" s="2"/>
      <c r="L22" s="6">
        <f t="shared" si="2"/>
        <v>6.7400000000000091</v>
      </c>
      <c r="M22" s="2"/>
      <c r="N22" s="7">
        <f t="shared" si="3"/>
        <v>9.7099966864996595E-3</v>
      </c>
      <c r="O22" s="11"/>
      <c r="P22" s="6">
        <v>7709.81</v>
      </c>
      <c r="Q22" s="2"/>
      <c r="R22" s="7">
        <f t="shared" si="4"/>
        <v>0</v>
      </c>
      <c r="S22" s="2"/>
      <c r="T22" s="6">
        <v>30007.119999999999</v>
      </c>
      <c r="U22" s="2"/>
      <c r="V22" s="7">
        <f t="shared" si="5"/>
        <v>0</v>
      </c>
      <c r="W22" s="2"/>
      <c r="X22" s="6">
        <f t="shared" si="6"/>
        <v>-22297.309999999998</v>
      </c>
      <c r="Y22" s="2"/>
      <c r="Z22" s="7">
        <f t="shared" si="7"/>
        <v>-0.74306731202461274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</v>
      </c>
      <c r="E23" s="2"/>
      <c r="F23" s="7">
        <f t="shared" si="0"/>
        <v>0</v>
      </c>
      <c r="G23" s="2"/>
      <c r="H23" s="6">
        <v>27.87</v>
      </c>
      <c r="I23" s="2"/>
      <c r="J23" s="7">
        <f t="shared" si="1"/>
        <v>0</v>
      </c>
      <c r="K23" s="2"/>
      <c r="L23" s="6">
        <f t="shared" si="2"/>
        <v>-4.870000000000001</v>
      </c>
      <c r="M23" s="2"/>
      <c r="N23" s="7">
        <f t="shared" si="3"/>
        <v>-0.17473986365267316</v>
      </c>
      <c r="O23" s="11"/>
      <c r="P23" s="6">
        <v>286.66000000000003</v>
      </c>
      <c r="Q23" s="2"/>
      <c r="R23" s="7">
        <f t="shared" si="4"/>
        <v>0</v>
      </c>
      <c r="S23" s="2"/>
      <c r="T23" s="6">
        <v>541.91</v>
      </c>
      <c r="U23" s="2"/>
      <c r="V23" s="7">
        <f t="shared" si="5"/>
        <v>0</v>
      </c>
      <c r="W23" s="2"/>
      <c r="X23" s="6">
        <f t="shared" si="6"/>
        <v>-255.24999999999994</v>
      </c>
      <c r="Y23" s="2"/>
      <c r="Z23" s="7">
        <f t="shared" si="7"/>
        <v>-0.47101917292539341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6000.81</v>
      </c>
      <c r="U24" s="2"/>
      <c r="V24" s="7">
        <f t="shared" si="5"/>
        <v>0</v>
      </c>
      <c r="W24" s="2"/>
      <c r="X24" s="6">
        <f t="shared" si="6"/>
        <v>-6000.81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184.8</v>
      </c>
      <c r="E25" s="2"/>
      <c r="F25" s="7">
        <f t="shared" si="0"/>
        <v>0</v>
      </c>
      <c r="G25" s="2"/>
      <c r="H25" s="6">
        <v>260.94</v>
      </c>
      <c r="I25" s="2"/>
      <c r="J25" s="7">
        <f t="shared" si="1"/>
        <v>0</v>
      </c>
      <c r="K25" s="2"/>
      <c r="L25" s="6">
        <f t="shared" si="2"/>
        <v>-76.139999999999986</v>
      </c>
      <c r="M25" s="2"/>
      <c r="N25" s="7">
        <f t="shared" si="3"/>
        <v>-0.29179121637157962</v>
      </c>
      <c r="O25" s="11"/>
      <c r="P25" s="6">
        <v>2217.6</v>
      </c>
      <c r="Q25" s="2"/>
      <c r="R25" s="7">
        <f t="shared" si="4"/>
        <v>0</v>
      </c>
      <c r="S25" s="2"/>
      <c r="T25" s="6">
        <v>8747.31</v>
      </c>
      <c r="U25" s="2"/>
      <c r="V25" s="7">
        <f t="shared" si="5"/>
        <v>0</v>
      </c>
      <c r="W25" s="2"/>
      <c r="X25" s="6">
        <f t="shared" si="6"/>
        <v>-6529.7099999999991</v>
      </c>
      <c r="Y25" s="2"/>
      <c r="Z25" s="7">
        <f t="shared" si="7"/>
        <v>-0.7464820613422869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312.62</v>
      </c>
      <c r="I26" s="2"/>
      <c r="J26" s="7">
        <f t="shared" si="1"/>
        <v>0</v>
      </c>
      <c r="K26" s="2"/>
      <c r="L26" s="6">
        <f t="shared" si="2"/>
        <v>-91.22</v>
      </c>
      <c r="M26" s="2"/>
      <c r="N26" s="7">
        <f t="shared" si="3"/>
        <v>-0.29179195189047408</v>
      </c>
      <c r="O26" s="11"/>
      <c r="P26" s="6">
        <v>2656.8</v>
      </c>
      <c r="Q26" s="2"/>
      <c r="R26" s="7">
        <f t="shared" si="4"/>
        <v>0</v>
      </c>
      <c r="S26" s="2"/>
      <c r="T26" s="6">
        <v>-4471.8500000000004</v>
      </c>
      <c r="U26" s="2"/>
      <c r="V26" s="7">
        <f t="shared" si="5"/>
        <v>0</v>
      </c>
      <c r="W26" s="2"/>
      <c r="X26" s="6">
        <f t="shared" si="6"/>
        <v>7128.6500000000005</v>
      </c>
      <c r="Y26" s="2"/>
      <c r="Z26" s="7">
        <f t="shared" si="7"/>
        <v>-1.5941165289533414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150</v>
      </c>
      <c r="I27" s="2"/>
      <c r="J27" s="7">
        <f t="shared" si="1"/>
        <v>0</v>
      </c>
      <c r="K27" s="2"/>
      <c r="L27" s="6">
        <f t="shared" si="2"/>
        <v>-150</v>
      </c>
      <c r="M27" s="2"/>
      <c r="N27" s="7">
        <f t="shared" si="3"/>
        <v>-1</v>
      </c>
      <c r="O27" s="11"/>
      <c r="P27" s="6">
        <v>1397.34</v>
      </c>
      <c r="Q27" s="2"/>
      <c r="R27" s="7">
        <f t="shared" si="4"/>
        <v>0</v>
      </c>
      <c r="S27" s="2"/>
      <c r="T27" s="6">
        <v>2840.3</v>
      </c>
      <c r="U27" s="2"/>
      <c r="V27" s="7">
        <f t="shared" si="5"/>
        <v>0</v>
      </c>
      <c r="W27" s="2"/>
      <c r="X27" s="6">
        <f t="shared" si="6"/>
        <v>-1442.9600000000003</v>
      </c>
      <c r="Y27" s="2"/>
      <c r="Z27" s="7">
        <f t="shared" si="7"/>
        <v>-0.5080308418124847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6394.0599999999995</v>
      </c>
      <c r="E28" s="1"/>
      <c r="F28" s="5">
        <f t="shared" ref="F28:F34" si="8">IF(D$12=0,0,D28/D$12)</f>
        <v>0</v>
      </c>
      <c r="G28" s="1"/>
      <c r="H28" s="1">
        <f>SUM(OSRRefH22_1x_0)</f>
        <v>13798.66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-7404.6</v>
      </c>
      <c r="M28" s="1"/>
      <c r="N28" s="5">
        <f t="shared" ref="N28:N34" si="11">IF(H28=0,0,L28/H28)</f>
        <v>-0.53661732371114301</v>
      </c>
      <c r="O28" s="13"/>
      <c r="P28" s="1">
        <f>SUM(OSRRefP22_1x_0)</f>
        <v>113094.31999999999</v>
      </c>
      <c r="Q28" s="1"/>
      <c r="R28" s="5">
        <f t="shared" ref="R28:R34" si="12">IF(P$12=0,0,P28/P$12)</f>
        <v>0</v>
      </c>
      <c r="S28" s="1"/>
      <c r="T28" s="1">
        <f>SUM(OSRRefT22_1x_0)</f>
        <v>176318.5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-63224.180000000008</v>
      </c>
      <c r="Y28" s="1"/>
      <c r="Z28" s="5">
        <f t="shared" ref="Z28:Z34" si="15">IF(T28=0,0,X28/T28)</f>
        <v>-0.35857938900342284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65342.400000000001</v>
      </c>
      <c r="U29" s="2"/>
      <c r="V29" s="7">
        <f t="shared" si="13"/>
        <v>0</v>
      </c>
      <c r="W29" s="2"/>
      <c r="X29" s="6">
        <f t="shared" si="14"/>
        <v>-65342.400000000001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-168.26</v>
      </c>
      <c r="U30" s="2"/>
      <c r="V30" s="7">
        <f t="shared" si="13"/>
        <v>0</v>
      </c>
      <c r="W30" s="2"/>
      <c r="X30" s="6">
        <f t="shared" si="14"/>
        <v>168.26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5100</v>
      </c>
      <c r="E31" s="2"/>
      <c r="F31" s="7">
        <f t="shared" si="8"/>
        <v>0</v>
      </c>
      <c r="G31" s="2"/>
      <c r="H31" s="6">
        <v>6310.08</v>
      </c>
      <c r="I31" s="2"/>
      <c r="J31" s="7">
        <f t="shared" si="9"/>
        <v>0</v>
      </c>
      <c r="K31" s="2"/>
      <c r="L31" s="6">
        <f t="shared" si="10"/>
        <v>-1210.08</v>
      </c>
      <c r="M31" s="2"/>
      <c r="N31" s="7">
        <f t="shared" si="11"/>
        <v>-0.19176935950098889</v>
      </c>
      <c r="O31" s="11"/>
      <c r="P31" s="6">
        <v>57784.5</v>
      </c>
      <c r="Q31" s="2"/>
      <c r="R31" s="7">
        <f t="shared" si="12"/>
        <v>0</v>
      </c>
      <c r="S31" s="2"/>
      <c r="T31" s="6">
        <v>44409.78</v>
      </c>
      <c r="U31" s="2"/>
      <c r="V31" s="7">
        <f t="shared" si="13"/>
        <v>0</v>
      </c>
      <c r="W31" s="2"/>
      <c r="X31" s="6">
        <f t="shared" si="14"/>
        <v>13374.720000000001</v>
      </c>
      <c r="Y31" s="2"/>
      <c r="Z31" s="7">
        <f t="shared" si="15"/>
        <v>0.30116609449540171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>
        <v>1493.36</v>
      </c>
      <c r="I32" s="2"/>
      <c r="J32" s="7">
        <f t="shared" si="9"/>
        <v>0</v>
      </c>
      <c r="K32" s="2"/>
      <c r="L32" s="6">
        <f t="shared" si="10"/>
        <v>-1493.36</v>
      </c>
      <c r="M32" s="2"/>
      <c r="N32" s="7">
        <f t="shared" si="11"/>
        <v>-1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5519.35</v>
      </c>
      <c r="U32" s="2"/>
      <c r="V32" s="7">
        <f t="shared" si="13"/>
        <v>0</v>
      </c>
      <c r="W32" s="2"/>
      <c r="X32" s="6">
        <f t="shared" si="14"/>
        <v>-3157.9200000000005</v>
      </c>
      <c r="Y32" s="2"/>
      <c r="Z32" s="7">
        <f t="shared" si="15"/>
        <v>-0.57215432976709224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>
        <v>5995.22</v>
      </c>
      <c r="I33" s="2"/>
      <c r="J33" s="7">
        <f t="shared" si="9"/>
        <v>0</v>
      </c>
      <c r="K33" s="2"/>
      <c r="L33" s="6">
        <f t="shared" si="10"/>
        <v>-5995.22</v>
      </c>
      <c r="M33" s="2"/>
      <c r="N33" s="7">
        <f t="shared" si="11"/>
        <v>-1</v>
      </c>
      <c r="O33" s="11"/>
      <c r="P33" s="6">
        <v>41753.5</v>
      </c>
      <c r="Q33" s="2"/>
      <c r="R33" s="7">
        <f t="shared" si="12"/>
        <v>0</v>
      </c>
      <c r="S33" s="2"/>
      <c r="T33" s="6">
        <v>61215.229999999996</v>
      </c>
      <c r="U33" s="2"/>
      <c r="V33" s="7">
        <f t="shared" si="13"/>
        <v>0</v>
      </c>
      <c r="W33" s="2"/>
      <c r="X33" s="6">
        <f t="shared" si="14"/>
        <v>-19461.729999999996</v>
      </c>
      <c r="Y33" s="2"/>
      <c r="Z33" s="7">
        <f t="shared" si="15"/>
        <v>-0.31792300706866572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1294.06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1294.06</v>
      </c>
      <c r="M34" s="2"/>
      <c r="N34" s="7">
        <f t="shared" si="11"/>
        <v>0</v>
      </c>
      <c r="O34" s="11"/>
      <c r="P34" s="6">
        <v>11194.89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11194.89</v>
      </c>
      <c r="Y34" s="2"/>
      <c r="Z34" s="7">
        <f t="shared" si="15"/>
        <v>0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173.21</v>
      </c>
      <c r="E35" s="1"/>
      <c r="F35" s="5">
        <f t="shared" ref="F35:F45" si="16">IF(D$12=0,0,D35/D$12)</f>
        <v>0</v>
      </c>
      <c r="G35" s="1"/>
      <c r="H35" s="1">
        <f>SUM(OSRRefH22_2x_0)</f>
        <v>-15093.830000000002</v>
      </c>
      <c r="I35" s="1"/>
      <c r="J35" s="5">
        <f t="shared" ref="J35:J45" si="17">IF(H$12=0,0,H35/H$12)</f>
        <v>0</v>
      </c>
      <c r="K35" s="1"/>
      <c r="L35" s="1">
        <f t="shared" ref="L35:L45" si="18">+D35-H35</f>
        <v>15267.04</v>
      </c>
      <c r="M35" s="1"/>
      <c r="N35" s="5">
        <f t="shared" ref="N35:N45" si="19">IF(H35=0,0,L35/H35)</f>
        <v>-1.0114755499432548</v>
      </c>
      <c r="O35" s="13"/>
      <c r="P35" s="1">
        <f>SUM(OSRRefP22_2x_0)</f>
        <v>-45889.990000000005</v>
      </c>
      <c r="Q35" s="1"/>
      <c r="R35" s="5">
        <f t="shared" ref="R35:R45" si="20">IF(P$12=0,0,P35/P$12)</f>
        <v>0</v>
      </c>
      <c r="S35" s="1"/>
      <c r="T35" s="1">
        <f>SUM(OSRRefT22_2x_0)</f>
        <v>-175825.65</v>
      </c>
      <c r="U35" s="1"/>
      <c r="V35" s="5">
        <f t="shared" ref="V35:V45" si="21">IF(T$12=0,0,T35/T$12)</f>
        <v>0</v>
      </c>
      <c r="W35" s="1"/>
      <c r="X35" s="1">
        <f t="shared" ref="X35:X45" si="22">+P35-T35</f>
        <v>129935.65999999999</v>
      </c>
      <c r="Y35" s="1"/>
      <c r="Z35" s="5">
        <f t="shared" ref="Z35:Z45" si="23">IF(T35=0,0,X35/T35)</f>
        <v>-0.73900287017281041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173.21</v>
      </c>
      <c r="E36" s="2"/>
      <c r="F36" s="7">
        <f t="shared" si="16"/>
        <v>0</v>
      </c>
      <c r="G36" s="2"/>
      <c r="H36" s="6">
        <v>-15093.830000000002</v>
      </c>
      <c r="I36" s="2"/>
      <c r="J36" s="7">
        <f t="shared" si="17"/>
        <v>0</v>
      </c>
      <c r="K36" s="2"/>
      <c r="L36" s="6">
        <f t="shared" si="18"/>
        <v>15267.04</v>
      </c>
      <c r="M36" s="2"/>
      <c r="N36" s="7">
        <f t="shared" si="19"/>
        <v>-1.0114755499432548</v>
      </c>
      <c r="O36" s="11"/>
      <c r="P36" s="6">
        <v>-45889.990000000005</v>
      </c>
      <c r="Q36" s="2"/>
      <c r="R36" s="7">
        <f t="shared" si="20"/>
        <v>0</v>
      </c>
      <c r="S36" s="2"/>
      <c r="T36" s="6">
        <v>-175825.65</v>
      </c>
      <c r="U36" s="2"/>
      <c r="V36" s="7">
        <f t="shared" si="21"/>
        <v>0</v>
      </c>
      <c r="W36" s="2"/>
      <c r="X36" s="6">
        <f t="shared" si="22"/>
        <v>129935.65999999999</v>
      </c>
      <c r="Y36" s="2"/>
      <c r="Z36" s="7">
        <f t="shared" si="23"/>
        <v>-0.73900287017281041</v>
      </c>
    </row>
    <row r="37" spans="1:26" s="27" customFormat="1" outlineLevel="1" collapsed="1" x14ac:dyDescent="0.25">
      <c r="A37" s="25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271.27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-24.410000000000025</v>
      </c>
      <c r="M37" s="1"/>
      <c r="N37" s="5">
        <f t="shared" si="19"/>
        <v>-8.2555465367965444E-2</v>
      </c>
      <c r="O37" s="13"/>
      <c r="P37" s="1">
        <f>SUM(OSRRefP22_3x_0)</f>
        <v>3203.61</v>
      </c>
      <c r="Q37" s="1"/>
      <c r="R37" s="5">
        <f t="shared" si="20"/>
        <v>0</v>
      </c>
      <c r="S37" s="1"/>
      <c r="T37" s="1">
        <f>SUM(OSRRefT22_3x_0)</f>
        <v>3252.48</v>
      </c>
      <c r="U37" s="1"/>
      <c r="V37" s="5">
        <f t="shared" si="21"/>
        <v>0</v>
      </c>
      <c r="W37" s="1"/>
      <c r="X37" s="1">
        <f t="shared" si="22"/>
        <v>-48.869999999999891</v>
      </c>
      <c r="Y37" s="1"/>
      <c r="Z37" s="5">
        <f t="shared" si="23"/>
        <v>-1.5025457497048372E-2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271.27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-24.410000000000025</v>
      </c>
      <c r="M38" s="2"/>
      <c r="N38" s="7">
        <f t="shared" si="19"/>
        <v>-8.2555465367965444E-2</v>
      </c>
      <c r="O38" s="11"/>
      <c r="P38" s="6">
        <v>3203.61</v>
      </c>
      <c r="Q38" s="2"/>
      <c r="R38" s="7">
        <f t="shared" si="20"/>
        <v>0</v>
      </c>
      <c r="S38" s="2"/>
      <c r="T38" s="6">
        <v>3252.48</v>
      </c>
      <c r="U38" s="2"/>
      <c r="V38" s="7">
        <f t="shared" si="21"/>
        <v>0</v>
      </c>
      <c r="W38" s="2"/>
      <c r="X38" s="6">
        <f t="shared" si="22"/>
        <v>-48.869999999999891</v>
      </c>
      <c r="Y38" s="2"/>
      <c r="Z38" s="7">
        <f t="shared" si="23"/>
        <v>-1.5025457497048372E-2</v>
      </c>
    </row>
    <row r="39" spans="1:26" s="27" customFormat="1" outlineLevel="1" collapsed="1" x14ac:dyDescent="0.25">
      <c r="A39" s="25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3"/>
      <c r="P39" s="1">
        <f>SUM(OSRRefP22_4x_0)</f>
        <v>30.15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30.15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30.15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30.15</v>
      </c>
      <c r="Y40" s="2"/>
      <c r="Z40" s="7">
        <f t="shared" si="23"/>
        <v>0</v>
      </c>
    </row>
    <row r="41" spans="1:26" s="27" customFormat="1" outlineLevel="1" collapsed="1" x14ac:dyDescent="0.25">
      <c r="A41" s="25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1373.22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1373.22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1373.22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1373.22</v>
      </c>
      <c r="Y42" s="2"/>
      <c r="Z42" s="7">
        <f t="shared" si="23"/>
        <v>0</v>
      </c>
    </row>
    <row r="43" spans="1:26" s="27" customFormat="1" outlineLevel="1" collapsed="1" x14ac:dyDescent="0.25">
      <c r="A43" s="25"/>
      <c r="B43" s="13" t="str">
        <f>CONCATENATE("     ","Supplies                                          ")</f>
        <v xml:space="preserve">     Supplies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178.87</v>
      </c>
      <c r="I43" s="1"/>
      <c r="J43" s="5">
        <f t="shared" si="17"/>
        <v>0</v>
      </c>
      <c r="K43" s="1"/>
      <c r="L43" s="1">
        <f t="shared" si="18"/>
        <v>-178.87</v>
      </c>
      <c r="M43" s="1"/>
      <c r="N43" s="5">
        <f t="shared" si="19"/>
        <v>-1</v>
      </c>
      <c r="O43" s="13"/>
      <c r="P43" s="1">
        <f>SUM(OSRRefP22_6x_0)</f>
        <v>2193.56</v>
      </c>
      <c r="Q43" s="1"/>
      <c r="R43" s="5">
        <f t="shared" si="20"/>
        <v>0</v>
      </c>
      <c r="S43" s="1"/>
      <c r="T43" s="1">
        <f>SUM(OSRRefT22_6x_0)</f>
        <v>863.06999999999994</v>
      </c>
      <c r="U43" s="1"/>
      <c r="V43" s="5">
        <f t="shared" si="21"/>
        <v>0</v>
      </c>
      <c r="W43" s="1"/>
      <c r="X43" s="1">
        <f t="shared" si="22"/>
        <v>1330.49</v>
      </c>
      <c r="Y43" s="1"/>
      <c r="Z43" s="5">
        <f t="shared" si="23"/>
        <v>1.5415783192556805</v>
      </c>
    </row>
    <row r="44" spans="1:26" s="24" customFormat="1" hidden="1" outlineLevel="2" x14ac:dyDescent="0.25">
      <c r="A44" s="26"/>
      <c r="B44" s="11" t="str">
        <f>CONCATENATE("          ", "6241", " - ", "OFFICE EXPENSE")</f>
        <v xml:space="preserve">          6241 - OFFICE EXPENSE</v>
      </c>
      <c r="C44" s="11"/>
      <c r="D44" s="6"/>
      <c r="E44" s="2"/>
      <c r="F44" s="7">
        <f t="shared" si="16"/>
        <v>0</v>
      </c>
      <c r="G44" s="2"/>
      <c r="H44" s="6">
        <v>166.96</v>
      </c>
      <c r="I44" s="2"/>
      <c r="J44" s="7">
        <f t="shared" si="17"/>
        <v>0</v>
      </c>
      <c r="K44" s="2"/>
      <c r="L44" s="6">
        <f t="shared" si="18"/>
        <v>-166.96</v>
      </c>
      <c r="M44" s="2"/>
      <c r="N44" s="7">
        <f t="shared" si="19"/>
        <v>-1</v>
      </c>
      <c r="O44" s="11"/>
      <c r="P44" s="6">
        <v>1847.14</v>
      </c>
      <c r="Q44" s="2"/>
      <c r="R44" s="7">
        <f t="shared" si="20"/>
        <v>0</v>
      </c>
      <c r="S44" s="2"/>
      <c r="T44" s="6">
        <v>851.16</v>
      </c>
      <c r="U44" s="2"/>
      <c r="V44" s="7">
        <f t="shared" si="21"/>
        <v>0</v>
      </c>
      <c r="W44" s="2"/>
      <c r="X44" s="6">
        <f t="shared" si="22"/>
        <v>995.98000000000013</v>
      </c>
      <c r="Y44" s="2"/>
      <c r="Z44" s="7">
        <f t="shared" si="23"/>
        <v>1.1701442736970724</v>
      </c>
    </row>
    <row r="45" spans="1:26" s="24" customFormat="1" hidden="1" outlineLevel="2" x14ac:dyDescent="0.25">
      <c r="A45" s="26"/>
      <c r="B45" s="11" t="str">
        <f>CONCATENATE("          ", "6245", " - ", "PRINTING")</f>
        <v xml:space="preserve">          6245 - PRINTING</v>
      </c>
      <c r="C45" s="11"/>
      <c r="D45" s="6"/>
      <c r="E45" s="2"/>
      <c r="F45" s="7">
        <f t="shared" si="16"/>
        <v>0</v>
      </c>
      <c r="G45" s="2"/>
      <c r="H45" s="6">
        <v>11.91</v>
      </c>
      <c r="I45" s="2"/>
      <c r="J45" s="7">
        <f t="shared" si="17"/>
        <v>0</v>
      </c>
      <c r="K45" s="2"/>
      <c r="L45" s="6">
        <f t="shared" si="18"/>
        <v>-11.91</v>
      </c>
      <c r="M45" s="2"/>
      <c r="N45" s="7">
        <f t="shared" si="19"/>
        <v>-1</v>
      </c>
      <c r="O45" s="11"/>
      <c r="P45" s="6">
        <v>346.42</v>
      </c>
      <c r="Q45" s="2"/>
      <c r="R45" s="7">
        <f t="shared" si="20"/>
        <v>0</v>
      </c>
      <c r="S45" s="2"/>
      <c r="T45" s="6">
        <v>11.91</v>
      </c>
      <c r="U45" s="2"/>
      <c r="V45" s="7">
        <f t="shared" si="21"/>
        <v>0</v>
      </c>
      <c r="W45" s="2"/>
      <c r="X45" s="6">
        <f t="shared" si="22"/>
        <v>334.51</v>
      </c>
      <c r="Y45" s="2"/>
      <c r="Z45" s="7">
        <f t="shared" si="23"/>
        <v>28.086481947942904</v>
      </c>
    </row>
    <row r="46" spans="1:26" s="27" customFormat="1" outlineLevel="1" collapsed="1" x14ac:dyDescent="0.25">
      <c r="A46" s="25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SUM(OSRRefD22_7x_0)</f>
        <v>36</v>
      </c>
      <c r="E46" s="1"/>
      <c r="F46" s="5">
        <f t="shared" ref="F46:F49" si="24">IF(D$12=0,0,D46/D$12)</f>
        <v>0</v>
      </c>
      <c r="G46" s="1"/>
      <c r="H46" s="1">
        <f>SUM(OSRRefH22_7x_0)</f>
        <v>123.15</v>
      </c>
      <c r="I46" s="1"/>
      <c r="J46" s="5">
        <f t="shared" ref="J46:J49" si="25">IF(H$12=0,0,H46/H$12)</f>
        <v>0</v>
      </c>
      <c r="K46" s="1"/>
      <c r="L46" s="1">
        <f t="shared" ref="L46:L49" si="26">+D46-H46</f>
        <v>-87.15</v>
      </c>
      <c r="M46" s="1"/>
      <c r="N46" s="5">
        <f t="shared" ref="N46:N49" si="27">IF(H46=0,0,L46/H46)</f>
        <v>-0.70767356881851406</v>
      </c>
      <c r="O46" s="13"/>
      <c r="P46" s="1">
        <f>SUM(OSRRefP22_7x_0)</f>
        <v>696.38</v>
      </c>
      <c r="Q46" s="1"/>
      <c r="R46" s="5">
        <f t="shared" ref="R46:R49" si="28">IF(P$12=0,0,P46/P$12)</f>
        <v>0</v>
      </c>
      <c r="S46" s="1"/>
      <c r="T46" s="1">
        <f>SUM(OSRRefT22_7x_0)</f>
        <v>1499.32</v>
      </c>
      <c r="U46" s="1"/>
      <c r="V46" s="5">
        <f t="shared" ref="V46:V49" si="29">IF(T$12=0,0,T46/T$12)</f>
        <v>0</v>
      </c>
      <c r="W46" s="1"/>
      <c r="X46" s="1">
        <f t="shared" ref="X46:X49" si="30">+P46-T46</f>
        <v>-802.93999999999994</v>
      </c>
      <c r="Y46" s="1"/>
      <c r="Z46" s="5">
        <f t="shared" ref="Z46:Z49" si="31">IF(T46=0,0,X46/T46)</f>
        <v>-0.53553610970306542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6">
        <v>36</v>
      </c>
      <c r="E47" s="2"/>
      <c r="F47" s="7">
        <f t="shared" si="24"/>
        <v>0</v>
      </c>
      <c r="G47" s="2"/>
      <c r="H47" s="6">
        <v>123.15</v>
      </c>
      <c r="I47" s="2"/>
      <c r="J47" s="7">
        <f t="shared" si="25"/>
        <v>0</v>
      </c>
      <c r="K47" s="2"/>
      <c r="L47" s="6">
        <f t="shared" si="26"/>
        <v>-87.15</v>
      </c>
      <c r="M47" s="2"/>
      <c r="N47" s="7">
        <f t="shared" si="27"/>
        <v>-0.70767356881851406</v>
      </c>
      <c r="O47" s="11"/>
      <c r="P47" s="6">
        <v>696.38</v>
      </c>
      <c r="Q47" s="2"/>
      <c r="R47" s="7">
        <f t="shared" si="28"/>
        <v>0</v>
      </c>
      <c r="S47" s="2"/>
      <c r="T47" s="6">
        <v>1499.32</v>
      </c>
      <c r="U47" s="2"/>
      <c r="V47" s="7">
        <f t="shared" si="29"/>
        <v>0</v>
      </c>
      <c r="W47" s="2"/>
      <c r="X47" s="6">
        <f t="shared" si="30"/>
        <v>-802.93999999999994</v>
      </c>
      <c r="Y47" s="2"/>
      <c r="Z47" s="7">
        <f t="shared" si="31"/>
        <v>-0.53553610970306542</v>
      </c>
    </row>
    <row r="48" spans="1:26" s="27" customFormat="1" outlineLevel="1" collapsed="1" x14ac:dyDescent="0.25">
      <c r="A48" s="25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SUM(OSRRefD22_8x_0)</f>
        <v>0</v>
      </c>
      <c r="E48" s="1"/>
      <c r="F48" s="5">
        <f t="shared" si="24"/>
        <v>0</v>
      </c>
      <c r="G48" s="1"/>
      <c r="H48" s="1">
        <f>SUM(OSRRefH22_8x_0)</f>
        <v>500</v>
      </c>
      <c r="I48" s="1"/>
      <c r="J48" s="5">
        <f t="shared" si="25"/>
        <v>0</v>
      </c>
      <c r="K48" s="1"/>
      <c r="L48" s="1">
        <f t="shared" si="26"/>
        <v>-500</v>
      </c>
      <c r="M48" s="1"/>
      <c r="N48" s="5">
        <f t="shared" si="27"/>
        <v>-1</v>
      </c>
      <c r="O48" s="13"/>
      <c r="P48" s="1">
        <f>SUM(OSRRefP22_8x_0)</f>
        <v>3921.38</v>
      </c>
      <c r="Q48" s="1"/>
      <c r="R48" s="5">
        <f t="shared" si="28"/>
        <v>0</v>
      </c>
      <c r="S48" s="1"/>
      <c r="T48" s="1">
        <f>SUM(OSRRefT22_8x_0)</f>
        <v>1954.09</v>
      </c>
      <c r="U48" s="1"/>
      <c r="V48" s="5">
        <f t="shared" si="29"/>
        <v>0</v>
      </c>
      <c r="W48" s="1"/>
      <c r="X48" s="1">
        <f t="shared" si="30"/>
        <v>1967.2900000000002</v>
      </c>
      <c r="Y48" s="1"/>
      <c r="Z48" s="5">
        <f t="shared" si="31"/>
        <v>1.0067550624587405</v>
      </c>
    </row>
    <row r="49" spans="1:26" s="24" customFormat="1" hidden="1" outlineLevel="2" x14ac:dyDescent="0.25">
      <c r="A49" s="26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24"/>
        <v>0</v>
      </c>
      <c r="G49" s="2"/>
      <c r="H49" s="6">
        <v>500</v>
      </c>
      <c r="I49" s="2"/>
      <c r="J49" s="7">
        <f t="shared" si="25"/>
        <v>0</v>
      </c>
      <c r="K49" s="2"/>
      <c r="L49" s="6">
        <f t="shared" si="26"/>
        <v>-500</v>
      </c>
      <c r="M49" s="2"/>
      <c r="N49" s="7">
        <f t="shared" si="27"/>
        <v>-1</v>
      </c>
      <c r="O49" s="11"/>
      <c r="P49" s="6">
        <v>3921.38</v>
      </c>
      <c r="Q49" s="2"/>
      <c r="R49" s="7">
        <f t="shared" si="28"/>
        <v>0</v>
      </c>
      <c r="S49" s="2"/>
      <c r="T49" s="6">
        <v>1954.09</v>
      </c>
      <c r="U49" s="2"/>
      <c r="V49" s="7">
        <f t="shared" si="29"/>
        <v>0</v>
      </c>
      <c r="W49" s="2"/>
      <c r="X49" s="6">
        <f t="shared" si="30"/>
        <v>1967.2900000000002</v>
      </c>
      <c r="Y49" s="2"/>
      <c r="Z49" s="7">
        <f t="shared" si="31"/>
        <v>1.0067550624587405</v>
      </c>
    </row>
    <row r="50" spans="1:26" s="58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1">
        <f>+D16-D18+D51</f>
        <v>-8403.91</v>
      </c>
      <c r="E53" s="14"/>
      <c r="F53" s="20">
        <f>IF(D$12=0,0,D53/D$12)</f>
        <v>0</v>
      </c>
      <c r="G53" s="14"/>
      <c r="H53" s="21">
        <f>+H16-H18+H51</f>
        <v>-2108.5400000000004</v>
      </c>
      <c r="I53" s="14"/>
      <c r="J53" s="20">
        <f>IF(H$12=0,0,H53/H$12)</f>
        <v>0</v>
      </c>
      <c r="K53" s="16"/>
      <c r="L53" s="21">
        <f>+D53-H53</f>
        <v>-6295.369999999999</v>
      </c>
      <c r="M53" s="16"/>
      <c r="N53" s="20">
        <f>IF(H53=0,0,L53/H53)</f>
        <v>2.9856535802024138</v>
      </c>
      <c r="O53" s="28"/>
      <c r="P53" s="21">
        <f>+P16-P18+P51</f>
        <v>-98248.739999999991</v>
      </c>
      <c r="Q53" s="14"/>
      <c r="R53" s="20">
        <f>IF(P$12=0,0,P53/P$12)</f>
        <v>0</v>
      </c>
      <c r="S53" s="14"/>
      <c r="T53" s="21">
        <f>+T16-T18+T51</f>
        <v>-64422.410000000047</v>
      </c>
      <c r="U53" s="14"/>
      <c r="V53" s="20">
        <f>IF(T$12=0,0,T53/T$12)</f>
        <v>0</v>
      </c>
      <c r="W53" s="16"/>
      <c r="X53" s="21">
        <f>+P53-T53</f>
        <v>-33826.329999999944</v>
      </c>
      <c r="Y53" s="16"/>
      <c r="Z53" s="20">
        <f>IF(T53=0,0,X53/T53)</f>
        <v>0.52507085655441821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5">
        <f>+D53-D55</f>
        <v>-8403.91</v>
      </c>
      <c r="E57" s="14"/>
      <c r="F57" s="32">
        <f>IF(D$12=0,0,D57/D$12)</f>
        <v>0</v>
      </c>
      <c r="G57" s="14"/>
      <c r="H57" s="35">
        <f>+H53-H55</f>
        <v>-2108.5400000000004</v>
      </c>
      <c r="I57" s="14"/>
      <c r="J57" s="32">
        <f>IF(H$12=0,0,H57/H$12)</f>
        <v>0</v>
      </c>
      <c r="K57" s="16"/>
      <c r="L57" s="35">
        <f>D57-H57</f>
        <v>-6295.369999999999</v>
      </c>
      <c r="M57" s="16"/>
      <c r="N57" s="32">
        <f>IF(H57=0,0,L57/H57)</f>
        <v>2.9856535802024138</v>
      </c>
      <c r="O57" s="28"/>
      <c r="P57" s="35">
        <f>+P53-P55</f>
        <v>-98248.739999999991</v>
      </c>
      <c r="Q57" s="14"/>
      <c r="R57" s="32">
        <f>IF(P$12=0,0,P57/P$12)</f>
        <v>0</v>
      </c>
      <c r="S57" s="14"/>
      <c r="T57" s="35">
        <f>+T53-T55</f>
        <v>-64422.410000000047</v>
      </c>
      <c r="U57" s="14"/>
      <c r="V57" s="32">
        <f>IF(T$12=0,0,T57/T$12)</f>
        <v>0</v>
      </c>
      <c r="W57" s="16"/>
      <c r="X57" s="35">
        <f>P57-T57</f>
        <v>-33826.329999999944</v>
      </c>
      <c r="Y57" s="16"/>
      <c r="Z57" s="32">
        <f>IF(T57=0,0,X57/T57)</f>
        <v>0.52507085655441821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6">
        <f>SUM(D57:D59)</f>
        <v>-8403.91</v>
      </c>
      <c r="E60" s="14"/>
      <c r="F60" s="33">
        <f>IF(D$12=0,0,D60/D$12)</f>
        <v>0</v>
      </c>
      <c r="G60" s="14"/>
      <c r="H60" s="36">
        <f>SUM(H57:H59)</f>
        <v>-2108.5400000000004</v>
      </c>
      <c r="I60" s="14"/>
      <c r="J60" s="33">
        <f>IF(H$12=0,0,H60/H$12)</f>
        <v>0</v>
      </c>
      <c r="K60" s="16"/>
      <c r="L60" s="36">
        <f>+D60-H60</f>
        <v>-6295.369999999999</v>
      </c>
      <c r="M60" s="16"/>
      <c r="N60" s="33">
        <f>IF(H60=0,0,L60/H60)</f>
        <v>2.9856535802024138</v>
      </c>
      <c r="O60" s="28"/>
      <c r="P60" s="36">
        <f>SUM(P57:P59)</f>
        <v>-98248.739999999991</v>
      </c>
      <c r="Q60" s="14"/>
      <c r="R60" s="33">
        <f>IF(P$12=0,0,P60/P$12)</f>
        <v>0</v>
      </c>
      <c r="S60" s="14"/>
      <c r="T60" s="36">
        <f>SUM(T57:T59)</f>
        <v>-64422.410000000047</v>
      </c>
      <c r="U60" s="14"/>
      <c r="V60" s="33">
        <f>IF(T$12=0,0,T60/T$12)</f>
        <v>0</v>
      </c>
      <c r="W60" s="16"/>
      <c r="X60" s="36">
        <f>+P60-T60</f>
        <v>-33826.329999999944</v>
      </c>
      <c r="Y60" s="16"/>
      <c r="Z60" s="33">
        <f>IF(T60=0,0,X60/T60)</f>
        <v>0.52507085655441821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5">
        <v>43992.375248495373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2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3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263658.58999999985</v>
      </c>
      <c r="E12" s="4"/>
      <c r="F12" s="12"/>
      <c r="G12" s="4"/>
      <c r="H12" s="4">
        <f>SUM(OSRRefH13x_0)</f>
        <v>997308.97</v>
      </c>
      <c r="I12" s="4"/>
      <c r="J12" s="12"/>
      <c r="K12" s="4"/>
      <c r="L12" s="4">
        <f t="shared" ref="L12:L118" si="0">+D12-H12</f>
        <v>-733650.38000000012</v>
      </c>
      <c r="M12" s="4"/>
      <c r="N12" s="12">
        <f t="shared" ref="N12:N118" si="1">IF(H12=0,0,L12/H12)</f>
        <v>-0.7356299823514072</v>
      </c>
      <c r="O12" s="10"/>
      <c r="P12" s="4">
        <f>SUM(OSRRefP13x_0)</f>
        <v>11391364.060000006</v>
      </c>
      <c r="Q12" s="4"/>
      <c r="R12" s="12"/>
      <c r="S12" s="4"/>
      <c r="T12" s="4">
        <f>SUM(OSRRefT13x_0)</f>
        <v>14208995.680000005</v>
      </c>
      <c r="U12" s="4"/>
      <c r="V12" s="12"/>
      <c r="W12" s="4"/>
      <c r="X12" s="4">
        <f t="shared" ref="X12:X118" si="2">+P12-T12</f>
        <v>-2817631.6199999992</v>
      </c>
      <c r="Y12" s="4"/>
      <c r="Z12" s="12">
        <f t="shared" ref="Z12:Z118" si="3">IF(T12=0,0,X12/T12)</f>
        <v>-0.19829913974609625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>
        <f>--41883.59</f>
        <v>41883.589999999997</v>
      </c>
      <c r="I14" s="2"/>
      <c r="J14" s="19"/>
      <c r="K14" s="2"/>
      <c r="L14" s="2">
        <f t="shared" si="0"/>
        <v>-4601.679999999993</v>
      </c>
      <c r="M14" s="2"/>
      <c r="N14" s="19">
        <f t="shared" si="1"/>
        <v>-0.1098683279059888</v>
      </c>
      <c r="O14" s="11"/>
      <c r="P14" s="2">
        <f>--2435259.64</f>
        <v>2435259.64</v>
      </c>
      <c r="Q14" s="2"/>
      <c r="R14" s="19"/>
      <c r="S14" s="2"/>
      <c r="T14" s="2">
        <f>--3103237.76</f>
        <v>3103237.76</v>
      </c>
      <c r="U14" s="2"/>
      <c r="V14" s="19"/>
      <c r="W14" s="2"/>
      <c r="X14" s="2">
        <f t="shared" si="2"/>
        <v>-667978.11999999965</v>
      </c>
      <c r="Y14" s="2"/>
      <c r="Z14" s="19">
        <f t="shared" si="3"/>
        <v>-0.21525199538690831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>
        <f>--30305.16</f>
        <v>30305.16</v>
      </c>
      <c r="I15" s="2"/>
      <c r="J15" s="19"/>
      <c r="K15" s="2"/>
      <c r="L15" s="2">
        <f t="shared" si="0"/>
        <v>-18795.61</v>
      </c>
      <c r="M15" s="2"/>
      <c r="N15" s="19">
        <f t="shared" si="1"/>
        <v>-0.62021154153286107</v>
      </c>
      <c r="O15" s="11"/>
      <c r="P15" s="2">
        <f>--1256426.74</f>
        <v>1256426.74</v>
      </c>
      <c r="Q15" s="2"/>
      <c r="R15" s="19"/>
      <c r="S15" s="2"/>
      <c r="T15" s="2">
        <f>--1393961.55</f>
        <v>1393961.55</v>
      </c>
      <c r="U15" s="2"/>
      <c r="V15" s="19"/>
      <c r="W15" s="2"/>
      <c r="X15" s="2">
        <f t="shared" si="2"/>
        <v>-137534.81000000006</v>
      </c>
      <c r="Y15" s="2"/>
      <c r="Z15" s="19">
        <f t="shared" si="3"/>
        <v>-9.8664708506486454E-2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>
        <f>--107</f>
        <v>107</v>
      </c>
      <c r="I16" s="2"/>
      <c r="J16" s="19"/>
      <c r="K16" s="2"/>
      <c r="L16" s="2">
        <f t="shared" si="0"/>
        <v>-37.010000000000005</v>
      </c>
      <c r="M16" s="2"/>
      <c r="N16" s="19">
        <f t="shared" si="1"/>
        <v>-0.34588785046728976</v>
      </c>
      <c r="O16" s="11"/>
      <c r="P16" s="2">
        <f>--33764.88</f>
        <v>33764.879999999997</v>
      </c>
      <c r="Q16" s="2"/>
      <c r="R16" s="19"/>
      <c r="S16" s="2"/>
      <c r="T16" s="2">
        <f>--15254.65</f>
        <v>15254.65</v>
      </c>
      <c r="U16" s="2"/>
      <c r="V16" s="19"/>
      <c r="W16" s="2"/>
      <c r="X16" s="2">
        <f t="shared" si="2"/>
        <v>18510.229999999996</v>
      </c>
      <c r="Y16" s="2"/>
      <c r="Z16" s="19">
        <f t="shared" si="3"/>
        <v>1.2134155814784342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>
        <f>--227.95</f>
        <v>227.95</v>
      </c>
      <c r="I17" s="2"/>
      <c r="J17" s="19"/>
      <c r="K17" s="2"/>
      <c r="L17" s="2">
        <f t="shared" si="0"/>
        <v>-227.95</v>
      </c>
      <c r="M17" s="2"/>
      <c r="N17" s="19">
        <f t="shared" si="1"/>
        <v>-1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--483.81</f>
        <v>483.81</v>
      </c>
      <c r="I19" s="2"/>
      <c r="J19" s="19"/>
      <c r="K19" s="2"/>
      <c r="L19" s="2">
        <f t="shared" si="0"/>
        <v>-483.81</v>
      </c>
      <c r="M19" s="2"/>
      <c r="N19" s="19">
        <f t="shared" si="1"/>
        <v>-1</v>
      </c>
      <c r="O19" s="11"/>
      <c r="P19" s="2">
        <f>--2713.36</f>
        <v>2713.36</v>
      </c>
      <c r="Q19" s="2"/>
      <c r="R19" s="19"/>
      <c r="S19" s="2"/>
      <c r="T19" s="2">
        <f>--6824.23</f>
        <v>6824.23</v>
      </c>
      <c r="U19" s="2"/>
      <c r="V19" s="19"/>
      <c r="W19" s="2"/>
      <c r="X19" s="2">
        <f t="shared" si="2"/>
        <v>-4110.869999999999</v>
      </c>
      <c r="Y19" s="2"/>
      <c r="Z19" s="19">
        <f t="shared" si="3"/>
        <v>-0.602393237039197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>
        <f>--95.48</f>
        <v>95.48</v>
      </c>
      <c r="I20" s="2"/>
      <c r="J20" s="19"/>
      <c r="K20" s="2"/>
      <c r="L20" s="2">
        <f t="shared" si="0"/>
        <v>-94.68</v>
      </c>
      <c r="M20" s="2"/>
      <c r="N20" s="19">
        <f t="shared" si="1"/>
        <v>-0.99162128194386256</v>
      </c>
      <c r="O20" s="11"/>
      <c r="P20" s="2">
        <f>--1219.98</f>
        <v>1219.98</v>
      </c>
      <c r="Q20" s="2"/>
      <c r="R20" s="19"/>
      <c r="S20" s="2"/>
      <c r="T20" s="2">
        <f>--2127.75</f>
        <v>2127.75</v>
      </c>
      <c r="U20" s="2"/>
      <c r="V20" s="19"/>
      <c r="W20" s="2"/>
      <c r="X20" s="2">
        <f t="shared" si="2"/>
        <v>-907.77</v>
      </c>
      <c r="Y20" s="2"/>
      <c r="Z20" s="19">
        <f t="shared" si="3"/>
        <v>-0.42663376806485726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--44.93</f>
        <v>44.93</v>
      </c>
      <c r="I21" s="2"/>
      <c r="J21" s="19"/>
      <c r="K21" s="2"/>
      <c r="L21" s="2">
        <f t="shared" si="0"/>
        <v>-44.93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--762.54</f>
        <v>762.54</v>
      </c>
      <c r="U21" s="2"/>
      <c r="V21" s="19"/>
      <c r="W21" s="2"/>
      <c r="X21" s="2">
        <f t="shared" si="2"/>
        <v>-415.02</v>
      </c>
      <c r="Y21" s="2"/>
      <c r="Z21" s="19">
        <f t="shared" si="3"/>
        <v>-0.54425997324730502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>
        <f>--308.38</f>
        <v>308.38</v>
      </c>
      <c r="I22" s="2"/>
      <c r="J22" s="19"/>
      <c r="K22" s="2"/>
      <c r="L22" s="2">
        <f t="shared" si="0"/>
        <v>-283.39</v>
      </c>
      <c r="M22" s="2"/>
      <c r="N22" s="19">
        <f t="shared" si="1"/>
        <v>-0.91896361631753032</v>
      </c>
      <c r="O22" s="11"/>
      <c r="P22" s="2">
        <f>--4179.3</f>
        <v>4179.3</v>
      </c>
      <c r="Q22" s="2"/>
      <c r="R22" s="19"/>
      <c r="S22" s="2"/>
      <c r="T22" s="2">
        <f>--6383.46</f>
        <v>6383.46</v>
      </c>
      <c r="U22" s="2"/>
      <c r="V22" s="19"/>
      <c r="W22" s="2"/>
      <c r="X22" s="2">
        <f t="shared" si="2"/>
        <v>-2204.16</v>
      </c>
      <c r="Y22" s="2"/>
      <c r="Z22" s="19">
        <f t="shared" si="3"/>
        <v>-0.34529236495568233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>
        <f>--3554.35</f>
        <v>3554.35</v>
      </c>
      <c r="I24" s="2"/>
      <c r="J24" s="19"/>
      <c r="K24" s="2"/>
      <c r="L24" s="2">
        <f t="shared" si="0"/>
        <v>-3537.1</v>
      </c>
      <c r="M24" s="2"/>
      <c r="N24" s="19">
        <f t="shared" si="1"/>
        <v>-0.99514679195914868</v>
      </c>
      <c r="O24" s="11"/>
      <c r="P24" s="2">
        <f>--54720.11</f>
        <v>54720.11</v>
      </c>
      <c r="Q24" s="2"/>
      <c r="R24" s="19"/>
      <c r="S24" s="2"/>
      <c r="T24" s="2">
        <f>--60173.02</f>
        <v>60173.02</v>
      </c>
      <c r="U24" s="2"/>
      <c r="V24" s="19"/>
      <c r="W24" s="2"/>
      <c r="X24" s="2">
        <f t="shared" si="2"/>
        <v>-5452.9099999999962</v>
      </c>
      <c r="Y24" s="2"/>
      <c r="Z24" s="19">
        <f t="shared" si="3"/>
        <v>-9.0620513977859127E-2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>
        <f>--6532.22</f>
        <v>6532.22</v>
      </c>
      <c r="I25" s="2"/>
      <c r="J25" s="19"/>
      <c r="K25" s="2"/>
      <c r="L25" s="2">
        <f t="shared" si="0"/>
        <v>-5672.4400000000005</v>
      </c>
      <c r="M25" s="2"/>
      <c r="N25" s="19">
        <f t="shared" si="1"/>
        <v>-0.86837859104561699</v>
      </c>
      <c r="O25" s="11"/>
      <c r="P25" s="2">
        <f>--80809.49</f>
        <v>80809.490000000005</v>
      </c>
      <c r="Q25" s="2"/>
      <c r="R25" s="19"/>
      <c r="S25" s="2"/>
      <c r="T25" s="2">
        <f>--81471</f>
        <v>81471</v>
      </c>
      <c r="U25" s="2"/>
      <c r="V25" s="19"/>
      <c r="W25" s="2"/>
      <c r="X25" s="2">
        <f t="shared" si="2"/>
        <v>-661.50999999999476</v>
      </c>
      <c r="Y25" s="2"/>
      <c r="Z25" s="19">
        <f t="shared" si="3"/>
        <v>-8.1195762909500903E-3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>
        <f>--14816.86</f>
        <v>14816.86</v>
      </c>
      <c r="I26" s="2"/>
      <c r="J26" s="19"/>
      <c r="K26" s="2"/>
      <c r="L26" s="2">
        <f t="shared" si="0"/>
        <v>-9286.35</v>
      </c>
      <c r="M26" s="2"/>
      <c r="N26" s="19">
        <f t="shared" si="1"/>
        <v>-0.62674210325264601</v>
      </c>
      <c r="O26" s="11"/>
      <c r="P26" s="2">
        <f>--276777.07</f>
        <v>276777.07</v>
      </c>
      <c r="Q26" s="2"/>
      <c r="R26" s="19"/>
      <c r="S26" s="2"/>
      <c r="T26" s="2">
        <f>--291520.85</f>
        <v>291520.84999999998</v>
      </c>
      <c r="U26" s="2"/>
      <c r="V26" s="19"/>
      <c r="W26" s="2"/>
      <c r="X26" s="2">
        <f t="shared" si="2"/>
        <v>-14743.77999999997</v>
      </c>
      <c r="Y26" s="2"/>
      <c r="Z26" s="19">
        <f t="shared" si="3"/>
        <v>-5.0575387660951078E-2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>
        <f>--11322.32</f>
        <v>11322.32</v>
      </c>
      <c r="I27" s="2"/>
      <c r="J27" s="19"/>
      <c r="K27" s="2"/>
      <c r="L27" s="2">
        <f t="shared" si="0"/>
        <v>-10897.14</v>
      </c>
      <c r="M27" s="2"/>
      <c r="N27" s="19">
        <f t="shared" si="1"/>
        <v>-0.96244762557497043</v>
      </c>
      <c r="O27" s="11"/>
      <c r="P27" s="2">
        <f>--293191.05</f>
        <v>293191.05</v>
      </c>
      <c r="Q27" s="2"/>
      <c r="R27" s="19"/>
      <c r="S27" s="2"/>
      <c r="T27" s="2">
        <f>--345370.44</f>
        <v>345370.44</v>
      </c>
      <c r="U27" s="2"/>
      <c r="V27" s="19"/>
      <c r="W27" s="2"/>
      <c r="X27" s="2">
        <f t="shared" si="2"/>
        <v>-52179.390000000014</v>
      </c>
      <c r="Y27" s="2"/>
      <c r="Z27" s="19">
        <f t="shared" si="3"/>
        <v>-0.15108238562628584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>
        <f>--35.13</f>
        <v>35.130000000000003</v>
      </c>
      <c r="I28" s="2"/>
      <c r="J28" s="19"/>
      <c r="K28" s="2"/>
      <c r="L28" s="2">
        <f t="shared" si="0"/>
        <v>-35.130000000000003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--693.83</f>
        <v>693.83</v>
      </c>
      <c r="U28" s="2"/>
      <c r="V28" s="19"/>
      <c r="W28" s="2"/>
      <c r="X28" s="2">
        <f t="shared" si="2"/>
        <v>-207.49000000000007</v>
      </c>
      <c r="Y28" s="2"/>
      <c r="Z28" s="19">
        <f t="shared" si="3"/>
        <v>-0.29905019961662088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>
        <f>--24130.84</f>
        <v>24130.84</v>
      </c>
      <c r="I29" s="2"/>
      <c r="J29" s="19"/>
      <c r="K29" s="2"/>
      <c r="L29" s="2">
        <f t="shared" si="0"/>
        <v>-24130.84</v>
      </c>
      <c r="M29" s="2"/>
      <c r="N29" s="19">
        <f t="shared" si="1"/>
        <v>-1</v>
      </c>
      <c r="O29" s="11"/>
      <c r="P29" s="2">
        <f>--277654.52</f>
        <v>277654.52</v>
      </c>
      <c r="Q29" s="2"/>
      <c r="R29" s="19"/>
      <c r="S29" s="2"/>
      <c r="T29" s="2">
        <f>--365957.27</f>
        <v>365957.27</v>
      </c>
      <c r="U29" s="2"/>
      <c r="V29" s="19"/>
      <c r="W29" s="2"/>
      <c r="X29" s="2">
        <f t="shared" si="2"/>
        <v>-88302.75</v>
      </c>
      <c r="Y29" s="2"/>
      <c r="Z29" s="19">
        <f t="shared" si="3"/>
        <v>-0.24129251483376732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>
        <f>--19.79</f>
        <v>19.79</v>
      </c>
      <c r="I30" s="2"/>
      <c r="J30" s="19"/>
      <c r="K30" s="2"/>
      <c r="L30" s="2">
        <f t="shared" si="0"/>
        <v>-19.79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--283.84</f>
        <v>283.83999999999997</v>
      </c>
      <c r="U30" s="2"/>
      <c r="V30" s="19"/>
      <c r="W30" s="2"/>
      <c r="X30" s="2">
        <f t="shared" si="2"/>
        <v>-78.309999999999974</v>
      </c>
      <c r="Y30" s="2"/>
      <c r="Z30" s="19">
        <f t="shared" si="3"/>
        <v>-0.27589487034949262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>
        <f>--872.98</f>
        <v>872.98</v>
      </c>
      <c r="I31" s="2"/>
      <c r="J31" s="19"/>
      <c r="K31" s="2"/>
      <c r="L31" s="2">
        <f t="shared" si="0"/>
        <v>-872.98</v>
      </c>
      <c r="M31" s="2"/>
      <c r="N31" s="19">
        <f t="shared" si="1"/>
        <v>-1</v>
      </c>
      <c r="O31" s="11"/>
      <c r="P31" s="2">
        <f>--10925.46</f>
        <v>10925.46</v>
      </c>
      <c r="Q31" s="2"/>
      <c r="R31" s="19"/>
      <c r="S31" s="2"/>
      <c r="T31" s="2">
        <f>--11587.43</f>
        <v>11587.43</v>
      </c>
      <c r="U31" s="2"/>
      <c r="V31" s="19"/>
      <c r="W31" s="2"/>
      <c r="X31" s="2">
        <f t="shared" si="2"/>
        <v>-661.97000000000116</v>
      </c>
      <c r="Y31" s="2"/>
      <c r="Z31" s="19">
        <f t="shared" si="3"/>
        <v>-5.7128284701612103E-2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>
        <f>--103.35</f>
        <v>103.35</v>
      </c>
      <c r="I32" s="2"/>
      <c r="J32" s="19"/>
      <c r="K32" s="2"/>
      <c r="L32" s="2">
        <f t="shared" si="0"/>
        <v>-103.35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--2670.09</f>
        <v>2670.09</v>
      </c>
      <c r="U32" s="2"/>
      <c r="V32" s="19"/>
      <c r="W32" s="2"/>
      <c r="X32" s="2">
        <f t="shared" si="2"/>
        <v>-688.25000000000023</v>
      </c>
      <c r="Y32" s="2"/>
      <c r="Z32" s="19">
        <f t="shared" si="3"/>
        <v>-0.2577628469452341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>
        <f>--64.16</f>
        <v>64.16</v>
      </c>
      <c r="I33" s="2"/>
      <c r="J33" s="19"/>
      <c r="K33" s="2"/>
      <c r="L33" s="2">
        <f t="shared" si="0"/>
        <v>-64.16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--870.15</f>
        <v>870.15</v>
      </c>
      <c r="U33" s="2"/>
      <c r="V33" s="19"/>
      <c r="W33" s="2"/>
      <c r="X33" s="2">
        <f t="shared" si="2"/>
        <v>-356.64</v>
      </c>
      <c r="Y33" s="2"/>
      <c r="Z33" s="19">
        <f t="shared" si="3"/>
        <v>-0.40986036890191346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>
        <f>--251041.75</f>
        <v>251041.75</v>
      </c>
      <c r="I34" s="2"/>
      <c r="J34" s="19"/>
      <c r="K34" s="2"/>
      <c r="L34" s="2">
        <f t="shared" si="0"/>
        <v>-200235.03</v>
      </c>
      <c r="M34" s="2"/>
      <c r="N34" s="19">
        <f t="shared" si="1"/>
        <v>-0.79761645224350131</v>
      </c>
      <c r="O34" s="11"/>
      <c r="P34" s="2">
        <f>--1894910.12</f>
        <v>1894910.12</v>
      </c>
      <c r="Q34" s="2"/>
      <c r="R34" s="19"/>
      <c r="S34" s="2"/>
      <c r="T34" s="2">
        <f>--2379452.63</f>
        <v>2379452.63</v>
      </c>
      <c r="U34" s="2"/>
      <c r="V34" s="19"/>
      <c r="W34" s="2"/>
      <c r="X34" s="2">
        <f t="shared" si="2"/>
        <v>-484542.50999999978</v>
      </c>
      <c r="Y34" s="2"/>
      <c r="Z34" s="19">
        <f t="shared" si="3"/>
        <v>-0.20363612365756564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>
        <f>--165501.05</f>
        <v>165501.04999999999</v>
      </c>
      <c r="I35" s="2"/>
      <c r="J35" s="19"/>
      <c r="K35" s="2"/>
      <c r="L35" s="2">
        <f t="shared" si="0"/>
        <v>-120001.78</v>
      </c>
      <c r="M35" s="2"/>
      <c r="N35" s="19">
        <f t="shared" si="1"/>
        <v>-0.72508168377179483</v>
      </c>
      <c r="O35" s="11"/>
      <c r="P35" s="2">
        <f>--526632.56</f>
        <v>526632.56000000006</v>
      </c>
      <c r="Q35" s="2"/>
      <c r="R35" s="19"/>
      <c r="S35" s="2"/>
      <c r="T35" s="2">
        <f>--829135.79</f>
        <v>829135.79</v>
      </c>
      <c r="U35" s="2"/>
      <c r="V35" s="19"/>
      <c r="W35" s="2"/>
      <c r="X35" s="2">
        <f t="shared" si="2"/>
        <v>-302503.23</v>
      </c>
      <c r="Y35" s="2"/>
      <c r="Z35" s="19">
        <f t="shared" si="3"/>
        <v>-0.36484160212165001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>
        <f>--39206.06</f>
        <v>39206.06</v>
      </c>
      <c r="I36" s="2"/>
      <c r="J36" s="19"/>
      <c r="K36" s="2"/>
      <c r="L36" s="2">
        <f t="shared" si="0"/>
        <v>-35787.040000000001</v>
      </c>
      <c r="M36" s="2"/>
      <c r="N36" s="19">
        <f t="shared" si="1"/>
        <v>-0.91279358344092731</v>
      </c>
      <c r="O36" s="11"/>
      <c r="P36" s="2">
        <f>--282721.2</f>
        <v>282721.2</v>
      </c>
      <c r="Q36" s="2"/>
      <c r="R36" s="19"/>
      <c r="S36" s="2"/>
      <c r="T36" s="2">
        <f>--324686.18</f>
        <v>324686.18</v>
      </c>
      <c r="U36" s="2"/>
      <c r="V36" s="19"/>
      <c r="W36" s="2"/>
      <c r="X36" s="2">
        <f t="shared" si="2"/>
        <v>-41964.979999999981</v>
      </c>
      <c r="Y36" s="2"/>
      <c r="Z36" s="19">
        <f t="shared" si="3"/>
        <v>-0.12924781707678468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>
        <f>--1230.23</f>
        <v>1230.23</v>
      </c>
      <c r="I37" s="2"/>
      <c r="J37" s="19"/>
      <c r="K37" s="2"/>
      <c r="L37" s="2">
        <f t="shared" si="0"/>
        <v>-1180.28</v>
      </c>
      <c r="M37" s="2"/>
      <c r="N37" s="19">
        <f t="shared" si="1"/>
        <v>-0.95939783617697505</v>
      </c>
      <c r="O37" s="11"/>
      <c r="P37" s="2">
        <f>--77269.18</f>
        <v>77269.179999999993</v>
      </c>
      <c r="Q37" s="2"/>
      <c r="R37" s="19"/>
      <c r="S37" s="2"/>
      <c r="T37" s="2">
        <f>--4783.61</f>
        <v>4783.6099999999997</v>
      </c>
      <c r="U37" s="2"/>
      <c r="V37" s="19"/>
      <c r="W37" s="2"/>
      <c r="X37" s="2">
        <f t="shared" si="2"/>
        <v>72485.569999999992</v>
      </c>
      <c r="Y37" s="2"/>
      <c r="Z37" s="19">
        <f t="shared" si="3"/>
        <v>15.152901260763315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>
        <f>--5486.9</f>
        <v>5486.9</v>
      </c>
      <c r="I38" s="2"/>
      <c r="J38" s="19"/>
      <c r="K38" s="2"/>
      <c r="L38" s="2">
        <f t="shared" si="0"/>
        <v>-1571.6599999999999</v>
      </c>
      <c r="M38" s="2"/>
      <c r="N38" s="19">
        <f t="shared" si="1"/>
        <v>-0.28643860832163881</v>
      </c>
      <c r="O38" s="11"/>
      <c r="P38" s="2">
        <f>--71255.76</f>
        <v>71255.759999999995</v>
      </c>
      <c r="Q38" s="2"/>
      <c r="R38" s="19"/>
      <c r="S38" s="2"/>
      <c r="T38" s="2">
        <f>--85687.27</f>
        <v>85687.27</v>
      </c>
      <c r="U38" s="2"/>
      <c r="V38" s="19"/>
      <c r="W38" s="2"/>
      <c r="X38" s="2">
        <f t="shared" si="2"/>
        <v>-14431.510000000009</v>
      </c>
      <c r="Y38" s="2"/>
      <c r="Z38" s="19">
        <f t="shared" si="3"/>
        <v>-0.16842070006431537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>
        <f>--61115.47</f>
        <v>61115.47</v>
      </c>
      <c r="I39" s="2"/>
      <c r="J39" s="19"/>
      <c r="K39" s="2"/>
      <c r="L39" s="2">
        <f t="shared" si="0"/>
        <v>-47589.880000000005</v>
      </c>
      <c r="M39" s="2"/>
      <c r="N39" s="19">
        <f t="shared" si="1"/>
        <v>-0.77868794922136741</v>
      </c>
      <c r="O39" s="11"/>
      <c r="P39" s="2">
        <f>--96839.56</f>
        <v>96839.56</v>
      </c>
      <c r="Q39" s="2"/>
      <c r="R39" s="19"/>
      <c r="S39" s="2"/>
      <c r="T39" s="2">
        <f>--193484.96</f>
        <v>193484.96</v>
      </c>
      <c r="U39" s="2"/>
      <c r="V39" s="19"/>
      <c r="W39" s="2"/>
      <c r="X39" s="2">
        <f t="shared" si="2"/>
        <v>-96645.4</v>
      </c>
      <c r="Y39" s="2"/>
      <c r="Z39" s="19">
        <f t="shared" si="3"/>
        <v>-0.49949825557500693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6">0</f>
        <v>0</v>
      </c>
      <c r="E40" s="2"/>
      <c r="F40" s="19"/>
      <c r="G40" s="2"/>
      <c r="H40" s="2">
        <f>--963.97</f>
        <v>963.97</v>
      </c>
      <c r="I40" s="2"/>
      <c r="J40" s="19"/>
      <c r="K40" s="2"/>
      <c r="L40" s="2">
        <f t="shared" si="0"/>
        <v>-963.97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--5572.63</f>
        <v>5572.63</v>
      </c>
      <c r="U40" s="2"/>
      <c r="V40" s="19"/>
      <c r="W40" s="2"/>
      <c r="X40" s="2">
        <f t="shared" si="2"/>
        <v>-2896.4900000000002</v>
      </c>
      <c r="Y40" s="2"/>
      <c r="Z40" s="19">
        <f t="shared" si="3"/>
        <v>-0.51977073661807804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6"/>
        <v>0</v>
      </c>
      <c r="E41" s="2"/>
      <c r="F41" s="19"/>
      <c r="G41" s="2"/>
      <c r="H41" s="2">
        <f>--20392.09</f>
        <v>20392.09</v>
      </c>
      <c r="I41" s="2"/>
      <c r="J41" s="19"/>
      <c r="K41" s="2"/>
      <c r="L41" s="2">
        <f t="shared" si="0"/>
        <v>-20392.09</v>
      </c>
      <c r="M41" s="2"/>
      <c r="N41" s="19">
        <f t="shared" si="1"/>
        <v>-1</v>
      </c>
      <c r="O41" s="11"/>
      <c r="P41" s="2">
        <f>--149404.53</f>
        <v>149404.53</v>
      </c>
      <c r="Q41" s="2"/>
      <c r="R41" s="19"/>
      <c r="S41" s="2"/>
      <c r="T41" s="2">
        <f>--234625.59</f>
        <v>234625.59</v>
      </c>
      <c r="U41" s="2"/>
      <c r="V41" s="19"/>
      <c r="W41" s="2"/>
      <c r="X41" s="2">
        <f t="shared" si="2"/>
        <v>-85221.06</v>
      </c>
      <c r="Y41" s="2"/>
      <c r="Z41" s="19">
        <f t="shared" si="3"/>
        <v>-0.36322150537799391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6"/>
        <v>0</v>
      </c>
      <c r="E42" s="2"/>
      <c r="F42" s="19"/>
      <c r="G42" s="2"/>
      <c r="H42" s="2">
        <f>--188.85</f>
        <v>188.85</v>
      </c>
      <c r="I42" s="2"/>
      <c r="J42" s="19"/>
      <c r="K42" s="2"/>
      <c r="L42" s="2">
        <f t="shared" si="0"/>
        <v>-188.85</v>
      </c>
      <c r="M42" s="2"/>
      <c r="N42" s="19">
        <f t="shared" si="1"/>
        <v>-1</v>
      </c>
      <c r="O42" s="11"/>
      <c r="P42" s="2">
        <f>--3174.93</f>
        <v>3174.93</v>
      </c>
      <c r="Q42" s="2"/>
      <c r="R42" s="19"/>
      <c r="S42" s="2"/>
      <c r="T42" s="2">
        <f>--4403.54</f>
        <v>4403.54</v>
      </c>
      <c r="U42" s="2"/>
      <c r="V42" s="19"/>
      <c r="W42" s="2"/>
      <c r="X42" s="2">
        <f t="shared" si="2"/>
        <v>-1228.6100000000001</v>
      </c>
      <c r="Y42" s="2"/>
      <c r="Z42" s="19">
        <f t="shared" si="3"/>
        <v>-0.27900507319111445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6"/>
        <v>0</v>
      </c>
      <c r="E43" s="2"/>
      <c r="F43" s="19"/>
      <c r="G43" s="2"/>
      <c r="H43" s="2">
        <f>--145</f>
        <v>145</v>
      </c>
      <c r="I43" s="2"/>
      <c r="J43" s="19"/>
      <c r="K43" s="2"/>
      <c r="L43" s="2">
        <f t="shared" si="0"/>
        <v>-145</v>
      </c>
      <c r="M43" s="2"/>
      <c r="N43" s="19">
        <f t="shared" si="1"/>
        <v>-1</v>
      </c>
      <c r="O43" s="11"/>
      <c r="P43" s="2">
        <f>--363.94</f>
        <v>363.94</v>
      </c>
      <c r="Q43" s="2"/>
      <c r="R43" s="19"/>
      <c r="S43" s="2"/>
      <c r="T43" s="2">
        <f>--1650</f>
        <v>1650</v>
      </c>
      <c r="U43" s="2"/>
      <c r="V43" s="19"/>
      <c r="W43" s="2"/>
      <c r="X43" s="2">
        <f t="shared" si="2"/>
        <v>-1286.06</v>
      </c>
      <c r="Y43" s="2"/>
      <c r="Z43" s="19">
        <f t="shared" si="3"/>
        <v>-0.77943030303030303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6"/>
        <v>0</v>
      </c>
      <c r="E44" s="2"/>
      <c r="F44" s="19"/>
      <c r="G44" s="2"/>
      <c r="H44" s="2">
        <f>--119.89</f>
        <v>119.89</v>
      </c>
      <c r="I44" s="2"/>
      <c r="J44" s="19"/>
      <c r="K44" s="2"/>
      <c r="L44" s="2">
        <f t="shared" si="0"/>
        <v>-119.89</v>
      </c>
      <c r="M44" s="2"/>
      <c r="N44" s="19">
        <f t="shared" si="1"/>
        <v>-1</v>
      </c>
      <c r="O44" s="11"/>
      <c r="P44" s="2">
        <f>--914.33</f>
        <v>914.33</v>
      </c>
      <c r="Q44" s="2"/>
      <c r="R44" s="19"/>
      <c r="S44" s="2"/>
      <c r="T44" s="2">
        <f>--1403.83</f>
        <v>1403.83</v>
      </c>
      <c r="U44" s="2"/>
      <c r="V44" s="19"/>
      <c r="W44" s="2"/>
      <c r="X44" s="2">
        <f t="shared" si="2"/>
        <v>-489.49999999999989</v>
      </c>
      <c r="Y44" s="2"/>
      <c r="Z44" s="19">
        <f t="shared" si="3"/>
        <v>-0.3486889438179836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6"/>
        <v>0</v>
      </c>
      <c r="E45" s="2"/>
      <c r="F45" s="19"/>
      <c r="G45" s="2"/>
      <c r="H45" s="2">
        <f>--29.98</f>
        <v>29.98</v>
      </c>
      <c r="I45" s="2"/>
      <c r="J45" s="19"/>
      <c r="K45" s="2"/>
      <c r="L45" s="2">
        <f t="shared" si="0"/>
        <v>-29.98</v>
      </c>
      <c r="M45" s="2"/>
      <c r="N45" s="19">
        <f t="shared" si="1"/>
        <v>-1</v>
      </c>
      <c r="O45" s="11"/>
      <c r="P45" s="2">
        <f>--813.74</f>
        <v>813.74</v>
      </c>
      <c r="Q45" s="2"/>
      <c r="R45" s="19"/>
      <c r="S45" s="2"/>
      <c r="T45" s="2">
        <f>--2115.11</f>
        <v>2115.11</v>
      </c>
      <c r="U45" s="2"/>
      <c r="V45" s="19"/>
      <c r="W45" s="2"/>
      <c r="X45" s="2">
        <f t="shared" si="2"/>
        <v>-1301.3700000000001</v>
      </c>
      <c r="Y45" s="2"/>
      <c r="Z45" s="19">
        <f t="shared" si="3"/>
        <v>-0.61527296452666769</v>
      </c>
    </row>
    <row r="46" spans="1:26" s="24" customFormat="1" hidden="1" outlineLevel="1" x14ac:dyDescent="0.25">
      <c r="A46" s="44"/>
      <c r="B46" s="11" t="str">
        <f>CONCATENATE("          ", "4091", " - ", "TAXABLE SALES-GRAD ANNOUNCEMEN")</f>
        <v xml:space="preserve">          4091 - TAXABLE SALES-GRAD ANNOUNCEMEN</v>
      </c>
      <c r="C46" s="11"/>
      <c r="D46" s="2">
        <f t="shared" si="6"/>
        <v>0</v>
      </c>
      <c r="E46" s="2"/>
      <c r="F46" s="19"/>
      <c r="G46" s="2"/>
      <c r="H46" s="2">
        <f>-471.6</f>
        <v>-471.6</v>
      </c>
      <c r="I46" s="2"/>
      <c r="J46" s="19"/>
      <c r="K46" s="2"/>
      <c r="L46" s="2">
        <f t="shared" si="0"/>
        <v>471.6</v>
      </c>
      <c r="M46" s="2"/>
      <c r="N46" s="19">
        <f t="shared" si="1"/>
        <v>-1</v>
      </c>
      <c r="O46" s="11"/>
      <c r="P46" s="2">
        <f>0</f>
        <v>0</v>
      </c>
      <c r="Q46" s="2"/>
      <c r="R46" s="19"/>
      <c r="S46" s="2"/>
      <c r="T46" s="2">
        <f>0</f>
        <v>0</v>
      </c>
      <c r="U46" s="2"/>
      <c r="V46" s="19"/>
      <c r="W46" s="2"/>
      <c r="X46" s="2">
        <f t="shared" si="2"/>
        <v>0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--13527.29</f>
        <v>13527.29</v>
      </c>
      <c r="E47" s="2"/>
      <c r="F47" s="19"/>
      <c r="G47" s="2"/>
      <c r="H47" s="2">
        <f>--99813.43</f>
        <v>99813.43</v>
      </c>
      <c r="I47" s="2"/>
      <c r="J47" s="19"/>
      <c r="K47" s="2"/>
      <c r="L47" s="2">
        <f t="shared" si="0"/>
        <v>-86286.139999999985</v>
      </c>
      <c r="M47" s="2"/>
      <c r="N47" s="19">
        <f t="shared" si="1"/>
        <v>-0.86447424960749264</v>
      </c>
      <c r="O47" s="11"/>
      <c r="P47" s="2">
        <f>--35353.71</f>
        <v>35353.71</v>
      </c>
      <c r="Q47" s="2"/>
      <c r="R47" s="19"/>
      <c r="S47" s="2"/>
      <c r="T47" s="2">
        <f>--222837.42</f>
        <v>222837.42</v>
      </c>
      <c r="U47" s="2"/>
      <c r="V47" s="19"/>
      <c r="W47" s="2"/>
      <c r="X47" s="2">
        <f t="shared" si="2"/>
        <v>-187483.71000000002</v>
      </c>
      <c r="Y47" s="2"/>
      <c r="Z47" s="19">
        <f t="shared" si="3"/>
        <v>-0.84134751694755761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0</f>
        <v>0</v>
      </c>
      <c r="E48" s="2"/>
      <c r="F48" s="19"/>
      <c r="G48" s="2"/>
      <c r="H48" s="2">
        <f>--172.26</f>
        <v>172.26</v>
      </c>
      <c r="I48" s="2"/>
      <c r="J48" s="19"/>
      <c r="K48" s="2"/>
      <c r="L48" s="2">
        <f t="shared" si="0"/>
        <v>-172.26</v>
      </c>
      <c r="M48" s="2"/>
      <c r="N48" s="19">
        <f t="shared" si="1"/>
        <v>-1</v>
      </c>
      <c r="O48" s="11"/>
      <c r="P48" s="2">
        <f>--309.26</f>
        <v>309.26</v>
      </c>
      <c r="Q48" s="2"/>
      <c r="R48" s="19"/>
      <c r="S48" s="2"/>
      <c r="T48" s="2">
        <f>--2217.3</f>
        <v>2217.3000000000002</v>
      </c>
      <c r="U48" s="2"/>
      <c r="V48" s="19"/>
      <c r="W48" s="2"/>
      <c r="X48" s="2">
        <f t="shared" si="2"/>
        <v>-1908.0400000000002</v>
      </c>
      <c r="Y48" s="2"/>
      <c r="Z48" s="19">
        <f t="shared" si="3"/>
        <v>-0.86052406079466015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--5210.55</f>
        <v>5210.55</v>
      </c>
      <c r="E49" s="2"/>
      <c r="F49" s="19"/>
      <c r="G49" s="2"/>
      <c r="H49" s="2">
        <f>--10164.71</f>
        <v>10164.709999999999</v>
      </c>
      <c r="I49" s="2"/>
      <c r="J49" s="19"/>
      <c r="K49" s="2"/>
      <c r="L49" s="2">
        <f t="shared" si="0"/>
        <v>-4954.1599999999989</v>
      </c>
      <c r="M49" s="2"/>
      <c r="N49" s="19">
        <f t="shared" si="1"/>
        <v>-0.48738822848856478</v>
      </c>
      <c r="O49" s="11"/>
      <c r="P49" s="2">
        <f>--607447.02</f>
        <v>607447.02</v>
      </c>
      <c r="Q49" s="2"/>
      <c r="R49" s="19"/>
      <c r="S49" s="2"/>
      <c r="T49" s="2">
        <f>--789574.6</f>
        <v>789574.6</v>
      </c>
      <c r="U49" s="2"/>
      <c r="V49" s="19"/>
      <c r="W49" s="2"/>
      <c r="X49" s="2">
        <f t="shared" si="2"/>
        <v>-182127.57999999996</v>
      </c>
      <c r="Y49" s="2"/>
      <c r="Z49" s="19">
        <f t="shared" si="3"/>
        <v>-0.23066544947114556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--7118.9</f>
        <v>7118.9</v>
      </c>
      <c r="E50" s="2"/>
      <c r="F50" s="19"/>
      <c r="G50" s="2"/>
      <c r="H50" s="2">
        <f>--14829.63</f>
        <v>14829.63</v>
      </c>
      <c r="I50" s="2"/>
      <c r="J50" s="19"/>
      <c r="K50" s="2"/>
      <c r="L50" s="2">
        <f t="shared" si="0"/>
        <v>-7710.73</v>
      </c>
      <c r="M50" s="2"/>
      <c r="N50" s="19">
        <f t="shared" si="1"/>
        <v>-0.51995430769344886</v>
      </c>
      <c r="O50" s="11"/>
      <c r="P50" s="2">
        <f>--151282.34</f>
        <v>151282.34</v>
      </c>
      <c r="Q50" s="2"/>
      <c r="R50" s="19"/>
      <c r="S50" s="2"/>
      <c r="T50" s="2">
        <f>--280944.1</f>
        <v>280944.09999999998</v>
      </c>
      <c r="U50" s="2"/>
      <c r="V50" s="19"/>
      <c r="W50" s="2"/>
      <c r="X50" s="2">
        <f t="shared" si="2"/>
        <v>-129661.75999999998</v>
      </c>
      <c r="Y50" s="2"/>
      <c r="Z50" s="19">
        <f t="shared" si="3"/>
        <v>-0.4615215624745278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--565.56</f>
        <v>565.55999999999995</v>
      </c>
      <c r="E51" s="2"/>
      <c r="F51" s="19"/>
      <c r="G51" s="2"/>
      <c r="H51" s="2">
        <f>--3752.48</f>
        <v>3752.48</v>
      </c>
      <c r="I51" s="2"/>
      <c r="J51" s="19"/>
      <c r="K51" s="2"/>
      <c r="L51" s="2">
        <f t="shared" si="0"/>
        <v>-3186.92</v>
      </c>
      <c r="M51" s="2"/>
      <c r="N51" s="19">
        <f t="shared" si="1"/>
        <v>-0.84928367373043967</v>
      </c>
      <c r="O51" s="11"/>
      <c r="P51" s="2">
        <f>--70225.46</f>
        <v>70225.460000000006</v>
      </c>
      <c r="Q51" s="2"/>
      <c r="R51" s="19"/>
      <c r="S51" s="2"/>
      <c r="T51" s="2">
        <f>--96349.95</f>
        <v>96349.95</v>
      </c>
      <c r="U51" s="2"/>
      <c r="V51" s="19"/>
      <c r="W51" s="2"/>
      <c r="X51" s="2">
        <f t="shared" si="2"/>
        <v>-26124.489999999991</v>
      </c>
      <c r="Y51" s="2"/>
      <c r="Z51" s="19">
        <f t="shared" si="3"/>
        <v>-0.27114170790955255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--321</f>
        <v>321</v>
      </c>
      <c r="I52" s="2"/>
      <c r="J52" s="19"/>
      <c r="K52" s="2"/>
      <c r="L52" s="2">
        <f t="shared" si="0"/>
        <v>-321</v>
      </c>
      <c r="M52" s="2"/>
      <c r="N52" s="19">
        <f t="shared" si="1"/>
        <v>-1</v>
      </c>
      <c r="O52" s="11"/>
      <c r="P52" s="2">
        <f>--664.97</f>
        <v>664.97</v>
      </c>
      <c r="Q52" s="2"/>
      <c r="R52" s="19"/>
      <c r="S52" s="2"/>
      <c r="T52" s="2">
        <f>--830.85</f>
        <v>830.85</v>
      </c>
      <c r="U52" s="2"/>
      <c r="V52" s="19"/>
      <c r="W52" s="2"/>
      <c r="X52" s="2">
        <f t="shared" si="2"/>
        <v>-165.88</v>
      </c>
      <c r="Y52" s="2"/>
      <c r="Z52" s="19">
        <f t="shared" si="3"/>
        <v>-0.19965095986038392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--4949.29</f>
        <v>4949.29</v>
      </c>
      <c r="E53" s="2"/>
      <c r="F53" s="19"/>
      <c r="G53" s="2"/>
      <c r="H53" s="2">
        <f>--4706.96</f>
        <v>4706.96</v>
      </c>
      <c r="I53" s="2"/>
      <c r="J53" s="19"/>
      <c r="K53" s="2"/>
      <c r="L53" s="2">
        <f t="shared" si="0"/>
        <v>242.32999999999993</v>
      </c>
      <c r="M53" s="2"/>
      <c r="N53" s="19">
        <f t="shared" si="1"/>
        <v>5.1483335316212568E-2</v>
      </c>
      <c r="O53" s="11"/>
      <c r="P53" s="2">
        <f>--531803.38</f>
        <v>531803.38</v>
      </c>
      <c r="Q53" s="2"/>
      <c r="R53" s="19"/>
      <c r="S53" s="2"/>
      <c r="T53" s="2">
        <f>--533442.25</f>
        <v>533442.25</v>
      </c>
      <c r="U53" s="2"/>
      <c r="V53" s="19"/>
      <c r="W53" s="2"/>
      <c r="X53" s="2">
        <f t="shared" si="2"/>
        <v>-1638.8699999999953</v>
      </c>
      <c r="Y53" s="2"/>
      <c r="Z53" s="19">
        <f t="shared" si="3"/>
        <v>-3.0722538381614791E-3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--340.46</f>
        <v>340.46</v>
      </c>
      <c r="E54" s="2"/>
      <c r="F54" s="19"/>
      <c r="G54" s="2"/>
      <c r="H54" s="2">
        <f>--2277.54</f>
        <v>2277.54</v>
      </c>
      <c r="I54" s="2"/>
      <c r="J54" s="19"/>
      <c r="K54" s="2"/>
      <c r="L54" s="2">
        <f t="shared" si="0"/>
        <v>-1937.08</v>
      </c>
      <c r="M54" s="2"/>
      <c r="N54" s="19">
        <f t="shared" si="1"/>
        <v>-0.85051415123334828</v>
      </c>
      <c r="O54" s="11"/>
      <c r="P54" s="2">
        <f>--15663.46</f>
        <v>15663.46</v>
      </c>
      <c r="Q54" s="2"/>
      <c r="R54" s="19"/>
      <c r="S54" s="2"/>
      <c r="T54" s="2">
        <f>--21891.78</f>
        <v>21891.78</v>
      </c>
      <c r="U54" s="2"/>
      <c r="V54" s="19"/>
      <c r="W54" s="2"/>
      <c r="X54" s="2">
        <f t="shared" si="2"/>
        <v>-6228.32</v>
      </c>
      <c r="Y54" s="2"/>
      <c r="Z54" s="19">
        <f t="shared" si="3"/>
        <v>-0.28450496030930333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--24.24</f>
        <v>24.24</v>
      </c>
      <c r="E55" s="2"/>
      <c r="F55" s="19"/>
      <c r="G55" s="2"/>
      <c r="H55" s="2">
        <f t="shared" ref="H55:H57" si="7">0</f>
        <v>0</v>
      </c>
      <c r="I55" s="2"/>
      <c r="J55" s="19"/>
      <c r="K55" s="2"/>
      <c r="L55" s="2">
        <f t="shared" si="0"/>
        <v>24.24</v>
      </c>
      <c r="M55" s="2"/>
      <c r="N55" s="19">
        <f t="shared" si="1"/>
        <v>0</v>
      </c>
      <c r="O55" s="11"/>
      <c r="P55" s="2">
        <f>--8266.16</f>
        <v>8266.16</v>
      </c>
      <c r="Q55" s="2"/>
      <c r="R55" s="19"/>
      <c r="S55" s="2"/>
      <c r="T55" s="2">
        <f>--3773</f>
        <v>3773</v>
      </c>
      <c r="U55" s="2"/>
      <c r="V55" s="19"/>
      <c r="W55" s="2"/>
      <c r="X55" s="2">
        <f t="shared" si="2"/>
        <v>4493.16</v>
      </c>
      <c r="Y55" s="2"/>
      <c r="Z55" s="19">
        <f t="shared" si="3"/>
        <v>1.1908719851576994</v>
      </c>
    </row>
    <row r="56" spans="1:26" s="24" customFormat="1" hidden="1" outlineLevel="1" x14ac:dyDescent="0.25">
      <c r="A56" s="44"/>
      <c r="B56" s="11" t="str">
        <f>CONCATENATE("          ", "4114", " - ", "NON-TAXABLE SALES-REMAINDERS")</f>
        <v xml:space="preserve">          4114 - NON-TAXABLE SALES-REMAINDERS</v>
      </c>
      <c r="C56" s="11"/>
      <c r="D56" s="2">
        <f>--3.19</f>
        <v>3.19</v>
      </c>
      <c r="E56" s="2"/>
      <c r="F56" s="19"/>
      <c r="G56" s="2"/>
      <c r="H56" s="2">
        <f t="shared" si="7"/>
        <v>0</v>
      </c>
      <c r="I56" s="2"/>
      <c r="J56" s="19"/>
      <c r="K56" s="2"/>
      <c r="L56" s="2">
        <f t="shared" si="0"/>
        <v>3.19</v>
      </c>
      <c r="M56" s="2"/>
      <c r="N56" s="19">
        <f t="shared" si="1"/>
        <v>0</v>
      </c>
      <c r="O56" s="11"/>
      <c r="P56" s="2">
        <f>--3.19</f>
        <v>3.19</v>
      </c>
      <c r="Q56" s="2"/>
      <c r="R56" s="19"/>
      <c r="S56" s="2"/>
      <c r="T56" s="2">
        <f>0</f>
        <v>0</v>
      </c>
      <c r="U56" s="2"/>
      <c r="V56" s="19"/>
      <c r="W56" s="2"/>
      <c r="X56" s="2">
        <f t="shared" si="2"/>
        <v>3.19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--40</f>
        <v>40</v>
      </c>
      <c r="E57" s="2"/>
      <c r="F57" s="19"/>
      <c r="G57" s="2"/>
      <c r="H57" s="2">
        <f t="shared" si="7"/>
        <v>0</v>
      </c>
      <c r="I57" s="2"/>
      <c r="J57" s="19"/>
      <c r="K57" s="2"/>
      <c r="L57" s="2">
        <f t="shared" si="0"/>
        <v>40</v>
      </c>
      <c r="M57" s="2"/>
      <c r="N57" s="19">
        <f t="shared" si="1"/>
        <v>0</v>
      </c>
      <c r="O57" s="11"/>
      <c r="P57" s="2">
        <f>--115.94</f>
        <v>115.94</v>
      </c>
      <c r="Q57" s="2"/>
      <c r="R57" s="19"/>
      <c r="S57" s="2"/>
      <c r="T57" s="2">
        <f>--266.48</f>
        <v>266.48</v>
      </c>
      <c r="U57" s="2"/>
      <c r="V57" s="19"/>
      <c r="W57" s="2"/>
      <c r="X57" s="2">
        <f t="shared" si="2"/>
        <v>-150.54000000000002</v>
      </c>
      <c r="Y57" s="2"/>
      <c r="Z57" s="19">
        <f t="shared" si="3"/>
        <v>-0.56492044431101773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0</f>
        <v>0</v>
      </c>
      <c r="E58" s="2"/>
      <c r="F58" s="19"/>
      <c r="G58" s="2"/>
      <c r="H58" s="2">
        <f>--13.02</f>
        <v>13.02</v>
      </c>
      <c r="I58" s="2"/>
      <c r="J58" s="19"/>
      <c r="K58" s="2"/>
      <c r="L58" s="2">
        <f t="shared" si="0"/>
        <v>-13.02</v>
      </c>
      <c r="M58" s="2"/>
      <c r="N58" s="19">
        <f t="shared" si="1"/>
        <v>-1</v>
      </c>
      <c r="O58" s="11"/>
      <c r="P58" s="2">
        <f>--267.61</f>
        <v>267.61</v>
      </c>
      <c r="Q58" s="2"/>
      <c r="R58" s="19"/>
      <c r="S58" s="2"/>
      <c r="T58" s="2">
        <f>--318.21</f>
        <v>318.20999999999998</v>
      </c>
      <c r="U58" s="2"/>
      <c r="V58" s="19"/>
      <c r="W58" s="2"/>
      <c r="X58" s="2">
        <f t="shared" si="2"/>
        <v>-50.599999999999966</v>
      </c>
      <c r="Y58" s="2"/>
      <c r="Z58" s="19">
        <f t="shared" si="3"/>
        <v>-0.15901448728826867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--110.56</f>
        <v>110.56</v>
      </c>
      <c r="E59" s="2"/>
      <c r="F59" s="19"/>
      <c r="G59" s="2"/>
      <c r="H59" s="2">
        <f>--352.38</f>
        <v>352.38</v>
      </c>
      <c r="I59" s="2"/>
      <c r="J59" s="19"/>
      <c r="K59" s="2"/>
      <c r="L59" s="2">
        <f t="shared" si="0"/>
        <v>-241.82</v>
      </c>
      <c r="M59" s="2"/>
      <c r="N59" s="19">
        <f t="shared" si="1"/>
        <v>-0.68624780066973157</v>
      </c>
      <c r="O59" s="11"/>
      <c r="P59" s="2">
        <f>--3133.42</f>
        <v>3133.42</v>
      </c>
      <c r="Q59" s="2"/>
      <c r="R59" s="19"/>
      <c r="S59" s="2"/>
      <c r="T59" s="2">
        <f>--4011.52</f>
        <v>4011.52</v>
      </c>
      <c r="U59" s="2"/>
      <c r="V59" s="19"/>
      <c r="W59" s="2"/>
      <c r="X59" s="2">
        <f t="shared" si="2"/>
        <v>-878.09999999999991</v>
      </c>
      <c r="Y59" s="2"/>
      <c r="Z59" s="19">
        <f t="shared" si="3"/>
        <v>-0.21889458359923419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--226.84</f>
        <v>226.84</v>
      </c>
      <c r="E60" s="2"/>
      <c r="F60" s="19"/>
      <c r="G60" s="2"/>
      <c r="H60" s="2">
        <f>--213.9</f>
        <v>213.9</v>
      </c>
      <c r="I60" s="2"/>
      <c r="J60" s="19"/>
      <c r="K60" s="2"/>
      <c r="L60" s="2">
        <f t="shared" si="0"/>
        <v>12.939999999999998</v>
      </c>
      <c r="M60" s="2"/>
      <c r="N60" s="19">
        <f t="shared" si="1"/>
        <v>6.0495558672276753E-2</v>
      </c>
      <c r="O60" s="11"/>
      <c r="P60" s="2">
        <f>--6373.71</f>
        <v>6373.71</v>
      </c>
      <c r="Q60" s="2"/>
      <c r="R60" s="19"/>
      <c r="S60" s="2"/>
      <c r="T60" s="2">
        <f>--12544.26</f>
        <v>12544.26</v>
      </c>
      <c r="U60" s="2"/>
      <c r="V60" s="19"/>
      <c r="W60" s="2"/>
      <c r="X60" s="2">
        <f t="shared" si="2"/>
        <v>-6170.55</v>
      </c>
      <c r="Y60" s="2"/>
      <c r="Z60" s="19">
        <f t="shared" si="3"/>
        <v>-0.49190227243376655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>
        <f>--25.14</f>
        <v>25.14</v>
      </c>
      <c r="I61" s="2"/>
      <c r="J61" s="19"/>
      <c r="K61" s="2"/>
      <c r="L61" s="2">
        <f t="shared" si="0"/>
        <v>-25.14</v>
      </c>
      <c r="M61" s="2"/>
      <c r="N61" s="19">
        <f t="shared" si="1"/>
        <v>-1</v>
      </c>
      <c r="O61" s="11"/>
      <c r="P61" s="2">
        <f>--730.62</f>
        <v>730.62</v>
      </c>
      <c r="Q61" s="2"/>
      <c r="R61" s="19"/>
      <c r="S61" s="2"/>
      <c r="T61" s="2">
        <f>--877.96</f>
        <v>877.96</v>
      </c>
      <c r="U61" s="2"/>
      <c r="V61" s="19"/>
      <c r="W61" s="2"/>
      <c r="X61" s="2">
        <f t="shared" si="2"/>
        <v>-147.34000000000003</v>
      </c>
      <c r="Y61" s="2"/>
      <c r="Z61" s="19">
        <f t="shared" si="3"/>
        <v>-0.16782085744225253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--8.64</f>
        <v>8.64</v>
      </c>
      <c r="E62" s="2"/>
      <c r="F62" s="19"/>
      <c r="G62" s="2"/>
      <c r="H62" s="2">
        <f>--2994.45</f>
        <v>2994.45</v>
      </c>
      <c r="I62" s="2"/>
      <c r="J62" s="19"/>
      <c r="K62" s="2"/>
      <c r="L62" s="2">
        <f t="shared" si="0"/>
        <v>-2985.81</v>
      </c>
      <c r="M62" s="2"/>
      <c r="N62" s="19">
        <f t="shared" si="1"/>
        <v>-0.99711466212493116</v>
      </c>
      <c r="O62" s="11"/>
      <c r="P62" s="2">
        <f>--57896.18</f>
        <v>57896.18</v>
      </c>
      <c r="Q62" s="2"/>
      <c r="R62" s="19"/>
      <c r="S62" s="2"/>
      <c r="T62" s="2">
        <f>--74040.33</f>
        <v>74040.33</v>
      </c>
      <c r="U62" s="2"/>
      <c r="V62" s="19"/>
      <c r="W62" s="2"/>
      <c r="X62" s="2">
        <f t="shared" si="2"/>
        <v>-16144.150000000001</v>
      </c>
      <c r="Y62" s="2"/>
      <c r="Z62" s="19">
        <f t="shared" si="3"/>
        <v>-0.21804535447100251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0</f>
        <v>0</v>
      </c>
      <c r="E63" s="2"/>
      <c r="F63" s="19"/>
      <c r="G63" s="2"/>
      <c r="H63" s="2">
        <f>--67052.73</f>
        <v>67052.73</v>
      </c>
      <c r="I63" s="2"/>
      <c r="J63" s="19"/>
      <c r="K63" s="2"/>
      <c r="L63" s="2">
        <f t="shared" si="0"/>
        <v>-67052.73</v>
      </c>
      <c r="M63" s="2"/>
      <c r="N63" s="19">
        <f t="shared" si="1"/>
        <v>-1</v>
      </c>
      <c r="O63" s="11"/>
      <c r="P63" s="2">
        <f>--1109977.78</f>
        <v>1109977.78</v>
      </c>
      <c r="Q63" s="2"/>
      <c r="R63" s="19"/>
      <c r="S63" s="2"/>
      <c r="T63" s="2">
        <f>--1303589.77</f>
        <v>1303589.77</v>
      </c>
      <c r="U63" s="2"/>
      <c r="V63" s="19"/>
      <c r="W63" s="2"/>
      <c r="X63" s="2">
        <f t="shared" si="2"/>
        <v>-193611.99</v>
      </c>
      <c r="Y63" s="2"/>
      <c r="Z63" s="19">
        <f t="shared" si="3"/>
        <v>-0.14852217657399996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--48.27</f>
        <v>48.27</v>
      </c>
      <c r="E64" s="2"/>
      <c r="F64" s="19"/>
      <c r="G64" s="2"/>
      <c r="H64" s="2">
        <f>--3514.86</f>
        <v>3514.86</v>
      </c>
      <c r="I64" s="2"/>
      <c r="J64" s="19"/>
      <c r="K64" s="2"/>
      <c r="L64" s="2">
        <f t="shared" si="0"/>
        <v>-3466.59</v>
      </c>
      <c r="M64" s="2"/>
      <c r="N64" s="19">
        <f t="shared" si="1"/>
        <v>-0.9862668783393933</v>
      </c>
      <c r="O64" s="11"/>
      <c r="P64" s="2">
        <f>--18138.32</f>
        <v>18138.32</v>
      </c>
      <c r="Q64" s="2"/>
      <c r="R64" s="19"/>
      <c r="S64" s="2"/>
      <c r="T64" s="2">
        <f>--23474.32</f>
        <v>23474.32</v>
      </c>
      <c r="U64" s="2"/>
      <c r="V64" s="19"/>
      <c r="W64" s="2"/>
      <c r="X64" s="2">
        <f t="shared" si="2"/>
        <v>-5336</v>
      </c>
      <c r="Y64" s="2"/>
      <c r="Z64" s="19">
        <f t="shared" si="3"/>
        <v>-0.22731222885263555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>--23.64</f>
        <v>23.64</v>
      </c>
      <c r="E65" s="2"/>
      <c r="F65" s="19"/>
      <c r="G65" s="2"/>
      <c r="H65" s="2">
        <f>--1.89</f>
        <v>1.89</v>
      </c>
      <c r="I65" s="2"/>
      <c r="J65" s="19"/>
      <c r="K65" s="2"/>
      <c r="L65" s="2">
        <f t="shared" si="0"/>
        <v>21.75</v>
      </c>
      <c r="M65" s="2"/>
      <c r="N65" s="19">
        <f t="shared" si="1"/>
        <v>11.507936507936508</v>
      </c>
      <c r="O65" s="11"/>
      <c r="P65" s="2">
        <f>--96.73</f>
        <v>96.73</v>
      </c>
      <c r="Q65" s="2"/>
      <c r="R65" s="19"/>
      <c r="S65" s="2"/>
      <c r="T65" s="2">
        <f>--167.19</f>
        <v>167.19</v>
      </c>
      <c r="U65" s="2"/>
      <c r="V65" s="19"/>
      <c r="W65" s="2"/>
      <c r="X65" s="2">
        <f t="shared" si="2"/>
        <v>-70.459999999999994</v>
      </c>
      <c r="Y65" s="2"/>
      <c r="Z65" s="19">
        <f t="shared" si="3"/>
        <v>-0.42143668879717683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>0</f>
        <v>0</v>
      </c>
      <c r="E66" s="2"/>
      <c r="F66" s="19"/>
      <c r="G66" s="2"/>
      <c r="H66" s="2">
        <f>--13.28</f>
        <v>13.28</v>
      </c>
      <c r="I66" s="2"/>
      <c r="J66" s="19"/>
      <c r="K66" s="2"/>
      <c r="L66" s="2">
        <f t="shared" si="0"/>
        <v>-13.28</v>
      </c>
      <c r="M66" s="2"/>
      <c r="N66" s="19">
        <f t="shared" si="1"/>
        <v>-1</v>
      </c>
      <c r="O66" s="11"/>
      <c r="P66" s="2">
        <f>--161.4</f>
        <v>161.4</v>
      </c>
      <c r="Q66" s="2"/>
      <c r="R66" s="19"/>
      <c r="S66" s="2"/>
      <c r="T66" s="2">
        <f>--383.81</f>
        <v>383.81</v>
      </c>
      <c r="U66" s="2"/>
      <c r="V66" s="19"/>
      <c r="W66" s="2"/>
      <c r="X66" s="2">
        <f t="shared" si="2"/>
        <v>-222.41</v>
      </c>
      <c r="Y66" s="2"/>
      <c r="Z66" s="19">
        <f t="shared" si="3"/>
        <v>-0.57947942992626555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>--2.24</f>
        <v>2.2400000000000002</v>
      </c>
      <c r="E67" s="2"/>
      <c r="F67" s="19"/>
      <c r="G67" s="2"/>
      <c r="H67" s="2">
        <f>--561.15</f>
        <v>561.15</v>
      </c>
      <c r="I67" s="2"/>
      <c r="J67" s="19"/>
      <c r="K67" s="2"/>
      <c r="L67" s="2">
        <f t="shared" si="0"/>
        <v>-558.91</v>
      </c>
      <c r="M67" s="2"/>
      <c r="N67" s="19">
        <f t="shared" si="1"/>
        <v>-0.9960081974516618</v>
      </c>
      <c r="O67" s="11"/>
      <c r="P67" s="2">
        <f>--10094.74</f>
        <v>10094.74</v>
      </c>
      <c r="Q67" s="2"/>
      <c r="R67" s="19"/>
      <c r="S67" s="2"/>
      <c r="T67" s="2">
        <f>--12383.68</f>
        <v>12383.68</v>
      </c>
      <c r="U67" s="2"/>
      <c r="V67" s="19"/>
      <c r="W67" s="2"/>
      <c r="X67" s="2">
        <f t="shared" si="2"/>
        <v>-2288.9400000000005</v>
      </c>
      <c r="Y67" s="2"/>
      <c r="Z67" s="19">
        <f t="shared" si="3"/>
        <v>-0.18483520246001192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--56556.05</f>
        <v>56556.05</v>
      </c>
      <c r="E68" s="2"/>
      <c r="F68" s="19"/>
      <c r="G68" s="2"/>
      <c r="H68" s="2">
        <f>--8734.95</f>
        <v>8734.9500000000007</v>
      </c>
      <c r="I68" s="2"/>
      <c r="J68" s="19"/>
      <c r="K68" s="2"/>
      <c r="L68" s="2">
        <f t="shared" si="0"/>
        <v>47821.100000000006</v>
      </c>
      <c r="M68" s="2"/>
      <c r="N68" s="19">
        <f t="shared" si="1"/>
        <v>5.4746850296796206</v>
      </c>
      <c r="O68" s="11"/>
      <c r="P68" s="2">
        <f>--135480.76</f>
        <v>135480.76</v>
      </c>
      <c r="Q68" s="2"/>
      <c r="R68" s="19"/>
      <c r="S68" s="2"/>
      <c r="T68" s="2">
        <f>--55990.72</f>
        <v>55990.720000000001</v>
      </c>
      <c r="U68" s="2"/>
      <c r="V68" s="19"/>
      <c r="W68" s="2"/>
      <c r="X68" s="2">
        <f t="shared" si="2"/>
        <v>79490.040000000008</v>
      </c>
      <c r="Y68" s="2"/>
      <c r="Z68" s="19">
        <f t="shared" si="3"/>
        <v>1.4197002646152792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--4184.98</f>
        <v>4184.9799999999996</v>
      </c>
      <c r="E69" s="2"/>
      <c r="F69" s="19"/>
      <c r="G69" s="2"/>
      <c r="H69" s="2">
        <f>--460.45</f>
        <v>460.45</v>
      </c>
      <c r="I69" s="2"/>
      <c r="J69" s="19"/>
      <c r="K69" s="2"/>
      <c r="L69" s="2">
        <f t="shared" si="0"/>
        <v>3724.5299999999997</v>
      </c>
      <c r="M69" s="2"/>
      <c r="N69" s="19">
        <f t="shared" si="1"/>
        <v>8.0888913019871858</v>
      </c>
      <c r="O69" s="11"/>
      <c r="P69" s="2">
        <f>--16960.31</f>
        <v>16960.310000000001</v>
      </c>
      <c r="Q69" s="2"/>
      <c r="R69" s="19"/>
      <c r="S69" s="2"/>
      <c r="T69" s="2">
        <f>--6463.78</f>
        <v>6463.78</v>
      </c>
      <c r="U69" s="2"/>
      <c r="V69" s="19"/>
      <c r="W69" s="2"/>
      <c r="X69" s="2">
        <f t="shared" si="2"/>
        <v>10496.530000000002</v>
      </c>
      <c r="Y69" s="2"/>
      <c r="Z69" s="19">
        <f t="shared" si="3"/>
        <v>1.6238996376733124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--1204.14</f>
        <v>1204.1400000000001</v>
      </c>
      <c r="E70" s="2"/>
      <c r="F70" s="19"/>
      <c r="G70" s="2"/>
      <c r="H70" s="2">
        <f>--1539.69</f>
        <v>1539.69</v>
      </c>
      <c r="I70" s="2"/>
      <c r="J70" s="19"/>
      <c r="K70" s="2"/>
      <c r="L70" s="2">
        <f t="shared" si="0"/>
        <v>-335.54999999999995</v>
      </c>
      <c r="M70" s="2"/>
      <c r="N70" s="19">
        <f t="shared" si="1"/>
        <v>-0.21793348011612723</v>
      </c>
      <c r="O70" s="11"/>
      <c r="P70" s="2">
        <f>--15332.22</f>
        <v>15332.22</v>
      </c>
      <c r="Q70" s="2"/>
      <c r="R70" s="19"/>
      <c r="S70" s="2"/>
      <c r="T70" s="2">
        <f>--21108.88</f>
        <v>21108.880000000001</v>
      </c>
      <c r="U70" s="2"/>
      <c r="V70" s="19"/>
      <c r="W70" s="2"/>
      <c r="X70" s="2">
        <f t="shared" si="2"/>
        <v>-5776.6600000000017</v>
      </c>
      <c r="Y70" s="2"/>
      <c r="Z70" s="19">
        <f t="shared" si="3"/>
        <v>-0.27366018471846926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--19.98</f>
        <v>19.98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19.98</v>
      </c>
      <c r="M71" s="2"/>
      <c r="N71" s="19">
        <f t="shared" si="1"/>
        <v>0</v>
      </c>
      <c r="O71" s="11"/>
      <c r="P71" s="2">
        <f>--19.98</f>
        <v>19.98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19.98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--984.35</f>
        <v>984.35</v>
      </c>
      <c r="E72" s="2"/>
      <c r="F72" s="19"/>
      <c r="G72" s="2"/>
      <c r="H72" s="2">
        <f>--59.85</f>
        <v>59.85</v>
      </c>
      <c r="I72" s="2"/>
      <c r="J72" s="19"/>
      <c r="K72" s="2"/>
      <c r="L72" s="2">
        <f t="shared" si="0"/>
        <v>924.5</v>
      </c>
      <c r="M72" s="2"/>
      <c r="N72" s="19">
        <f t="shared" si="1"/>
        <v>15.446950710108604</v>
      </c>
      <c r="O72" s="11"/>
      <c r="P72" s="2">
        <f>--3324.02</f>
        <v>3324.02</v>
      </c>
      <c r="Q72" s="2"/>
      <c r="R72" s="19"/>
      <c r="S72" s="2"/>
      <c r="T72" s="2">
        <f>--639.89</f>
        <v>639.89</v>
      </c>
      <c r="U72" s="2"/>
      <c r="V72" s="19"/>
      <c r="W72" s="2"/>
      <c r="X72" s="2">
        <f t="shared" si="2"/>
        <v>2684.13</v>
      </c>
      <c r="Y72" s="2"/>
      <c r="Z72" s="19">
        <f t="shared" si="3"/>
        <v>4.1946740846082919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--7688.68</f>
        <v>7688.68</v>
      </c>
      <c r="E73" s="2"/>
      <c r="F73" s="19"/>
      <c r="G73" s="2"/>
      <c r="H73" s="2">
        <f>--431.9</f>
        <v>431.9</v>
      </c>
      <c r="I73" s="2"/>
      <c r="J73" s="19"/>
      <c r="K73" s="2"/>
      <c r="L73" s="2">
        <f t="shared" si="0"/>
        <v>7256.7800000000007</v>
      </c>
      <c r="M73" s="2"/>
      <c r="N73" s="19">
        <f t="shared" si="1"/>
        <v>16.801991201667054</v>
      </c>
      <c r="O73" s="11"/>
      <c r="P73" s="2">
        <f>--7828.68</f>
        <v>7828.68</v>
      </c>
      <c r="Q73" s="2"/>
      <c r="R73" s="19"/>
      <c r="S73" s="2"/>
      <c r="T73" s="2">
        <f>--2382.85</f>
        <v>2382.85</v>
      </c>
      <c r="U73" s="2"/>
      <c r="V73" s="19"/>
      <c r="W73" s="2"/>
      <c r="X73" s="2">
        <f t="shared" si="2"/>
        <v>5445.83</v>
      </c>
      <c r="Y73" s="2"/>
      <c r="Z73" s="19">
        <f t="shared" si="3"/>
        <v>2.2854271145896723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0</f>
        <v>0</v>
      </c>
      <c r="E74" s="2"/>
      <c r="F74" s="19"/>
      <c r="G74" s="2"/>
      <c r="H74" s="2">
        <f>--25396.3</f>
        <v>25396.3</v>
      </c>
      <c r="I74" s="2"/>
      <c r="J74" s="19"/>
      <c r="K74" s="2"/>
      <c r="L74" s="2">
        <f t="shared" si="0"/>
        <v>-25396.3</v>
      </c>
      <c r="M74" s="2"/>
      <c r="N74" s="19">
        <f t="shared" si="1"/>
        <v>-1</v>
      </c>
      <c r="O74" s="11"/>
      <c r="P74" s="2">
        <f>--205908.65</f>
        <v>205908.65</v>
      </c>
      <c r="Q74" s="2"/>
      <c r="R74" s="19"/>
      <c r="S74" s="2"/>
      <c r="T74" s="2">
        <f>--285954.84</f>
        <v>285954.84000000003</v>
      </c>
      <c r="U74" s="2"/>
      <c r="V74" s="19"/>
      <c r="W74" s="2"/>
      <c r="X74" s="2">
        <f t="shared" si="2"/>
        <v>-80046.190000000031</v>
      </c>
      <c r="Y74" s="2"/>
      <c r="Z74" s="19">
        <f t="shared" si="3"/>
        <v>-0.2799259841169327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--10</f>
        <v>10</v>
      </c>
      <c r="E75" s="2"/>
      <c r="F75" s="19"/>
      <c r="G75" s="2"/>
      <c r="H75" s="2">
        <f>--30.5</f>
        <v>30.5</v>
      </c>
      <c r="I75" s="2"/>
      <c r="J75" s="19"/>
      <c r="K75" s="2"/>
      <c r="L75" s="2">
        <f t="shared" si="0"/>
        <v>-20.5</v>
      </c>
      <c r="M75" s="2"/>
      <c r="N75" s="19">
        <f t="shared" si="1"/>
        <v>-0.67213114754098358</v>
      </c>
      <c r="O75" s="11"/>
      <c r="P75" s="2">
        <f>--3446.37</f>
        <v>3446.37</v>
      </c>
      <c r="Q75" s="2"/>
      <c r="R75" s="19"/>
      <c r="S75" s="2"/>
      <c r="T75" s="2">
        <f>--928.73</f>
        <v>928.73</v>
      </c>
      <c r="U75" s="2"/>
      <c r="V75" s="19"/>
      <c r="W75" s="2"/>
      <c r="X75" s="2">
        <f t="shared" si="2"/>
        <v>2517.64</v>
      </c>
      <c r="Y75" s="2"/>
      <c r="Z75" s="19">
        <f t="shared" si="3"/>
        <v>2.710841687034983</v>
      </c>
    </row>
    <row r="76" spans="1:26" s="24" customFormat="1" hidden="1" outlineLevel="1" x14ac:dyDescent="0.25">
      <c r="A76" s="44"/>
      <c r="B76" s="11" t="str">
        <f>CONCATENATE("          ", "4151", " - ", "NON-TAXABLE SALES-FOOD")</f>
        <v xml:space="preserve">          4151 - NON-TAXABLE SALES-FOOD</v>
      </c>
      <c r="C76" s="11"/>
      <c r="D76" s="2">
        <f t="shared" ref="D76:D78" si="8">0</f>
        <v>0</v>
      </c>
      <c r="E76" s="2"/>
      <c r="F76" s="19"/>
      <c r="G76" s="2"/>
      <c r="H76" s="2">
        <f>--97512.12</f>
        <v>97512.12</v>
      </c>
      <c r="I76" s="2"/>
      <c r="J76" s="19"/>
      <c r="K76" s="2"/>
      <c r="L76" s="2">
        <f t="shared" si="0"/>
        <v>-97512.12</v>
      </c>
      <c r="M76" s="2"/>
      <c r="N76" s="19">
        <f t="shared" si="1"/>
        <v>-1</v>
      </c>
      <c r="O76" s="11"/>
      <c r="P76" s="2">
        <f>--828068.07</f>
        <v>828068.07</v>
      </c>
      <c r="Q76" s="2"/>
      <c r="R76" s="19"/>
      <c r="S76" s="2"/>
      <c r="T76" s="2">
        <f>--1077762.1</f>
        <v>1077762.1000000001</v>
      </c>
      <c r="U76" s="2"/>
      <c r="V76" s="19"/>
      <c r="W76" s="2"/>
      <c r="X76" s="2">
        <f t="shared" si="2"/>
        <v>-249694.03000000014</v>
      </c>
      <c r="Y76" s="2"/>
      <c r="Z76" s="19">
        <f t="shared" si="3"/>
        <v>-0.23167824327836367</v>
      </c>
    </row>
    <row r="77" spans="1:26" s="24" customFormat="1" hidden="1" outlineLevel="1" x14ac:dyDescent="0.25">
      <c r="A77" s="44"/>
      <c r="B77" s="11" t="str">
        <f>CONCATENATE("          ", "4153", " - ", "NON-TAXABLE SALES-FOOD")</f>
        <v xml:space="preserve">          4153 - NON-TAXABLE SALES-FOOD</v>
      </c>
      <c r="C77" s="11"/>
      <c r="D77" s="2">
        <f t="shared" si="8"/>
        <v>0</v>
      </c>
      <c r="E77" s="2"/>
      <c r="F77" s="19"/>
      <c r="G77" s="2"/>
      <c r="H77" s="2">
        <f>--1462.17</f>
        <v>1462.17</v>
      </c>
      <c r="I77" s="2"/>
      <c r="J77" s="19"/>
      <c r="K77" s="2"/>
      <c r="L77" s="2">
        <f t="shared" si="0"/>
        <v>-1462.17</v>
      </c>
      <c r="M77" s="2"/>
      <c r="N77" s="19">
        <f t="shared" si="1"/>
        <v>-1</v>
      </c>
      <c r="O77" s="11"/>
      <c r="P77" s="2">
        <f>--12812.5</f>
        <v>12812.5</v>
      </c>
      <c r="Q77" s="2"/>
      <c r="R77" s="19"/>
      <c r="S77" s="2"/>
      <c r="T77" s="2">
        <f>--14228.42</f>
        <v>14228.42</v>
      </c>
      <c r="U77" s="2"/>
      <c r="V77" s="19"/>
      <c r="W77" s="2"/>
      <c r="X77" s="2">
        <f t="shared" si="2"/>
        <v>-1415.92</v>
      </c>
      <c r="Y77" s="2"/>
      <c r="Z77" s="19">
        <f t="shared" si="3"/>
        <v>-9.9513508878708953E-2</v>
      </c>
    </row>
    <row r="78" spans="1:26" s="24" customFormat="1" hidden="1" outlineLevel="1" x14ac:dyDescent="0.25">
      <c r="A78" s="44"/>
      <c r="B78" s="11" t="str">
        <f>CONCATENATE("          ", "4186", " - ", "NON-TAXABLE SALES-COMPUTER SUP")</f>
        <v xml:space="preserve">          4186 - NON-TAXABLE SALES-COMPUTER SUP</v>
      </c>
      <c r="C78" s="11"/>
      <c r="D78" s="2">
        <f t="shared" si="8"/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-30.97</f>
        <v>-30.97</v>
      </c>
      <c r="Q78" s="2"/>
      <c r="R78" s="19"/>
      <c r="S78" s="2"/>
      <c r="T78" s="2">
        <f>-174.68</f>
        <v>-174.68</v>
      </c>
      <c r="U78" s="2"/>
      <c r="V78" s="19"/>
      <c r="W78" s="2"/>
      <c r="X78" s="2">
        <f t="shared" si="2"/>
        <v>143.71</v>
      </c>
      <c r="Y78" s="2"/>
      <c r="Z78" s="19">
        <f t="shared" si="3"/>
        <v>-0.82270437371193039</v>
      </c>
    </row>
    <row r="79" spans="1:26" s="24" customFormat="1" hidden="1" outlineLevel="1" x14ac:dyDescent="0.25">
      <c r="A79" s="44"/>
      <c r="B79" s="11" t="str">
        <f>CONCATENATE("          ", "4192", " - ", "NON-TAXABLE SALES-GRAD MERCH")</f>
        <v xml:space="preserve">          4192 - NON-TAXABLE SALES-GRAD MERCH</v>
      </c>
      <c r="C79" s="11"/>
      <c r="D79" s="2">
        <f>--119.4</f>
        <v>119.4</v>
      </c>
      <c r="E79" s="2"/>
      <c r="F79" s="19"/>
      <c r="G79" s="2"/>
      <c r="H79" s="2">
        <f>-0.75</f>
        <v>-0.75</v>
      </c>
      <c r="I79" s="2"/>
      <c r="J79" s="19"/>
      <c r="K79" s="2"/>
      <c r="L79" s="2">
        <f t="shared" si="0"/>
        <v>120.15</v>
      </c>
      <c r="M79" s="2"/>
      <c r="N79" s="19">
        <f t="shared" si="1"/>
        <v>-160.20000000000002</v>
      </c>
      <c r="O79" s="11"/>
      <c r="P79" s="2">
        <f>--119.4</f>
        <v>119.4</v>
      </c>
      <c r="Q79" s="2"/>
      <c r="R79" s="19"/>
      <c r="S79" s="2"/>
      <c r="T79" s="2">
        <f>--531.25</f>
        <v>531.25</v>
      </c>
      <c r="U79" s="2"/>
      <c r="V79" s="19"/>
      <c r="W79" s="2"/>
      <c r="X79" s="2">
        <f t="shared" si="2"/>
        <v>-411.85</v>
      </c>
      <c r="Y79" s="2"/>
      <c r="Z79" s="19">
        <f t="shared" si="3"/>
        <v>-0.7752470588235294</v>
      </c>
    </row>
    <row r="80" spans="1:26" s="24" customFormat="1" hidden="1" outlineLevel="1" x14ac:dyDescent="0.25">
      <c r="A80" s="44"/>
      <c r="B80" s="11" t="str">
        <f>CONCATENATE("          ", "4201", " - ", "SALES RETURN TAXABLE-NEW TEXT")</f>
        <v xml:space="preserve">          4201 - SALES RETURN TAXABLE-NEW TEXT</v>
      </c>
      <c r="C80" s="11"/>
      <c r="D80" s="2">
        <f>-228.6</f>
        <v>-228.6</v>
      </c>
      <c r="E80" s="2"/>
      <c r="F80" s="19"/>
      <c r="G80" s="2"/>
      <c r="H80" s="2">
        <f>-3052.25</f>
        <v>-3052.25</v>
      </c>
      <c r="I80" s="2"/>
      <c r="J80" s="19"/>
      <c r="K80" s="2"/>
      <c r="L80" s="2">
        <f t="shared" si="0"/>
        <v>2823.65</v>
      </c>
      <c r="M80" s="2"/>
      <c r="N80" s="19">
        <f t="shared" si="1"/>
        <v>-0.92510443115734298</v>
      </c>
      <c r="O80" s="11"/>
      <c r="P80" s="2">
        <f>-121451.61</f>
        <v>-121451.61</v>
      </c>
      <c r="Q80" s="2"/>
      <c r="R80" s="19"/>
      <c r="S80" s="2"/>
      <c r="T80" s="2">
        <f>-178747.85</f>
        <v>-178747.85</v>
      </c>
      <c r="U80" s="2"/>
      <c r="V80" s="19"/>
      <c r="W80" s="2"/>
      <c r="X80" s="2">
        <f t="shared" si="2"/>
        <v>57296.240000000005</v>
      </c>
      <c r="Y80" s="2"/>
      <c r="Z80" s="19">
        <f t="shared" si="3"/>
        <v>-0.32054226106775552</v>
      </c>
    </row>
    <row r="81" spans="1:26" s="24" customFormat="1" hidden="1" outlineLevel="1" x14ac:dyDescent="0.25">
      <c r="A81" s="44"/>
      <c r="B81" s="11" t="str">
        <f>CONCATENATE("          ", "4202", " - ", "SALES RETURN TAXABLE-USED TEXT")</f>
        <v xml:space="preserve">          4202 - SALES RETURN TAXABLE-USED TEXT</v>
      </c>
      <c r="C81" s="11"/>
      <c r="D81" s="2">
        <f>-60.4</f>
        <v>-60.4</v>
      </c>
      <c r="E81" s="2"/>
      <c r="F81" s="19"/>
      <c r="G81" s="2"/>
      <c r="H81" s="2">
        <f>-1655.5</f>
        <v>-1655.5</v>
      </c>
      <c r="I81" s="2"/>
      <c r="J81" s="19"/>
      <c r="K81" s="2"/>
      <c r="L81" s="2">
        <f t="shared" si="0"/>
        <v>1595.1</v>
      </c>
      <c r="M81" s="2"/>
      <c r="N81" s="19">
        <f t="shared" si="1"/>
        <v>-0.96351555421322854</v>
      </c>
      <c r="O81" s="11"/>
      <c r="P81" s="2">
        <f>-45613.11</f>
        <v>-45613.11</v>
      </c>
      <c r="Q81" s="2"/>
      <c r="R81" s="19"/>
      <c r="S81" s="2"/>
      <c r="T81" s="2">
        <f>-47295.45</f>
        <v>-47295.45</v>
      </c>
      <c r="U81" s="2"/>
      <c r="V81" s="19"/>
      <c r="W81" s="2"/>
      <c r="X81" s="2">
        <f t="shared" si="2"/>
        <v>1682.3399999999965</v>
      </c>
      <c r="Y81" s="2"/>
      <c r="Z81" s="19">
        <f t="shared" si="3"/>
        <v>-3.5570863582014688E-2</v>
      </c>
    </row>
    <row r="82" spans="1:26" s="24" customFormat="1" hidden="1" outlineLevel="1" x14ac:dyDescent="0.25">
      <c r="A82" s="44"/>
      <c r="B82" s="11" t="str">
        <f>CONCATENATE("          ", "4203", " - ", "SALES RETURN TAXABLE-RENTAL TE")</f>
        <v xml:space="preserve">          4203 - SALES RETURN TAXABLE-RENTAL TE</v>
      </c>
      <c r="C82" s="11"/>
      <c r="D82" s="2">
        <f t="shared" ref="D82:D87" si="9"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-144.99</f>
        <v>-144.99</v>
      </c>
      <c r="Q82" s="2"/>
      <c r="R82" s="19"/>
      <c r="S82" s="2"/>
      <c r="T82" s="2">
        <f>-1699.5</f>
        <v>-1699.5</v>
      </c>
      <c r="U82" s="2"/>
      <c r="V82" s="19"/>
      <c r="W82" s="2"/>
      <c r="X82" s="2">
        <f t="shared" si="2"/>
        <v>1554.51</v>
      </c>
      <c r="Y82" s="2"/>
      <c r="Z82" s="19">
        <f t="shared" si="3"/>
        <v>-0.9146866725507502</v>
      </c>
    </row>
    <row r="83" spans="1:26" s="24" customFormat="1" hidden="1" outlineLevel="1" x14ac:dyDescent="0.25">
      <c r="A83" s="44"/>
      <c r="B83" s="11" t="str">
        <f>CONCATENATE("          ", "4204", " - ", "SALES RETURN TAXABLE-DIGITAL T")</f>
        <v xml:space="preserve">          4204 - SALES RETURN TAXABLE-DIGITAL T</v>
      </c>
      <c r="C83" s="11"/>
      <c r="D83" s="2">
        <f t="shared" si="9"/>
        <v>0</v>
      </c>
      <c r="E83" s="2"/>
      <c r="F83" s="19"/>
      <c r="G83" s="2"/>
      <c r="H83" s="2">
        <f>-43.25</f>
        <v>-43.25</v>
      </c>
      <c r="I83" s="2"/>
      <c r="J83" s="19"/>
      <c r="K83" s="2"/>
      <c r="L83" s="2">
        <f t="shared" si="0"/>
        <v>43.25</v>
      </c>
      <c r="M83" s="2"/>
      <c r="N83" s="19">
        <f t="shared" si="1"/>
        <v>-1</v>
      </c>
      <c r="O83" s="11"/>
      <c r="P83" s="2">
        <f>-17255.33</f>
        <v>-17255.330000000002</v>
      </c>
      <c r="Q83" s="2"/>
      <c r="R83" s="19"/>
      <c r="S83" s="2"/>
      <c r="T83" s="2">
        <f>-27102.9</f>
        <v>-27102.9</v>
      </c>
      <c r="U83" s="2"/>
      <c r="V83" s="19"/>
      <c r="W83" s="2"/>
      <c r="X83" s="2">
        <f t="shared" si="2"/>
        <v>9847.57</v>
      </c>
      <c r="Y83" s="2"/>
      <c r="Z83" s="19">
        <f t="shared" si="3"/>
        <v>-0.36334008537831741</v>
      </c>
    </row>
    <row r="84" spans="1:26" s="24" customFormat="1" hidden="1" outlineLevel="1" x14ac:dyDescent="0.25">
      <c r="A84" s="44"/>
      <c r="B84" s="11" t="str">
        <f>CONCATENATE("          ", "4213", " - ", "NON-TAXABLE SALES-TRADE BOOKS")</f>
        <v xml:space="preserve">          4213 - NON-TAXABLE SALES-TRADE BOOKS</v>
      </c>
      <c r="C84" s="11"/>
      <c r="D84" s="2">
        <f t="shared" si="9"/>
        <v>0</v>
      </c>
      <c r="E84" s="2"/>
      <c r="F84" s="19"/>
      <c r="G84" s="2"/>
      <c r="H84" s="2">
        <f t="shared" ref="H84:H85" si="10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-2768.67</f>
        <v>-2768.67</v>
      </c>
      <c r="Q84" s="2"/>
      <c r="R84" s="19"/>
      <c r="S84" s="2"/>
      <c r="T84" s="2">
        <f>-1548.35</f>
        <v>-1548.35</v>
      </c>
      <c r="U84" s="2"/>
      <c r="V84" s="19"/>
      <c r="W84" s="2"/>
      <c r="X84" s="2">
        <f t="shared" si="2"/>
        <v>-1220.3200000000002</v>
      </c>
      <c r="Y84" s="2"/>
      <c r="Z84" s="19">
        <f t="shared" si="3"/>
        <v>0.7881422159072563</v>
      </c>
    </row>
    <row r="85" spans="1:26" s="24" customFormat="1" hidden="1" outlineLevel="1" x14ac:dyDescent="0.25">
      <c r="A85" s="44"/>
      <c r="B85" s="11" t="str">
        <f>CONCATENATE("          ", "4214", " - ", "SALES RETURN TAXABLE-REMAINDER")</f>
        <v xml:space="preserve">          4214 - SALES RETURN TAXABLE-REMAINDER</v>
      </c>
      <c r="C85" s="11"/>
      <c r="D85" s="2">
        <f t="shared" si="9"/>
        <v>0</v>
      </c>
      <c r="E85" s="2"/>
      <c r="F85" s="19"/>
      <c r="G85" s="2"/>
      <c r="H85" s="2">
        <f t="shared" si="10"/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-11.94</f>
        <v>-11.94</v>
      </c>
      <c r="Q85" s="2"/>
      <c r="R85" s="19"/>
      <c r="S85" s="2"/>
      <c r="T85" s="2">
        <f>-19.84</f>
        <v>-19.84</v>
      </c>
      <c r="U85" s="2"/>
      <c r="V85" s="19"/>
      <c r="W85" s="2"/>
      <c r="X85" s="2">
        <f t="shared" si="2"/>
        <v>7.9</v>
      </c>
      <c r="Y85" s="2"/>
      <c r="Z85" s="19">
        <f t="shared" si="3"/>
        <v>-0.39818548387096775</v>
      </c>
    </row>
    <row r="86" spans="1:26" s="24" customFormat="1" hidden="1" outlineLevel="1" x14ac:dyDescent="0.2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 t="shared" si="9"/>
        <v>0</v>
      </c>
      <c r="E86" s="2"/>
      <c r="F86" s="19"/>
      <c r="G86" s="2"/>
      <c r="H86" s="2">
        <f>-1.49</f>
        <v>-1.49</v>
      </c>
      <c r="I86" s="2"/>
      <c r="J86" s="19"/>
      <c r="K86" s="2"/>
      <c r="L86" s="2">
        <f t="shared" si="0"/>
        <v>1.49</v>
      </c>
      <c r="M86" s="2"/>
      <c r="N86" s="19">
        <f t="shared" si="1"/>
        <v>-1</v>
      </c>
      <c r="O86" s="11"/>
      <c r="P86" s="2">
        <f>-2.98</f>
        <v>-2.98</v>
      </c>
      <c r="Q86" s="2"/>
      <c r="R86" s="19"/>
      <c r="S86" s="2"/>
      <c r="T86" s="2">
        <f>-2.99</f>
        <v>-2.99</v>
      </c>
      <c r="U86" s="2"/>
      <c r="V86" s="19"/>
      <c r="W86" s="2"/>
      <c r="X86" s="2">
        <f t="shared" si="2"/>
        <v>1.0000000000000231E-2</v>
      </c>
      <c r="Y86" s="2"/>
      <c r="Z86" s="19">
        <f t="shared" si="3"/>
        <v>-3.3444816053512477E-3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 t="shared" si="9"/>
        <v>0</v>
      </c>
      <c r="E87" s="2"/>
      <c r="F87" s="19"/>
      <c r="G87" s="2"/>
      <c r="H87" s="2">
        <f t="shared" ref="H87:H88" si="11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-39.25</f>
        <v>-39.25</v>
      </c>
      <c r="Q87" s="2"/>
      <c r="R87" s="19"/>
      <c r="S87" s="2"/>
      <c r="T87" s="2">
        <f>-67.6</f>
        <v>-67.599999999999994</v>
      </c>
      <c r="U87" s="2"/>
      <c r="V87" s="19"/>
      <c r="W87" s="2"/>
      <c r="X87" s="2">
        <f t="shared" si="2"/>
        <v>28.349999999999994</v>
      </c>
      <c r="Y87" s="2"/>
      <c r="Z87" s="19">
        <f t="shared" si="3"/>
        <v>-0.41937869822485202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>-29.5</f>
        <v>-29.5</v>
      </c>
      <c r="E88" s="2"/>
      <c r="F88" s="19"/>
      <c r="G88" s="2"/>
      <c r="H88" s="2">
        <f t="shared" si="11"/>
        <v>0</v>
      </c>
      <c r="I88" s="2"/>
      <c r="J88" s="19"/>
      <c r="K88" s="2"/>
      <c r="L88" s="2">
        <f t="shared" si="0"/>
        <v>-29.5</v>
      </c>
      <c r="M88" s="2"/>
      <c r="N88" s="19">
        <f t="shared" si="1"/>
        <v>0</v>
      </c>
      <c r="O88" s="11"/>
      <c r="P88" s="2">
        <f>-205.91</f>
        <v>-205.91</v>
      </c>
      <c r="Q88" s="2"/>
      <c r="R88" s="19"/>
      <c r="S88" s="2"/>
      <c r="T88" s="2">
        <f>-187.82</f>
        <v>-187.82</v>
      </c>
      <c r="U88" s="2"/>
      <c r="V88" s="19"/>
      <c r="W88" s="2"/>
      <c r="X88" s="2">
        <f t="shared" si="2"/>
        <v>-18.090000000000003</v>
      </c>
      <c r="Y88" s="2"/>
      <c r="Z88" s="19">
        <f t="shared" si="3"/>
        <v>9.6315621339580465E-2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-159.4</f>
        <v>-159.4</v>
      </c>
      <c r="E89" s="2"/>
      <c r="F89" s="19"/>
      <c r="G89" s="2"/>
      <c r="H89" s="2">
        <f>-51.46</f>
        <v>-51.46</v>
      </c>
      <c r="I89" s="2"/>
      <c r="J89" s="19"/>
      <c r="K89" s="2"/>
      <c r="L89" s="2">
        <f t="shared" si="0"/>
        <v>-107.94</v>
      </c>
      <c r="M89" s="2"/>
      <c r="N89" s="19">
        <f t="shared" si="1"/>
        <v>2.0975514963078119</v>
      </c>
      <c r="O89" s="11"/>
      <c r="P89" s="2">
        <f>-924.44</f>
        <v>-924.44</v>
      </c>
      <c r="Q89" s="2"/>
      <c r="R89" s="19"/>
      <c r="S89" s="2"/>
      <c r="T89" s="2">
        <f>-721.91</f>
        <v>-721.91</v>
      </c>
      <c r="U89" s="2"/>
      <c r="V89" s="19"/>
      <c r="W89" s="2"/>
      <c r="X89" s="2">
        <f t="shared" si="2"/>
        <v>-202.53000000000009</v>
      </c>
      <c r="Y89" s="2"/>
      <c r="Z89" s="19">
        <f t="shared" si="3"/>
        <v>0.28054743666107979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-53.42</f>
        <v>-53.42</v>
      </c>
      <c r="E90" s="2"/>
      <c r="F90" s="19"/>
      <c r="G90" s="2"/>
      <c r="H90" s="2">
        <f>-315.64</f>
        <v>-315.64</v>
      </c>
      <c r="I90" s="2"/>
      <c r="J90" s="19"/>
      <c r="K90" s="2"/>
      <c r="L90" s="2">
        <f t="shared" si="0"/>
        <v>262.21999999999997</v>
      </c>
      <c r="M90" s="2"/>
      <c r="N90" s="19">
        <f t="shared" si="1"/>
        <v>-0.83075655810416926</v>
      </c>
      <c r="O90" s="11"/>
      <c r="P90" s="2">
        <f>-8647.03</f>
        <v>-8647.0300000000007</v>
      </c>
      <c r="Q90" s="2"/>
      <c r="R90" s="19"/>
      <c r="S90" s="2"/>
      <c r="T90" s="2">
        <f>-6807.47</f>
        <v>-6807.47</v>
      </c>
      <c r="U90" s="2"/>
      <c r="V90" s="19"/>
      <c r="W90" s="2"/>
      <c r="X90" s="2">
        <f t="shared" si="2"/>
        <v>-1839.5600000000004</v>
      </c>
      <c r="Y90" s="2"/>
      <c r="Z90" s="19">
        <f t="shared" si="3"/>
        <v>0.27022667745873286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 t="shared" ref="D91:D93" si="12">0</f>
        <v>0</v>
      </c>
      <c r="E91" s="2"/>
      <c r="F91" s="19"/>
      <c r="G91" s="2"/>
      <c r="H91" s="2">
        <f>-267.27</f>
        <v>-267.27</v>
      </c>
      <c r="I91" s="2"/>
      <c r="J91" s="19"/>
      <c r="K91" s="2"/>
      <c r="L91" s="2">
        <f t="shared" si="0"/>
        <v>267.27</v>
      </c>
      <c r="M91" s="2"/>
      <c r="N91" s="19">
        <f t="shared" si="1"/>
        <v>-1</v>
      </c>
      <c r="O91" s="11"/>
      <c r="P91" s="2">
        <f>-4739.1</f>
        <v>-4739.1000000000004</v>
      </c>
      <c r="Q91" s="2"/>
      <c r="R91" s="19"/>
      <c r="S91" s="2"/>
      <c r="T91" s="2">
        <f>-8325.28</f>
        <v>-8325.2800000000007</v>
      </c>
      <c r="U91" s="2"/>
      <c r="V91" s="19"/>
      <c r="W91" s="2"/>
      <c r="X91" s="2">
        <f t="shared" si="2"/>
        <v>3586.1800000000003</v>
      </c>
      <c r="Y91" s="2"/>
      <c r="Z91" s="19">
        <f t="shared" si="3"/>
        <v>-0.43075788441950302</v>
      </c>
    </row>
    <row r="92" spans="1:26" s="24" customFormat="1" hidden="1" outlineLevel="1" x14ac:dyDescent="0.25">
      <c r="A92" s="44"/>
      <c r="B92" s="11" t="str">
        <f>CONCATENATE("          ", "4233", " - ", "SALES RETURN TAXABLE-CANDY")</f>
        <v xml:space="preserve">          4233 - SALES RETURN TAXABLE-CANDY</v>
      </c>
      <c r="C92" s="11"/>
      <c r="D92" s="2">
        <f t="shared" si="12"/>
        <v>0</v>
      </c>
      <c r="E92" s="2"/>
      <c r="F92" s="19"/>
      <c r="G92" s="2"/>
      <c r="H92" s="2">
        <f t="shared" ref="H92:H93" si="13"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-8.25</f>
        <v>-8.25</v>
      </c>
      <c r="Q92" s="2"/>
      <c r="R92" s="19"/>
      <c r="S92" s="2"/>
      <c r="T92" s="2">
        <f>-5.27</f>
        <v>-5.27</v>
      </c>
      <c r="U92" s="2"/>
      <c r="V92" s="19"/>
      <c r="W92" s="2"/>
      <c r="X92" s="2">
        <f t="shared" si="2"/>
        <v>-2.9800000000000004</v>
      </c>
      <c r="Y92" s="2"/>
      <c r="Z92" s="19">
        <f t="shared" si="3"/>
        <v>0.5654648956356737</v>
      </c>
    </row>
    <row r="93" spans="1:26" s="24" customFormat="1" hidden="1" outlineLevel="1" x14ac:dyDescent="0.25">
      <c r="A93" s="44"/>
      <c r="B93" s="11" t="str">
        <f>CONCATENATE("          ", "4234", " - ", "SALES RETURN TAXABLE-SODA")</f>
        <v xml:space="preserve">          4234 - SALES RETURN TAXABLE-SODA</v>
      </c>
      <c r="C93" s="11"/>
      <c r="D93" s="2">
        <f t="shared" si="12"/>
        <v>0</v>
      </c>
      <c r="E93" s="2"/>
      <c r="F93" s="19"/>
      <c r="G93" s="2"/>
      <c r="H93" s="2">
        <f t="shared" si="13"/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0</f>
        <v>0</v>
      </c>
      <c r="Q93" s="2"/>
      <c r="R93" s="19"/>
      <c r="S93" s="2"/>
      <c r="T93" s="2">
        <f>-5.28</f>
        <v>-5.28</v>
      </c>
      <c r="U93" s="2"/>
      <c r="V93" s="19"/>
      <c r="W93" s="2"/>
      <c r="X93" s="2">
        <f t="shared" si="2"/>
        <v>5.28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-3229.58</f>
        <v>-3229.58</v>
      </c>
      <c r="E94" s="2"/>
      <c r="F94" s="19"/>
      <c r="G94" s="2"/>
      <c r="H94" s="2">
        <f>-9632.91</f>
        <v>-9632.91</v>
      </c>
      <c r="I94" s="2"/>
      <c r="J94" s="19"/>
      <c r="K94" s="2"/>
      <c r="L94" s="2">
        <f t="shared" si="0"/>
        <v>6403.33</v>
      </c>
      <c r="M94" s="2"/>
      <c r="N94" s="19">
        <f t="shared" si="1"/>
        <v>-0.66473474785916198</v>
      </c>
      <c r="O94" s="11"/>
      <c r="P94" s="2">
        <f>-77684.77</f>
        <v>-77684.77</v>
      </c>
      <c r="Q94" s="2"/>
      <c r="R94" s="19"/>
      <c r="S94" s="2"/>
      <c r="T94" s="2">
        <f>-93504.03</f>
        <v>-93504.03</v>
      </c>
      <c r="U94" s="2"/>
      <c r="V94" s="19"/>
      <c r="W94" s="2"/>
      <c r="X94" s="2">
        <f t="shared" si="2"/>
        <v>15819.259999999995</v>
      </c>
      <c r="Y94" s="2"/>
      <c r="Z94" s="19">
        <f t="shared" si="3"/>
        <v>-0.16918265448024</v>
      </c>
    </row>
    <row r="95" spans="1:26" s="24" customFormat="1" hidden="1" outlineLevel="1" x14ac:dyDescent="0.2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-1133.39</f>
        <v>-1133.3900000000001</v>
      </c>
      <c r="E95" s="2"/>
      <c r="F95" s="19"/>
      <c r="G95" s="2"/>
      <c r="H95" s="2">
        <f>-4520.99</f>
        <v>-4520.99</v>
      </c>
      <c r="I95" s="2"/>
      <c r="J95" s="19"/>
      <c r="K95" s="2"/>
      <c r="L95" s="2">
        <f t="shared" si="0"/>
        <v>3387.5999999999995</v>
      </c>
      <c r="M95" s="2"/>
      <c r="N95" s="19">
        <f t="shared" si="1"/>
        <v>-0.74930490888057699</v>
      </c>
      <c r="O95" s="11"/>
      <c r="P95" s="2">
        <f>-7465.27</f>
        <v>-7465.27</v>
      </c>
      <c r="Q95" s="2"/>
      <c r="R95" s="19"/>
      <c r="S95" s="2"/>
      <c r="T95" s="2">
        <f>-15308.04</f>
        <v>-15308.04</v>
      </c>
      <c r="U95" s="2"/>
      <c r="V95" s="19"/>
      <c r="W95" s="2"/>
      <c r="X95" s="2">
        <f t="shared" si="2"/>
        <v>7842.77</v>
      </c>
      <c r="Y95" s="2"/>
      <c r="Z95" s="19">
        <f t="shared" si="3"/>
        <v>-0.51233012194898886</v>
      </c>
    </row>
    <row r="96" spans="1:26" s="24" customFormat="1" hidden="1" outlineLevel="1" x14ac:dyDescent="0.2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 t="shared" ref="D96:D97" si="14">0</f>
        <v>0</v>
      </c>
      <c r="E96" s="2"/>
      <c r="F96" s="19"/>
      <c r="G96" s="2"/>
      <c r="H96" s="2">
        <f>-769.19</f>
        <v>-769.19</v>
      </c>
      <c r="I96" s="2"/>
      <c r="J96" s="19"/>
      <c r="K96" s="2"/>
      <c r="L96" s="2">
        <f t="shared" si="0"/>
        <v>769.19</v>
      </c>
      <c r="M96" s="2"/>
      <c r="N96" s="19">
        <f t="shared" si="1"/>
        <v>-1</v>
      </c>
      <c r="O96" s="11"/>
      <c r="P96" s="2">
        <f>-4181.41</f>
        <v>-4181.41</v>
      </c>
      <c r="Q96" s="2"/>
      <c r="R96" s="19"/>
      <c r="S96" s="2"/>
      <c r="T96" s="2">
        <f>-5008.37</f>
        <v>-5008.37</v>
      </c>
      <c r="U96" s="2"/>
      <c r="V96" s="19"/>
      <c r="W96" s="2"/>
      <c r="X96" s="2">
        <f t="shared" si="2"/>
        <v>826.96</v>
      </c>
      <c r="Y96" s="2"/>
      <c r="Z96" s="19">
        <f t="shared" si="3"/>
        <v>-0.16511559649147328</v>
      </c>
    </row>
    <row r="97" spans="1:26" s="24" customFormat="1" hidden="1" outlineLevel="1" x14ac:dyDescent="0.2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 t="shared" si="14"/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-3006.31</f>
        <v>-3006.31</v>
      </c>
      <c r="Q97" s="2"/>
      <c r="R97" s="19"/>
      <c r="S97" s="2"/>
      <c r="T97" s="2">
        <f>-25.94</f>
        <v>-25.94</v>
      </c>
      <c r="U97" s="2"/>
      <c r="V97" s="19"/>
      <c r="W97" s="2"/>
      <c r="X97" s="2">
        <f t="shared" si="2"/>
        <v>-2980.37</v>
      </c>
      <c r="Y97" s="2"/>
      <c r="Z97" s="19">
        <f t="shared" si="3"/>
        <v>114.89475713184271</v>
      </c>
    </row>
    <row r="98" spans="1:26" s="24" customFormat="1" hidden="1" outlineLevel="1" x14ac:dyDescent="0.2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-255.71</f>
        <v>-255.71</v>
      </c>
      <c r="E98" s="2"/>
      <c r="F98" s="19"/>
      <c r="G98" s="2"/>
      <c r="H98" s="2">
        <f>-146.8</f>
        <v>-146.80000000000001</v>
      </c>
      <c r="I98" s="2"/>
      <c r="J98" s="19"/>
      <c r="K98" s="2"/>
      <c r="L98" s="2">
        <f t="shared" si="0"/>
        <v>-108.91</v>
      </c>
      <c r="M98" s="2"/>
      <c r="N98" s="19">
        <f t="shared" si="1"/>
        <v>0.74189373297002714</v>
      </c>
      <c r="O98" s="11"/>
      <c r="P98" s="2">
        <f>-2726.41</f>
        <v>-2726.41</v>
      </c>
      <c r="Q98" s="2"/>
      <c r="R98" s="19"/>
      <c r="S98" s="2"/>
      <c r="T98" s="2">
        <f>-3976.02</f>
        <v>-3976.02</v>
      </c>
      <c r="U98" s="2"/>
      <c r="V98" s="19"/>
      <c r="W98" s="2"/>
      <c r="X98" s="2">
        <f t="shared" si="2"/>
        <v>1249.6100000000001</v>
      </c>
      <c r="Y98" s="2"/>
      <c r="Z98" s="19">
        <f t="shared" si="3"/>
        <v>-0.31428664845750276</v>
      </c>
    </row>
    <row r="99" spans="1:26" s="24" customFormat="1" hidden="1" outlineLevel="1" x14ac:dyDescent="0.2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-175</f>
        <v>-175</v>
      </c>
      <c r="E99" s="2"/>
      <c r="F99" s="19"/>
      <c r="G99" s="2"/>
      <c r="H99" s="2">
        <f>-1158.8</f>
        <v>-1158.8</v>
      </c>
      <c r="I99" s="2"/>
      <c r="J99" s="19"/>
      <c r="K99" s="2"/>
      <c r="L99" s="2">
        <f t="shared" si="0"/>
        <v>983.8</v>
      </c>
      <c r="M99" s="2"/>
      <c r="N99" s="19">
        <f t="shared" si="1"/>
        <v>-0.84898170521228855</v>
      </c>
      <c r="O99" s="11"/>
      <c r="P99" s="2">
        <f>-1910.03</f>
        <v>-1910.03</v>
      </c>
      <c r="Q99" s="2"/>
      <c r="R99" s="19"/>
      <c r="S99" s="2"/>
      <c r="T99" s="2">
        <f>-1910.72</f>
        <v>-1910.72</v>
      </c>
      <c r="U99" s="2"/>
      <c r="V99" s="19"/>
      <c r="W99" s="2"/>
      <c r="X99" s="2">
        <f t="shared" si="2"/>
        <v>0.69000000000005457</v>
      </c>
      <c r="Y99" s="2"/>
      <c r="Z99" s="19">
        <f t="shared" si="3"/>
        <v>-3.6112041534084249E-4</v>
      </c>
    </row>
    <row r="100" spans="1:26" s="24" customFormat="1" hidden="1" outlineLevel="1" x14ac:dyDescent="0.2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0</f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-54.97</f>
        <v>-54.97</v>
      </c>
      <c r="Q100" s="2"/>
      <c r="R100" s="19"/>
      <c r="S100" s="2"/>
      <c r="T100" s="2">
        <f>-64.95</f>
        <v>-64.95</v>
      </c>
      <c r="U100" s="2"/>
      <c r="V100" s="19"/>
      <c r="W100" s="2"/>
      <c r="X100" s="2">
        <f t="shared" si="2"/>
        <v>9.980000000000004</v>
      </c>
      <c r="Y100" s="2"/>
      <c r="Z100" s="19">
        <f t="shared" si="3"/>
        <v>-0.1536566589684373</v>
      </c>
    </row>
    <row r="101" spans="1:26" s="24" customFormat="1" hidden="1" outlineLevel="1" x14ac:dyDescent="0.25">
      <c r="A101" s="44"/>
      <c r="B101" s="11" t="str">
        <f>CONCATENATE("          ", "4292", " - ", "SALES RETURN TAXABLE-GRAD MERC")</f>
        <v xml:space="preserve">          4292 - SALES RETURN TAXABLE-GRAD MERC</v>
      </c>
      <c r="C101" s="11"/>
      <c r="D101" s="2">
        <f>-64.89</f>
        <v>-64.89</v>
      </c>
      <c r="E101" s="2"/>
      <c r="F101" s="19"/>
      <c r="G101" s="2"/>
      <c r="H101" s="2">
        <f>-4549.35</f>
        <v>-4549.3500000000004</v>
      </c>
      <c r="I101" s="2"/>
      <c r="J101" s="19"/>
      <c r="K101" s="2"/>
      <c r="L101" s="2">
        <f t="shared" si="0"/>
        <v>4484.46</v>
      </c>
      <c r="M101" s="2"/>
      <c r="N101" s="19">
        <f t="shared" si="1"/>
        <v>-0.98573642388473071</v>
      </c>
      <c r="O101" s="11"/>
      <c r="P101" s="2">
        <f>-578.84</f>
        <v>-578.84</v>
      </c>
      <c r="Q101" s="2"/>
      <c r="R101" s="19"/>
      <c r="S101" s="2"/>
      <c r="T101" s="2">
        <f>-8512.31</f>
        <v>-8512.31</v>
      </c>
      <c r="U101" s="2"/>
      <c r="V101" s="19"/>
      <c r="W101" s="2"/>
      <c r="X101" s="2">
        <f t="shared" si="2"/>
        <v>7933.4699999999993</v>
      </c>
      <c r="Y101" s="2"/>
      <c r="Z101" s="19">
        <f t="shared" si="3"/>
        <v>-0.93199965696738019</v>
      </c>
    </row>
    <row r="102" spans="1:26" s="24" customFormat="1" hidden="1" outlineLevel="1" x14ac:dyDescent="0.25">
      <c r="A102" s="44"/>
      <c r="B102" s="11" t="str">
        <f>CONCATENATE("          ", "4295", " - ", "SALES RETURN TAXABLE-CUSTOMER")</f>
        <v xml:space="preserve">          4295 - SALES RETURN TAXABLE-CUSTOMER</v>
      </c>
      <c r="C102" s="11"/>
      <c r="D102" s="2">
        <f>0</f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--0.99</f>
        <v>0.99</v>
      </c>
      <c r="Q102" s="2"/>
      <c r="R102" s="19"/>
      <c r="S102" s="2"/>
      <c r="T102" s="2">
        <f>-126.72</f>
        <v>-126.72</v>
      </c>
      <c r="U102" s="2"/>
      <c r="V102" s="19"/>
      <c r="W102" s="2"/>
      <c r="X102" s="2">
        <f t="shared" si="2"/>
        <v>127.71</v>
      </c>
      <c r="Y102" s="2"/>
      <c r="Z102" s="19">
        <f t="shared" si="3"/>
        <v>-1.0078125</v>
      </c>
    </row>
    <row r="103" spans="1:26" s="24" customFormat="1" hidden="1" outlineLevel="1" x14ac:dyDescent="0.25">
      <c r="A103" s="44"/>
      <c r="B103" s="11" t="str">
        <f>CONCATENATE("          ", "4301", " - ", "SALES RETURN NON TAXABLE-NEW T")</f>
        <v xml:space="preserve">          4301 - SALES RETURN NON TAXABLE-NEW T</v>
      </c>
      <c r="C103" s="11"/>
      <c r="D103" s="2">
        <f>-5710.44</f>
        <v>-5710.44</v>
      </c>
      <c r="E103" s="2"/>
      <c r="F103" s="19"/>
      <c r="G103" s="2"/>
      <c r="H103" s="2">
        <f>-1917.11</f>
        <v>-1917.11</v>
      </c>
      <c r="I103" s="2"/>
      <c r="J103" s="19"/>
      <c r="K103" s="2"/>
      <c r="L103" s="2">
        <f t="shared" si="0"/>
        <v>-3793.33</v>
      </c>
      <c r="M103" s="2"/>
      <c r="N103" s="19">
        <f t="shared" si="1"/>
        <v>1.9786710204422282</v>
      </c>
      <c r="O103" s="11"/>
      <c r="P103" s="2">
        <f>-21289.87</f>
        <v>-21289.87</v>
      </c>
      <c r="Q103" s="2"/>
      <c r="R103" s="19"/>
      <c r="S103" s="2"/>
      <c r="T103" s="2">
        <f>-51488.2</f>
        <v>-51488.2</v>
      </c>
      <c r="U103" s="2"/>
      <c r="V103" s="19"/>
      <c r="W103" s="2"/>
      <c r="X103" s="2">
        <f t="shared" si="2"/>
        <v>30198.329999999998</v>
      </c>
      <c r="Y103" s="2"/>
      <c r="Z103" s="19">
        <f t="shared" si="3"/>
        <v>-0.58650972455824835</v>
      </c>
    </row>
    <row r="104" spans="1:26" s="24" customFormat="1" hidden="1" outlineLevel="1" x14ac:dyDescent="0.25">
      <c r="A104" s="44"/>
      <c r="B104" s="11" t="str">
        <f>CONCATENATE("          ", "4302", " - ", "SALES RETURN NON TAXABLE-TEXT")</f>
        <v xml:space="preserve">          4302 - SALES RETURN NON TAXABLE-TEXT</v>
      </c>
      <c r="C104" s="11"/>
      <c r="D104" s="2">
        <f>-67.5</f>
        <v>-67.5</v>
      </c>
      <c r="E104" s="2"/>
      <c r="F104" s="19"/>
      <c r="G104" s="2"/>
      <c r="H104" s="2">
        <f>-1539.55</f>
        <v>-1539.55</v>
      </c>
      <c r="I104" s="2"/>
      <c r="J104" s="19"/>
      <c r="K104" s="2"/>
      <c r="L104" s="2">
        <f t="shared" si="0"/>
        <v>1472.05</v>
      </c>
      <c r="M104" s="2"/>
      <c r="N104" s="19">
        <f t="shared" si="1"/>
        <v>-0.95615601961612162</v>
      </c>
      <c r="O104" s="11"/>
      <c r="P104" s="2">
        <f>-1379.87</f>
        <v>-1379.87</v>
      </c>
      <c r="Q104" s="2"/>
      <c r="R104" s="19"/>
      <c r="S104" s="2"/>
      <c r="T104" s="2">
        <f>-6328.25</f>
        <v>-6328.25</v>
      </c>
      <c r="U104" s="2"/>
      <c r="V104" s="19"/>
      <c r="W104" s="2"/>
      <c r="X104" s="2">
        <f t="shared" si="2"/>
        <v>4948.38</v>
      </c>
      <c r="Y104" s="2"/>
      <c r="Z104" s="19">
        <f t="shared" si="3"/>
        <v>-0.78195077628096232</v>
      </c>
    </row>
    <row r="105" spans="1:26" s="24" customFormat="1" hidden="1" outlineLevel="1" x14ac:dyDescent="0.25">
      <c r="A105" s="44"/>
      <c r="B105" s="11" t="str">
        <f>CONCATENATE("          ", "4303", " - ", "SALES RETURN NON-TAXABLE-RENTA")</f>
        <v xml:space="preserve">          4303 - SALES RETURN NON-TAXABLE-RENTA</v>
      </c>
      <c r="C105" s="11"/>
      <c r="D105" s="2">
        <f>0</f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-184.99</f>
        <v>-184.99</v>
      </c>
      <c r="Q105" s="2"/>
      <c r="R105" s="19"/>
      <c r="S105" s="2"/>
      <c r="T105" s="2">
        <f>-509.85</f>
        <v>-509.85</v>
      </c>
      <c r="U105" s="2"/>
      <c r="V105" s="19"/>
      <c r="W105" s="2"/>
      <c r="X105" s="2">
        <f t="shared" si="2"/>
        <v>324.86</v>
      </c>
      <c r="Y105" s="2"/>
      <c r="Z105" s="19">
        <f t="shared" si="3"/>
        <v>-0.63716779444934779</v>
      </c>
    </row>
    <row r="106" spans="1:26" s="24" customFormat="1" hidden="1" outlineLevel="1" x14ac:dyDescent="0.25">
      <c r="A106" s="44"/>
      <c r="B106" s="11" t="str">
        <f>CONCATENATE("          ", "4304", " - ", "SALES RETURN NON TAXABLE-DIGIT")</f>
        <v xml:space="preserve">          4304 - SALES RETURN NON TAXABLE-DIGIT</v>
      </c>
      <c r="C106" s="11"/>
      <c r="D106" s="2">
        <f>-438.2</f>
        <v>-438.2</v>
      </c>
      <c r="E106" s="2"/>
      <c r="F106" s="19"/>
      <c r="G106" s="2"/>
      <c r="H106" s="2">
        <f>-379.96</f>
        <v>-379.96</v>
      </c>
      <c r="I106" s="2"/>
      <c r="J106" s="19"/>
      <c r="K106" s="2"/>
      <c r="L106" s="2">
        <f t="shared" si="0"/>
        <v>-58.240000000000009</v>
      </c>
      <c r="M106" s="2"/>
      <c r="N106" s="19">
        <f t="shared" si="1"/>
        <v>0.15327929255711131</v>
      </c>
      <c r="O106" s="11"/>
      <c r="P106" s="2">
        <f>-19474.33</f>
        <v>-19474.330000000002</v>
      </c>
      <c r="Q106" s="2"/>
      <c r="R106" s="19"/>
      <c r="S106" s="2"/>
      <c r="T106" s="2">
        <f>-6047.96</f>
        <v>-6047.96</v>
      </c>
      <c r="U106" s="2"/>
      <c r="V106" s="19"/>
      <c r="W106" s="2"/>
      <c r="X106" s="2">
        <f t="shared" si="2"/>
        <v>-13426.370000000003</v>
      </c>
      <c r="Y106" s="2"/>
      <c r="Z106" s="19">
        <f t="shared" si="3"/>
        <v>2.2199832670851003</v>
      </c>
    </row>
    <row r="107" spans="1:26" s="24" customFormat="1" hidden="1" outlineLevel="1" x14ac:dyDescent="0.25">
      <c r="A107" s="44"/>
      <c r="B107" s="11" t="str">
        <f>CONCATENATE("          ", "4311", " - ", "SALES RETURN NON TAXABLE-NO VA")</f>
        <v xml:space="preserve">          4311 - SALES RETURN NON TAXABLE-NO VA</v>
      </c>
      <c r="C107" s="11"/>
      <c r="D107" s="2">
        <f t="shared" ref="D107:D113" si="15">0</f>
        <v>0</v>
      </c>
      <c r="E107" s="2"/>
      <c r="F107" s="19"/>
      <c r="G107" s="2"/>
      <c r="H107" s="2">
        <f>-361.71</f>
        <v>-361.71</v>
      </c>
      <c r="I107" s="2"/>
      <c r="J107" s="19"/>
      <c r="K107" s="2"/>
      <c r="L107" s="2">
        <f t="shared" si="0"/>
        <v>361.71</v>
      </c>
      <c r="M107" s="2"/>
      <c r="N107" s="19">
        <f t="shared" si="1"/>
        <v>-1</v>
      </c>
      <c r="O107" s="11"/>
      <c r="P107" s="2">
        <f>-941.28</f>
        <v>-941.28</v>
      </c>
      <c r="Q107" s="2"/>
      <c r="R107" s="19"/>
      <c r="S107" s="2"/>
      <c r="T107" s="2">
        <f>-2110.54</f>
        <v>-2110.54</v>
      </c>
      <c r="U107" s="2"/>
      <c r="V107" s="19"/>
      <c r="W107" s="2"/>
      <c r="X107" s="2">
        <f t="shared" si="2"/>
        <v>1169.26</v>
      </c>
      <c r="Y107" s="2"/>
      <c r="Z107" s="19">
        <f t="shared" si="3"/>
        <v>-0.55400987425019188</v>
      </c>
    </row>
    <row r="108" spans="1:26" s="24" customFormat="1" hidden="1" outlineLevel="1" x14ac:dyDescent="0.25">
      <c r="A108" s="44"/>
      <c r="B108" s="11" t="str">
        <f>CONCATENATE("          ", "4313", " - ", "SALES RETURN NON TAXABLE-TRADE")</f>
        <v xml:space="preserve">          4313 - SALES RETURN NON TAXABLE-TRADE</v>
      </c>
      <c r="C108" s="11"/>
      <c r="D108" s="2">
        <f t="shared" si="15"/>
        <v>0</v>
      </c>
      <c r="E108" s="2"/>
      <c r="F108" s="19"/>
      <c r="G108" s="2"/>
      <c r="H108" s="2">
        <f t="shared" ref="H108:H109" si="16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-2481.44</f>
        <v>-2481.44</v>
      </c>
      <c r="Q108" s="2"/>
      <c r="R108" s="19"/>
      <c r="S108" s="2"/>
      <c r="T108" s="2">
        <f>0</f>
        <v>0</v>
      </c>
      <c r="U108" s="2"/>
      <c r="V108" s="19"/>
      <c r="W108" s="2"/>
      <c r="X108" s="2">
        <f t="shared" si="2"/>
        <v>-2481.44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"4318", " - ", "SALES RETURN NON TAXABLE-STUDY")</f>
        <v xml:space="preserve">          4318 - SALES RETURN NON TAXABLE-STUDY</v>
      </c>
      <c r="C109" s="11"/>
      <c r="D109" s="2">
        <f t="shared" si="15"/>
        <v>0</v>
      </c>
      <c r="E109" s="2"/>
      <c r="F109" s="19"/>
      <c r="G109" s="2"/>
      <c r="H109" s="2">
        <f t="shared" si="16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 t="shared" ref="P109:P110" si="17">0</f>
        <v>0</v>
      </c>
      <c r="Q109" s="2"/>
      <c r="R109" s="19"/>
      <c r="S109" s="2"/>
      <c r="T109" s="2">
        <f>-5.04</f>
        <v>-5.04</v>
      </c>
      <c r="U109" s="2"/>
      <c r="V109" s="19"/>
      <c r="W109" s="2"/>
      <c r="X109" s="2">
        <f t="shared" si="2"/>
        <v>5.04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"4326", " - ", "SALES RETURN NON TAXABLE-WRITI")</f>
        <v xml:space="preserve">          4326 - SALES RETURN NON TAXABLE-WRITI</v>
      </c>
      <c r="C110" s="11"/>
      <c r="D110" s="2">
        <f t="shared" si="15"/>
        <v>0</v>
      </c>
      <c r="E110" s="2"/>
      <c r="F110" s="19"/>
      <c r="G110" s="2"/>
      <c r="H110" s="2">
        <f>-9.68</f>
        <v>-9.68</v>
      </c>
      <c r="I110" s="2"/>
      <c r="J110" s="19"/>
      <c r="K110" s="2"/>
      <c r="L110" s="2">
        <f t="shared" si="0"/>
        <v>9.68</v>
      </c>
      <c r="M110" s="2"/>
      <c r="N110" s="19">
        <f t="shared" si="1"/>
        <v>-1</v>
      </c>
      <c r="O110" s="11"/>
      <c r="P110" s="2">
        <f t="shared" si="17"/>
        <v>0</v>
      </c>
      <c r="Q110" s="2"/>
      <c r="R110" s="19"/>
      <c r="S110" s="2"/>
      <c r="T110" s="2">
        <f>-28.23</f>
        <v>-28.23</v>
      </c>
      <c r="U110" s="2"/>
      <c r="V110" s="19"/>
      <c r="W110" s="2"/>
      <c r="X110" s="2">
        <f t="shared" si="2"/>
        <v>28.23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"4327", " - ", "SALES RETURN NON TAXABLE-SCHOO")</f>
        <v xml:space="preserve">          4327 - SALES RETURN NON TAXABLE-SCHOO</v>
      </c>
      <c r="C111" s="11"/>
      <c r="D111" s="2">
        <f t="shared" si="15"/>
        <v>0</v>
      </c>
      <c r="E111" s="2"/>
      <c r="F111" s="19"/>
      <c r="G111" s="2"/>
      <c r="H111" s="2">
        <f t="shared" ref="H111:H113" si="18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-21.87</f>
        <v>-21.87</v>
      </c>
      <c r="Q111" s="2"/>
      <c r="R111" s="19"/>
      <c r="S111" s="2"/>
      <c r="T111" s="2">
        <f>-4.99</f>
        <v>-4.99</v>
      </c>
      <c r="U111" s="2"/>
      <c r="V111" s="19"/>
      <c r="W111" s="2"/>
      <c r="X111" s="2">
        <f t="shared" si="2"/>
        <v>-16.880000000000003</v>
      </c>
      <c r="Y111" s="2"/>
      <c r="Z111" s="19">
        <f t="shared" si="3"/>
        <v>3.3827655310621245</v>
      </c>
    </row>
    <row r="112" spans="1:26" s="24" customFormat="1" hidden="1" outlineLevel="1" x14ac:dyDescent="0.25">
      <c r="A112" s="44"/>
      <c r="B112" s="11" t="str">
        <f>CONCATENATE("          ", "4331", " - ", "SALES RETURN NON TAXABLE-FOOD")</f>
        <v xml:space="preserve">          4331 - SALES RETURN NON TAXABLE-FOOD</v>
      </c>
      <c r="C112" s="11"/>
      <c r="D112" s="2">
        <f t="shared" si="15"/>
        <v>0</v>
      </c>
      <c r="E112" s="2"/>
      <c r="F112" s="19"/>
      <c r="G112" s="2"/>
      <c r="H112" s="2">
        <f t="shared" si="18"/>
        <v>0</v>
      </c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-12.57</f>
        <v>-12.57</v>
      </c>
      <c r="Q112" s="2"/>
      <c r="R112" s="19"/>
      <c r="S112" s="2"/>
      <c r="T112" s="2">
        <f t="shared" ref="T112:T113" si="19">0</f>
        <v>0</v>
      </c>
      <c r="U112" s="2"/>
      <c r="V112" s="19"/>
      <c r="W112" s="2"/>
      <c r="X112" s="2">
        <f t="shared" si="2"/>
        <v>-12.57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"4332", " - ", "SALES RETURN NON TAXABLE-JUICE")</f>
        <v xml:space="preserve">          4332 - SALES RETURN NON TAXABLE-JUICE</v>
      </c>
      <c r="C113" s="11"/>
      <c r="D113" s="2">
        <f t="shared" si="15"/>
        <v>0</v>
      </c>
      <c r="E113" s="2"/>
      <c r="F113" s="19"/>
      <c r="G113" s="2"/>
      <c r="H113" s="2">
        <f t="shared" si="18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-2.79</f>
        <v>-2.79</v>
      </c>
      <c r="Q113" s="2"/>
      <c r="R113" s="19"/>
      <c r="S113" s="2"/>
      <c r="T113" s="2">
        <f t="shared" si="19"/>
        <v>0</v>
      </c>
      <c r="U113" s="2"/>
      <c r="V113" s="19"/>
      <c r="W113" s="2"/>
      <c r="X113" s="2">
        <f t="shared" si="2"/>
        <v>-2.79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"4340", " - ", "SALES RETURN NON TAXABLE-LOGO")</f>
        <v xml:space="preserve">          4340 - SALES RETURN NON TAXABLE-LOGO</v>
      </c>
      <c r="C114" s="11"/>
      <c r="D114" s="2">
        <f>-598.43</f>
        <v>-598.42999999999995</v>
      </c>
      <c r="E114" s="2"/>
      <c r="F114" s="19"/>
      <c r="G114" s="2"/>
      <c r="H114" s="2">
        <f>-96.85</f>
        <v>-96.85</v>
      </c>
      <c r="I114" s="2"/>
      <c r="J114" s="19"/>
      <c r="K114" s="2"/>
      <c r="L114" s="2">
        <f t="shared" si="0"/>
        <v>-501.57999999999993</v>
      </c>
      <c r="M114" s="2"/>
      <c r="N114" s="19">
        <f t="shared" si="1"/>
        <v>5.1789364997418685</v>
      </c>
      <c r="O114" s="11"/>
      <c r="P114" s="2">
        <f>-1618.83</f>
        <v>-1618.83</v>
      </c>
      <c r="Q114" s="2"/>
      <c r="R114" s="19"/>
      <c r="S114" s="2"/>
      <c r="T114" s="2">
        <f>-1035.87</f>
        <v>-1035.8699999999999</v>
      </c>
      <c r="U114" s="2"/>
      <c r="V114" s="19"/>
      <c r="W114" s="2"/>
      <c r="X114" s="2">
        <f t="shared" si="2"/>
        <v>-582.96</v>
      </c>
      <c r="Y114" s="2"/>
      <c r="Z114" s="19">
        <f t="shared" si="3"/>
        <v>0.56277332097657051</v>
      </c>
    </row>
    <row r="115" spans="1:26" s="24" customFormat="1" hidden="1" outlineLevel="1" x14ac:dyDescent="0.25">
      <c r="A115" s="44"/>
      <c r="B115" s="11" t="str">
        <f>CONCATENATE("          ", "4341", " - ", "SALES RETURN NON TAXABLE-LOGO")</f>
        <v xml:space="preserve">          4341 - SALES RETURN NON TAXABLE-LOGO</v>
      </c>
      <c r="C115" s="11"/>
      <c r="D115" s="2">
        <f>-39.95</f>
        <v>-39.950000000000003</v>
      </c>
      <c r="E115" s="2"/>
      <c r="F115" s="19"/>
      <c r="G115" s="2"/>
      <c r="H115" s="2">
        <f>-34.9</f>
        <v>-34.9</v>
      </c>
      <c r="I115" s="2"/>
      <c r="J115" s="19"/>
      <c r="K115" s="2"/>
      <c r="L115" s="2">
        <f t="shared" si="0"/>
        <v>-5.0500000000000043</v>
      </c>
      <c r="M115" s="2"/>
      <c r="N115" s="19">
        <f t="shared" si="1"/>
        <v>0.14469914040114626</v>
      </c>
      <c r="O115" s="11"/>
      <c r="P115" s="2">
        <f>-285.45</f>
        <v>-285.45</v>
      </c>
      <c r="Q115" s="2"/>
      <c r="R115" s="19"/>
      <c r="S115" s="2"/>
      <c r="T115" s="2">
        <f>-292.85</f>
        <v>-292.85000000000002</v>
      </c>
      <c r="U115" s="2"/>
      <c r="V115" s="19"/>
      <c r="W115" s="2"/>
      <c r="X115" s="2">
        <f t="shared" si="2"/>
        <v>7.4000000000000341</v>
      </c>
      <c r="Y115" s="2"/>
      <c r="Z115" s="19">
        <f t="shared" si="3"/>
        <v>-2.5268908997780549E-2</v>
      </c>
    </row>
    <row r="116" spans="1:26" s="24" customFormat="1" hidden="1" outlineLevel="1" x14ac:dyDescent="0.25">
      <c r="A116" s="44"/>
      <c r="B116" s="11" t="str">
        <f>CONCATENATE("          ", "4342", " - ", "SALES RETURN NON TAXABLE-EVERY")</f>
        <v xml:space="preserve">          4342 - SALES RETURN NON TAXABLE-EVERY</v>
      </c>
      <c r="C116" s="11"/>
      <c r="D116" s="2">
        <f t="shared" ref="D116:D118" si="20">0</f>
        <v>0</v>
      </c>
      <c r="E116" s="2"/>
      <c r="F116" s="19"/>
      <c r="G116" s="2"/>
      <c r="H116" s="2">
        <f t="shared" ref="H116:H118" si="21">0</f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-149.22</f>
        <v>-149.22</v>
      </c>
      <c r="Q116" s="2"/>
      <c r="R116" s="19"/>
      <c r="S116" s="2"/>
      <c r="T116" s="2">
        <f>-103.6</f>
        <v>-103.6</v>
      </c>
      <c r="U116" s="2"/>
      <c r="V116" s="19"/>
      <c r="W116" s="2"/>
      <c r="X116" s="2">
        <f t="shared" si="2"/>
        <v>-45.620000000000005</v>
      </c>
      <c r="Y116" s="2"/>
      <c r="Z116" s="19">
        <f t="shared" si="3"/>
        <v>0.44034749034749043</v>
      </c>
    </row>
    <row r="117" spans="1:26" s="24" customFormat="1" hidden="1" outlineLevel="1" x14ac:dyDescent="0.25">
      <c r="A117" s="44"/>
      <c r="B117" s="11" t="str">
        <f>CONCATENATE("          ", "4346", " - ", "SALES RETURN NON TAXABLE-COIN-")</f>
        <v xml:space="preserve">          4346 - SALES RETURN NON TAXABLE-COIN-</v>
      </c>
      <c r="C117" s="11"/>
      <c r="D117" s="2">
        <f t="shared" si="20"/>
        <v>0</v>
      </c>
      <c r="E117" s="2"/>
      <c r="F117" s="19"/>
      <c r="G117" s="2"/>
      <c r="H117" s="2">
        <f t="shared" si="21"/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-8.15</f>
        <v>-8.15</v>
      </c>
      <c r="Q117" s="2"/>
      <c r="R117" s="19"/>
      <c r="S117" s="2"/>
      <c r="T117" s="2">
        <f t="shared" ref="T117:T118" si="22">0</f>
        <v>0</v>
      </c>
      <c r="U117" s="2"/>
      <c r="V117" s="19"/>
      <c r="W117" s="2"/>
      <c r="X117" s="2">
        <f t="shared" si="2"/>
        <v>-8.15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"4347", " - ", "SALES RETURN NON TAXABLE-MISC")</f>
        <v xml:space="preserve">          4347 - SALES RETURN NON TAXABLE-MISC</v>
      </c>
      <c r="C118" s="11"/>
      <c r="D118" s="2">
        <f t="shared" si="20"/>
        <v>0</v>
      </c>
      <c r="E118" s="2"/>
      <c r="F118" s="19"/>
      <c r="G118" s="2"/>
      <c r="H118" s="2">
        <f t="shared" si="21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-84</f>
        <v>-84</v>
      </c>
      <c r="Q118" s="2"/>
      <c r="R118" s="19"/>
      <c r="S118" s="2"/>
      <c r="T118" s="2">
        <f t="shared" si="22"/>
        <v>0</v>
      </c>
      <c r="U118" s="2"/>
      <c r="V118" s="19"/>
      <c r="W118" s="2"/>
      <c r="X118" s="2">
        <f t="shared" si="2"/>
        <v>-84</v>
      </c>
      <c r="Y118" s="2"/>
      <c r="Z118" s="19">
        <f t="shared" si="3"/>
        <v>0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collapsed="1" x14ac:dyDescent="0.25">
      <c r="A120" s="10"/>
      <c r="B120" s="28" t="s">
        <v>8</v>
      </c>
      <c r="C120" s="10"/>
      <c r="D120" s="4">
        <f>SUM(OSRRefD16x_0)</f>
        <v>153071.25000000003</v>
      </c>
      <c r="E120" s="4"/>
      <c r="F120" s="12">
        <f t="shared" ref="F120:F173" si="23">IF(D$12=0,0,D120/D$12)</f>
        <v>0.58056614047735033</v>
      </c>
      <c r="G120" s="4"/>
      <c r="H120" s="4">
        <f>SUM(OSRRefH16x_0)</f>
        <v>473166.21000000008</v>
      </c>
      <c r="I120" s="4"/>
      <c r="J120" s="12">
        <f t="shared" ref="J120:J173" si="24">IF(H$12=0,0,H120/H$12)</f>
        <v>0.47444295021230992</v>
      </c>
      <c r="K120" s="4"/>
      <c r="L120" s="4">
        <f t="shared" ref="L120:L173" si="25">+D120-H120</f>
        <v>-320094.96000000008</v>
      </c>
      <c r="M120" s="4"/>
      <c r="N120" s="12">
        <f t="shared" ref="N120:N173" si="26">IF(H120=0,0,L120/H120)</f>
        <v>-0.67649581317313434</v>
      </c>
      <c r="O120" s="10"/>
      <c r="P120" s="4">
        <f>SUM(OSRRefP16x_0)</f>
        <v>6479512.3800000008</v>
      </c>
      <c r="Q120" s="4"/>
      <c r="R120" s="12">
        <f t="shared" ref="R120:R173" si="27">IF(P$12=0,0,P120/P$12)</f>
        <v>0.56880917385059826</v>
      </c>
      <c r="S120" s="4"/>
      <c r="T120" s="4">
        <f>SUM(OSRRefT16x_0)</f>
        <v>7871465.7000000002</v>
      </c>
      <c r="U120" s="4"/>
      <c r="V120" s="12">
        <f t="shared" ref="V120:V173" si="28">IF(T$12=0,0,T120/T$12)</f>
        <v>0.55397762637647574</v>
      </c>
      <c r="W120" s="4"/>
      <c r="X120" s="4">
        <f t="shared" ref="X120:X173" si="29">+P120-T120</f>
        <v>-1391953.3199999994</v>
      </c>
      <c r="Y120" s="4"/>
      <c r="Z120" s="12">
        <f t="shared" ref="Z120:Z173" si="30">IF(T120=0,0,X120/T120)</f>
        <v>-0.17683534084382777</v>
      </c>
    </row>
    <row r="121" spans="1:26" s="24" customFormat="1" hidden="1" outlineLevel="1" x14ac:dyDescent="0.25">
      <c r="A121" s="44"/>
      <c r="B121" s="11" t="str">
        <f>CONCATENATE("          ", "5000", " - ", "PURCHASES @ COST")</f>
        <v xml:space="preserve">          5000 - PURCHASES @ COST</v>
      </c>
      <c r="C121" s="11"/>
      <c r="D121" s="2"/>
      <c r="E121" s="2"/>
      <c r="F121" s="19">
        <f t="shared" si="23"/>
        <v>0</v>
      </c>
      <c r="G121" s="2"/>
      <c r="H121" s="2"/>
      <c r="I121" s="2"/>
      <c r="J121" s="19">
        <f t="shared" si="24"/>
        <v>0</v>
      </c>
      <c r="K121" s="2"/>
      <c r="L121" s="2">
        <f t="shared" si="25"/>
        <v>0</v>
      </c>
      <c r="M121" s="2"/>
      <c r="N121" s="19">
        <f t="shared" si="26"/>
        <v>0</v>
      </c>
      <c r="O121" s="11"/>
      <c r="P121" s="2"/>
      <c r="Q121" s="2"/>
      <c r="R121" s="19">
        <f t="shared" si="27"/>
        <v>0</v>
      </c>
      <c r="S121" s="2"/>
      <c r="T121" s="2">
        <v>1020</v>
      </c>
      <c r="U121" s="2"/>
      <c r="V121" s="19">
        <f t="shared" si="28"/>
        <v>7.1785509896080116E-5</v>
      </c>
      <c r="W121" s="2"/>
      <c r="X121" s="2">
        <f t="shared" si="29"/>
        <v>-1020</v>
      </c>
      <c r="Y121" s="2"/>
      <c r="Z121" s="19">
        <f t="shared" si="30"/>
        <v>-1</v>
      </c>
    </row>
    <row r="122" spans="1:26" s="24" customFormat="1" hidden="1" outlineLevel="1" x14ac:dyDescent="0.25">
      <c r="A122" s="44"/>
      <c r="B122" s="11" t="str">
        <f>CONCATENATE("          ", "5001", " - ", "PURCHASES @ COST-NEW TEXT")</f>
        <v xml:space="preserve">          5001 - PURCHASES @ COST-NEW TEXT</v>
      </c>
      <c r="C122" s="11"/>
      <c r="D122" s="2">
        <v>71528.210000000006</v>
      </c>
      <c r="E122" s="2"/>
      <c r="F122" s="19">
        <f t="shared" si="23"/>
        <v>0.2712910282953423</v>
      </c>
      <c r="G122" s="2"/>
      <c r="H122" s="2">
        <v>70445.34</v>
      </c>
      <c r="I122" s="2"/>
      <c r="J122" s="19">
        <f t="shared" si="24"/>
        <v>7.0635422039771689E-2</v>
      </c>
      <c r="K122" s="2"/>
      <c r="L122" s="2">
        <f t="shared" si="25"/>
        <v>1082.8700000000099</v>
      </c>
      <c r="M122" s="2"/>
      <c r="N122" s="19">
        <f t="shared" si="26"/>
        <v>1.5371776188460584E-2</v>
      </c>
      <c r="O122" s="11"/>
      <c r="P122" s="2">
        <v>1641280.46</v>
      </c>
      <c r="Q122" s="2"/>
      <c r="R122" s="19">
        <f t="shared" si="27"/>
        <v>0.14408111718273001</v>
      </c>
      <c r="S122" s="2"/>
      <c r="T122" s="2">
        <v>2396173.7599999998</v>
      </c>
      <c r="U122" s="2"/>
      <c r="V122" s="19">
        <f t="shared" si="28"/>
        <v>0.1686377991776544</v>
      </c>
      <c r="W122" s="2"/>
      <c r="X122" s="2">
        <f t="shared" si="29"/>
        <v>-754893.29999999981</v>
      </c>
      <c r="Y122" s="2"/>
      <c r="Z122" s="19">
        <f t="shared" si="30"/>
        <v>-0.3150411345794889</v>
      </c>
    </row>
    <row r="123" spans="1:26" s="24" customFormat="1" hidden="1" outlineLevel="1" x14ac:dyDescent="0.25">
      <c r="A123" s="44"/>
      <c r="B123" s="11" t="str">
        <f>CONCATENATE("          ", "5002", " - ", "PURCHASES @ COST-USED TEXT")</f>
        <v xml:space="preserve">          5002 - PURCHASES @ COST-USED TEXT</v>
      </c>
      <c r="C123" s="11"/>
      <c r="D123" s="2">
        <v>14738.6</v>
      </c>
      <c r="E123" s="2"/>
      <c r="F123" s="19">
        <f t="shared" si="23"/>
        <v>5.5900321700119875E-2</v>
      </c>
      <c r="G123" s="2"/>
      <c r="H123" s="2">
        <v>25018.82</v>
      </c>
      <c r="I123" s="2"/>
      <c r="J123" s="19">
        <f t="shared" si="24"/>
        <v>2.5086328061403079E-2</v>
      </c>
      <c r="K123" s="2"/>
      <c r="L123" s="2">
        <f t="shared" si="25"/>
        <v>-10280.219999999999</v>
      </c>
      <c r="M123" s="2"/>
      <c r="N123" s="19">
        <f t="shared" si="26"/>
        <v>-0.41089947487531386</v>
      </c>
      <c r="O123" s="11"/>
      <c r="P123" s="2">
        <v>610321.38</v>
      </c>
      <c r="Q123" s="2"/>
      <c r="R123" s="19">
        <f t="shared" si="27"/>
        <v>5.3577550220091877E-2</v>
      </c>
      <c r="S123" s="2"/>
      <c r="T123" s="2">
        <v>433062.37</v>
      </c>
      <c r="U123" s="2"/>
      <c r="V123" s="19">
        <f t="shared" si="28"/>
        <v>3.0478042203191086E-2</v>
      </c>
      <c r="W123" s="2"/>
      <c r="X123" s="2">
        <f t="shared" si="29"/>
        <v>177259.01</v>
      </c>
      <c r="Y123" s="2"/>
      <c r="Z123" s="19">
        <f t="shared" si="30"/>
        <v>0.40931519863986338</v>
      </c>
    </row>
    <row r="124" spans="1:26" s="24" customFormat="1" hidden="1" outlineLevel="1" x14ac:dyDescent="0.25">
      <c r="A124" s="44"/>
      <c r="B124" s="11" t="str">
        <f>CONCATENATE("          ", "5003", " - ", "PURCHASES @ COST-RENTAL TEXT")</f>
        <v xml:space="preserve">          5003 - PURCHASES @ COST-RENTAL TEXT</v>
      </c>
      <c r="C124" s="11"/>
      <c r="D124" s="2"/>
      <c r="E124" s="2"/>
      <c r="F124" s="19">
        <f t="shared" si="23"/>
        <v>0</v>
      </c>
      <c r="G124" s="2"/>
      <c r="H124" s="2"/>
      <c r="I124" s="2"/>
      <c r="J124" s="19">
        <f t="shared" si="24"/>
        <v>0</v>
      </c>
      <c r="K124" s="2"/>
      <c r="L124" s="2">
        <f t="shared" si="25"/>
        <v>0</v>
      </c>
      <c r="M124" s="2"/>
      <c r="N124" s="19">
        <f t="shared" si="26"/>
        <v>0</v>
      </c>
      <c r="O124" s="11"/>
      <c r="P124" s="2">
        <v>-78.400000000000006</v>
      </c>
      <c r="Q124" s="2"/>
      <c r="R124" s="19">
        <f t="shared" si="27"/>
        <v>-6.8824066711462789E-6</v>
      </c>
      <c r="S124" s="2"/>
      <c r="T124" s="2">
        <v>15629.58</v>
      </c>
      <c r="U124" s="2"/>
      <c r="V124" s="19">
        <f t="shared" si="28"/>
        <v>1.099977813491741E-3</v>
      </c>
      <c r="W124" s="2"/>
      <c r="X124" s="2">
        <f t="shared" si="29"/>
        <v>-15707.98</v>
      </c>
      <c r="Y124" s="2"/>
      <c r="Z124" s="19">
        <f t="shared" si="30"/>
        <v>-1.0050161296720705</v>
      </c>
    </row>
    <row r="125" spans="1:26" s="24" customFormat="1" hidden="1" outlineLevel="1" x14ac:dyDescent="0.25">
      <c r="A125" s="44"/>
      <c r="B125" s="11" t="str">
        <f>CONCATENATE("          ", "5004", " - ", "PURCHASES @ COST-DIGITAL TEXT")</f>
        <v xml:space="preserve">          5004 - PURCHASES @ COST-DIGITAL TEXT</v>
      </c>
      <c r="C125" s="11"/>
      <c r="D125" s="2">
        <v>-46518.259999999995</v>
      </c>
      <c r="E125" s="2"/>
      <c r="F125" s="19">
        <f t="shared" si="23"/>
        <v>-0.17643369783628146</v>
      </c>
      <c r="G125" s="2"/>
      <c r="H125" s="2">
        <v>17888.12</v>
      </c>
      <c r="I125" s="2"/>
      <c r="J125" s="19">
        <f t="shared" si="24"/>
        <v>1.7936387356467874E-2</v>
      </c>
      <c r="K125" s="2"/>
      <c r="L125" s="2">
        <f t="shared" si="25"/>
        <v>-64406.37999999999</v>
      </c>
      <c r="M125" s="2"/>
      <c r="N125" s="19">
        <f t="shared" si="26"/>
        <v>-3.6005114008626951</v>
      </c>
      <c r="O125" s="11"/>
      <c r="P125" s="2">
        <v>446269.65</v>
      </c>
      <c r="Q125" s="2"/>
      <c r="R125" s="19">
        <f t="shared" si="27"/>
        <v>3.9176137962884119E-2</v>
      </c>
      <c r="S125" s="2"/>
      <c r="T125" s="2">
        <v>501578.98</v>
      </c>
      <c r="U125" s="2"/>
      <c r="V125" s="19">
        <f t="shared" si="28"/>
        <v>3.5300100816133106E-2</v>
      </c>
      <c r="W125" s="2"/>
      <c r="X125" s="2">
        <f t="shared" si="29"/>
        <v>-55309.329999999958</v>
      </c>
      <c r="Y125" s="2"/>
      <c r="Z125" s="19">
        <f t="shared" si="30"/>
        <v>-0.11027043039164033</v>
      </c>
    </row>
    <row r="126" spans="1:26" s="24" customFormat="1" hidden="1" outlineLevel="1" x14ac:dyDescent="0.25">
      <c r="A126" s="44"/>
      <c r="B126" s="11" t="str">
        <f>CONCATENATE("          ", "5011", " - ", "PURCHASES @ COST-NO VALUE TEXT")</f>
        <v xml:space="preserve">          5011 - PURCHASES @ COST-NO VALUE TEXT</v>
      </c>
      <c r="C126" s="11"/>
      <c r="D126" s="2"/>
      <c r="E126" s="2"/>
      <c r="F126" s="19">
        <f t="shared" si="23"/>
        <v>0</v>
      </c>
      <c r="G126" s="2"/>
      <c r="H126" s="2">
        <v>237</v>
      </c>
      <c r="I126" s="2"/>
      <c r="J126" s="19">
        <f t="shared" si="24"/>
        <v>2.3763949501025747E-4</v>
      </c>
      <c r="K126" s="2"/>
      <c r="L126" s="2">
        <f t="shared" si="25"/>
        <v>-237</v>
      </c>
      <c r="M126" s="2"/>
      <c r="N126" s="19">
        <f t="shared" si="26"/>
        <v>-1</v>
      </c>
      <c r="O126" s="11"/>
      <c r="P126" s="2">
        <v>6363</v>
      </c>
      <c r="Q126" s="2"/>
      <c r="R126" s="19">
        <f t="shared" si="27"/>
        <v>5.5858104143499709E-4</v>
      </c>
      <c r="S126" s="2"/>
      <c r="T126" s="2">
        <v>3744</v>
      </c>
      <c r="U126" s="2"/>
      <c r="V126" s="19">
        <f t="shared" si="28"/>
        <v>2.6349504808914111E-4</v>
      </c>
      <c r="W126" s="2"/>
      <c r="X126" s="2">
        <f t="shared" si="29"/>
        <v>2619</v>
      </c>
      <c r="Y126" s="2"/>
      <c r="Z126" s="19">
        <f t="shared" si="30"/>
        <v>0.69951923076923073</v>
      </c>
    </row>
    <row r="127" spans="1:26" s="24" customFormat="1" hidden="1" outlineLevel="1" x14ac:dyDescent="0.25">
      <c r="A127" s="44"/>
      <c r="B127" s="11" t="str">
        <f>CONCATENATE("          ", "5013", " - ", "PURCHASES @ COST-TRADE BOOKS")</f>
        <v xml:space="preserve">          5013 - PURCHASES @ COST-TRADE BOOKS</v>
      </c>
      <c r="C127" s="11"/>
      <c r="D127" s="2"/>
      <c r="E127" s="2"/>
      <c r="F127" s="19">
        <f t="shared" si="23"/>
        <v>0</v>
      </c>
      <c r="G127" s="2"/>
      <c r="H127" s="2">
        <v>-265.93</v>
      </c>
      <c r="I127" s="2"/>
      <c r="J127" s="19">
        <f t="shared" si="24"/>
        <v>-2.6664755657416779E-4</v>
      </c>
      <c r="K127" s="2"/>
      <c r="L127" s="2">
        <f t="shared" si="25"/>
        <v>265.93</v>
      </c>
      <c r="M127" s="2"/>
      <c r="N127" s="19">
        <f t="shared" si="26"/>
        <v>-1</v>
      </c>
      <c r="O127" s="11"/>
      <c r="P127" s="2">
        <v>3197.85</v>
      </c>
      <c r="Q127" s="2"/>
      <c r="R127" s="19">
        <f t="shared" si="27"/>
        <v>2.8072581853731031E-4</v>
      </c>
      <c r="S127" s="2"/>
      <c r="T127" s="2">
        <v>5875.74</v>
      </c>
      <c r="U127" s="2"/>
      <c r="V127" s="19">
        <f t="shared" si="28"/>
        <v>4.1352254109489588E-4</v>
      </c>
      <c r="W127" s="2"/>
      <c r="X127" s="2">
        <f t="shared" si="29"/>
        <v>-2677.89</v>
      </c>
      <c r="Y127" s="2"/>
      <c r="Z127" s="19">
        <f t="shared" si="30"/>
        <v>-0.45575365826261882</v>
      </c>
    </row>
    <row r="128" spans="1:26" s="24" customFormat="1" hidden="1" outlineLevel="1" x14ac:dyDescent="0.25">
      <c r="A128" s="44"/>
      <c r="B128" s="11" t="str">
        <f>CONCATENATE("          ", "5014", " - ", "PURCHASES @ COST-REMAINDERS")</f>
        <v xml:space="preserve">          5014 - PURCHASES @ COST-REMAINDERS</v>
      </c>
      <c r="C128" s="11"/>
      <c r="D128" s="2"/>
      <c r="E128" s="2"/>
      <c r="F128" s="19">
        <f t="shared" si="23"/>
        <v>0</v>
      </c>
      <c r="G128" s="2"/>
      <c r="H128" s="2">
        <v>76.91</v>
      </c>
      <c r="I128" s="2"/>
      <c r="J128" s="19">
        <f t="shared" si="24"/>
        <v>7.7117525574847681E-5</v>
      </c>
      <c r="K128" s="2"/>
      <c r="L128" s="2">
        <f t="shared" si="25"/>
        <v>-76.91</v>
      </c>
      <c r="M128" s="2"/>
      <c r="N128" s="19">
        <f t="shared" si="26"/>
        <v>-1</v>
      </c>
      <c r="O128" s="11"/>
      <c r="P128" s="2">
        <v>615.07000000000005</v>
      </c>
      <c r="Q128" s="2"/>
      <c r="R128" s="19">
        <f t="shared" si="27"/>
        <v>5.3994411622728854E-5</v>
      </c>
      <c r="S128" s="2"/>
      <c r="T128" s="2">
        <v>1199.07</v>
      </c>
      <c r="U128" s="2"/>
      <c r="V128" s="19">
        <f t="shared" si="28"/>
        <v>8.4388089559894879E-5</v>
      </c>
      <c r="W128" s="2"/>
      <c r="X128" s="2">
        <f t="shared" si="29"/>
        <v>-583.99999999999989</v>
      </c>
      <c r="Y128" s="2"/>
      <c r="Z128" s="19">
        <f t="shared" si="30"/>
        <v>-0.48704412586421136</v>
      </c>
    </row>
    <row r="129" spans="1:26" s="24" customFormat="1" hidden="1" outlineLevel="1" x14ac:dyDescent="0.25">
      <c r="A129" s="44"/>
      <c r="B129" s="11" t="str">
        <f>CONCATENATE("          ", "5017", " - ", "PURCHASES @ COST-DORM/HOUSEWAR")</f>
        <v xml:space="preserve">          5017 - PURCHASES @ COST-DORM/HOUSEWAR</v>
      </c>
      <c r="C129" s="11"/>
      <c r="D129" s="2"/>
      <c r="E129" s="2"/>
      <c r="F129" s="19">
        <f t="shared" si="23"/>
        <v>0</v>
      </c>
      <c r="G129" s="2"/>
      <c r="H129" s="2"/>
      <c r="I129" s="2"/>
      <c r="J129" s="19">
        <f t="shared" si="24"/>
        <v>0</v>
      </c>
      <c r="K129" s="2"/>
      <c r="L129" s="2">
        <f t="shared" si="25"/>
        <v>0</v>
      </c>
      <c r="M129" s="2"/>
      <c r="N129" s="19">
        <f t="shared" si="26"/>
        <v>0</v>
      </c>
      <c r="O129" s="11"/>
      <c r="P129" s="2">
        <v>14.46</v>
      </c>
      <c r="Q129" s="2"/>
      <c r="R129" s="19">
        <f t="shared" si="27"/>
        <v>1.2693826589894796E-6</v>
      </c>
      <c r="S129" s="2"/>
      <c r="T129" s="2">
        <v>239.9</v>
      </c>
      <c r="U129" s="2"/>
      <c r="V129" s="19">
        <f t="shared" si="28"/>
        <v>1.6883670415754528E-5</v>
      </c>
      <c r="W129" s="2"/>
      <c r="X129" s="2">
        <f t="shared" si="29"/>
        <v>-225.44</v>
      </c>
      <c r="Y129" s="2"/>
      <c r="Z129" s="19">
        <f t="shared" si="30"/>
        <v>-0.93972488536890364</v>
      </c>
    </row>
    <row r="130" spans="1:26" s="24" customFormat="1" hidden="1" outlineLevel="1" x14ac:dyDescent="0.25">
      <c r="A130" s="44"/>
      <c r="B130" s="11" t="str">
        <f>CONCATENATE("          ", "5018", " - ", "PURCHASES @ COST-STUDY GUIDES")</f>
        <v xml:space="preserve">          5018 - PURCHASES @ COST-STUDY GUIDES</v>
      </c>
      <c r="C130" s="11"/>
      <c r="D130" s="2"/>
      <c r="E130" s="2"/>
      <c r="F130" s="19">
        <f t="shared" si="23"/>
        <v>0</v>
      </c>
      <c r="G130" s="2"/>
      <c r="H130" s="2">
        <v>289.08</v>
      </c>
      <c r="I130" s="2"/>
      <c r="J130" s="19">
        <f t="shared" si="24"/>
        <v>2.8986002201504313E-4</v>
      </c>
      <c r="K130" s="2"/>
      <c r="L130" s="2">
        <f t="shared" si="25"/>
        <v>-289.08</v>
      </c>
      <c r="M130" s="2"/>
      <c r="N130" s="19">
        <f t="shared" si="26"/>
        <v>-1</v>
      </c>
      <c r="O130" s="11"/>
      <c r="P130" s="2">
        <v>-205.14</v>
      </c>
      <c r="Q130" s="2"/>
      <c r="R130" s="19">
        <f t="shared" si="27"/>
        <v>-1.8008378884170248E-5</v>
      </c>
      <c r="S130" s="2"/>
      <c r="T130" s="2">
        <v>2683</v>
      </c>
      <c r="U130" s="2"/>
      <c r="V130" s="19">
        <f t="shared" si="28"/>
        <v>1.8882404220704212E-4</v>
      </c>
      <c r="W130" s="2"/>
      <c r="X130" s="2">
        <f t="shared" si="29"/>
        <v>-2888.14</v>
      </c>
      <c r="Y130" s="2"/>
      <c r="Z130" s="19">
        <f t="shared" si="30"/>
        <v>-1.0764591874767051</v>
      </c>
    </row>
    <row r="131" spans="1:26" s="24" customFormat="1" hidden="1" outlineLevel="1" x14ac:dyDescent="0.25">
      <c r="A131" s="44"/>
      <c r="B131" s="11" t="str">
        <f>CONCATENATE("          ", "5025", " - ", "PURCHASES @ COST-TEST FORMS")</f>
        <v xml:space="preserve">          5025 - PURCHASES @ COST-TEST FORMS</v>
      </c>
      <c r="C131" s="11"/>
      <c r="D131" s="2"/>
      <c r="E131" s="2"/>
      <c r="F131" s="19">
        <f t="shared" si="23"/>
        <v>0</v>
      </c>
      <c r="G131" s="2"/>
      <c r="H131" s="2">
        <v>1711.75</v>
      </c>
      <c r="I131" s="2"/>
      <c r="J131" s="19">
        <f t="shared" si="24"/>
        <v>1.7163687999316802E-3</v>
      </c>
      <c r="K131" s="2"/>
      <c r="L131" s="2">
        <f t="shared" si="25"/>
        <v>-1711.75</v>
      </c>
      <c r="M131" s="2"/>
      <c r="N131" s="19">
        <f t="shared" si="26"/>
        <v>-1</v>
      </c>
      <c r="O131" s="11"/>
      <c r="P131" s="2">
        <v>26400.390000000003</v>
      </c>
      <c r="Q131" s="2"/>
      <c r="R131" s="19">
        <f t="shared" si="27"/>
        <v>2.3175793400110143E-3</v>
      </c>
      <c r="S131" s="2"/>
      <c r="T131" s="2">
        <v>21282.6</v>
      </c>
      <c r="U131" s="2"/>
      <c r="V131" s="19">
        <f t="shared" si="28"/>
        <v>1.497825777366975E-3</v>
      </c>
      <c r="W131" s="2"/>
      <c r="X131" s="2">
        <f t="shared" si="29"/>
        <v>5117.7900000000045</v>
      </c>
      <c r="Y131" s="2"/>
      <c r="Z131" s="19">
        <f t="shared" si="30"/>
        <v>0.24046826985424735</v>
      </c>
    </row>
    <row r="132" spans="1:26" s="24" customFormat="1" hidden="1" outlineLevel="1" x14ac:dyDescent="0.25">
      <c r="A132" s="44"/>
      <c r="B132" s="11" t="str">
        <f>CONCATENATE("          ", "5026", " - ", "PURCHASES @ COST-WRITING INSTR")</f>
        <v xml:space="preserve">          5026 - PURCHASES @ COST-WRITING INSTR</v>
      </c>
      <c r="C132" s="11"/>
      <c r="D132" s="2">
        <v>-7248</v>
      </c>
      <c r="E132" s="2"/>
      <c r="F132" s="19">
        <f t="shared" si="23"/>
        <v>-2.7490096188407909E-2</v>
      </c>
      <c r="G132" s="2"/>
      <c r="H132" s="2">
        <v>4449.1499999999996</v>
      </c>
      <c r="I132" s="2"/>
      <c r="J132" s="19">
        <f t="shared" si="24"/>
        <v>4.4611551022147129E-3</v>
      </c>
      <c r="K132" s="2"/>
      <c r="L132" s="2">
        <f t="shared" si="25"/>
        <v>-11697.15</v>
      </c>
      <c r="M132" s="2"/>
      <c r="N132" s="19">
        <f t="shared" si="26"/>
        <v>-2.6290752166144098</v>
      </c>
      <c r="O132" s="11"/>
      <c r="P132" s="2">
        <v>44186.57</v>
      </c>
      <c r="Q132" s="2"/>
      <c r="R132" s="19">
        <f t="shared" si="27"/>
        <v>3.8789533691718369E-3</v>
      </c>
      <c r="S132" s="2"/>
      <c r="T132" s="2">
        <v>54078.76</v>
      </c>
      <c r="U132" s="2"/>
      <c r="V132" s="19">
        <f t="shared" si="28"/>
        <v>3.8059523148507271E-3</v>
      </c>
      <c r="W132" s="2"/>
      <c r="X132" s="2">
        <f t="shared" si="29"/>
        <v>-9892.1900000000023</v>
      </c>
      <c r="Y132" s="2"/>
      <c r="Z132" s="19">
        <f t="shared" si="30"/>
        <v>-0.18292190871240394</v>
      </c>
    </row>
    <row r="133" spans="1:26" s="24" customFormat="1" hidden="1" outlineLevel="1" x14ac:dyDescent="0.25">
      <c r="A133" s="44"/>
      <c r="B133" s="11" t="str">
        <f>CONCATENATE("          ", "5027", " - ", "PURCHASES @ COST-SCHOOL SUPPLI")</f>
        <v xml:space="preserve">          5027 - PURCHASES @ COST-SCHOOL SUPPLI</v>
      </c>
      <c r="C133" s="11"/>
      <c r="D133" s="2">
        <v>-2393.63</v>
      </c>
      <c r="E133" s="2"/>
      <c r="F133" s="19">
        <f t="shared" si="23"/>
        <v>-9.0785208249805228E-3</v>
      </c>
      <c r="G133" s="2"/>
      <c r="H133" s="2">
        <v>12828.83</v>
      </c>
      <c r="I133" s="2"/>
      <c r="J133" s="19">
        <f t="shared" si="24"/>
        <v>1.286344591887106E-2</v>
      </c>
      <c r="K133" s="2"/>
      <c r="L133" s="2">
        <f t="shared" si="25"/>
        <v>-15222.46</v>
      </c>
      <c r="M133" s="2"/>
      <c r="N133" s="19">
        <f t="shared" si="26"/>
        <v>-1.1865820967305669</v>
      </c>
      <c r="O133" s="11"/>
      <c r="P133" s="2">
        <v>141214.54</v>
      </c>
      <c r="Q133" s="2"/>
      <c r="R133" s="19">
        <f t="shared" si="27"/>
        <v>1.2396631277536391E-2</v>
      </c>
      <c r="S133" s="2"/>
      <c r="T133" s="2">
        <v>156195.15</v>
      </c>
      <c r="U133" s="2"/>
      <c r="V133" s="19">
        <f t="shared" si="28"/>
        <v>1.0992694594161488E-2</v>
      </c>
      <c r="W133" s="2"/>
      <c r="X133" s="2">
        <f t="shared" si="29"/>
        <v>-14980.609999999986</v>
      </c>
      <c r="Y133" s="2"/>
      <c r="Z133" s="19">
        <f t="shared" si="30"/>
        <v>-9.5909572096188556E-2</v>
      </c>
    </row>
    <row r="134" spans="1:26" s="24" customFormat="1" hidden="1" outlineLevel="1" x14ac:dyDescent="0.25">
      <c r="A134" s="44"/>
      <c r="B134" s="11" t="str">
        <f>CONCATENATE("          ", "5028", " - ", "PURCHASES @ COST-ART/TECH")</f>
        <v xml:space="preserve">          5028 - PURCHASES @ COST-ART/TECH</v>
      </c>
      <c r="C134" s="11"/>
      <c r="D134" s="2">
        <v>-60.3</v>
      </c>
      <c r="E134" s="2"/>
      <c r="F134" s="19">
        <f t="shared" si="23"/>
        <v>-2.2870485653435387E-4</v>
      </c>
      <c r="G134" s="2"/>
      <c r="H134" s="2">
        <v>1484.71</v>
      </c>
      <c r="I134" s="2"/>
      <c r="J134" s="19">
        <f t="shared" si="24"/>
        <v>1.4887161799016007E-3</v>
      </c>
      <c r="K134" s="2"/>
      <c r="L134" s="2">
        <f t="shared" si="25"/>
        <v>-1545.01</v>
      </c>
      <c r="M134" s="2"/>
      <c r="N134" s="19">
        <f t="shared" si="26"/>
        <v>-1.0406139919580255</v>
      </c>
      <c r="O134" s="11"/>
      <c r="P134" s="2">
        <v>159627.69</v>
      </c>
      <c r="Q134" s="2"/>
      <c r="R134" s="19">
        <f t="shared" si="27"/>
        <v>1.4013044369332527E-2</v>
      </c>
      <c r="S134" s="2"/>
      <c r="T134" s="2">
        <v>177482.59</v>
      </c>
      <c r="U134" s="2"/>
      <c r="V134" s="19">
        <f t="shared" si="28"/>
        <v>1.2490861000810715E-2</v>
      </c>
      <c r="W134" s="2"/>
      <c r="X134" s="2">
        <f t="shared" si="29"/>
        <v>-17854.899999999994</v>
      </c>
      <c r="Y134" s="2"/>
      <c r="Z134" s="19">
        <f t="shared" si="30"/>
        <v>-0.10060085330059694</v>
      </c>
    </row>
    <row r="135" spans="1:26" s="24" customFormat="1" hidden="1" outlineLevel="1" x14ac:dyDescent="0.25">
      <c r="A135" s="44"/>
      <c r="B135" s="11" t="str">
        <f>CONCATENATE("          ", "5031", " - ", "PURCHASES @ COST-FOOD")</f>
        <v xml:space="preserve">          5031 - PURCHASES @ COST-FOOD</v>
      </c>
      <c r="C135" s="11"/>
      <c r="D135" s="2"/>
      <c r="E135" s="2"/>
      <c r="F135" s="19">
        <f t="shared" si="23"/>
        <v>0</v>
      </c>
      <c r="G135" s="2"/>
      <c r="H135" s="2">
        <v>1464.39</v>
      </c>
      <c r="I135" s="2"/>
      <c r="J135" s="19">
        <f t="shared" si="24"/>
        <v>1.468341350624772E-3</v>
      </c>
      <c r="K135" s="2"/>
      <c r="L135" s="2">
        <f t="shared" si="25"/>
        <v>-1464.39</v>
      </c>
      <c r="M135" s="2"/>
      <c r="N135" s="19">
        <f t="shared" si="26"/>
        <v>-1</v>
      </c>
      <c r="O135" s="11"/>
      <c r="P135" s="2">
        <v>33239.879999999997</v>
      </c>
      <c r="Q135" s="2"/>
      <c r="R135" s="19">
        <f t="shared" si="27"/>
        <v>2.9179894369910937E-3</v>
      </c>
      <c r="S135" s="2"/>
      <c r="T135" s="2">
        <v>39293.68</v>
      </c>
      <c r="U135" s="2"/>
      <c r="V135" s="19">
        <f t="shared" si="28"/>
        <v>2.7654086808758878E-3</v>
      </c>
      <c r="W135" s="2"/>
      <c r="X135" s="2">
        <f t="shared" si="29"/>
        <v>-6053.8000000000029</v>
      </c>
      <c r="Y135" s="2"/>
      <c r="Z135" s="19">
        <f t="shared" si="30"/>
        <v>-0.15406548839406242</v>
      </c>
    </row>
    <row r="136" spans="1:26" s="24" customFormat="1" hidden="1" outlineLevel="1" x14ac:dyDescent="0.25">
      <c r="A136" s="44"/>
      <c r="B136" s="11" t="str">
        <f>CONCATENATE("          ", "5032", " - ", "PURCHASES @ COST-JUICE")</f>
        <v xml:space="preserve">          5032 - PURCHASES @ COST-JUICE</v>
      </c>
      <c r="C136" s="11"/>
      <c r="D136" s="2"/>
      <c r="E136" s="2"/>
      <c r="F136" s="19">
        <f t="shared" si="23"/>
        <v>0</v>
      </c>
      <c r="G136" s="2"/>
      <c r="H136" s="2">
        <v>203.26</v>
      </c>
      <c r="I136" s="2"/>
      <c r="J136" s="19">
        <f t="shared" si="24"/>
        <v>2.0380845466575918E-4</v>
      </c>
      <c r="K136" s="2"/>
      <c r="L136" s="2">
        <f t="shared" si="25"/>
        <v>-203.26</v>
      </c>
      <c r="M136" s="2"/>
      <c r="N136" s="19">
        <f t="shared" si="26"/>
        <v>-1</v>
      </c>
      <c r="O136" s="11"/>
      <c r="P136" s="2">
        <v>7802.45</v>
      </c>
      <c r="Q136" s="2"/>
      <c r="R136" s="19">
        <f t="shared" si="27"/>
        <v>6.8494431034802651E-4</v>
      </c>
      <c r="S136" s="2"/>
      <c r="T136" s="2">
        <v>9569.02</v>
      </c>
      <c r="U136" s="2"/>
      <c r="V136" s="19">
        <f t="shared" si="28"/>
        <v>6.7344801951547896E-4</v>
      </c>
      <c r="W136" s="2"/>
      <c r="X136" s="2">
        <f t="shared" si="29"/>
        <v>-1766.5700000000006</v>
      </c>
      <c r="Y136" s="2"/>
      <c r="Z136" s="19">
        <f t="shared" si="30"/>
        <v>-0.18461347138996476</v>
      </c>
    </row>
    <row r="137" spans="1:26" s="24" customFormat="1" hidden="1" outlineLevel="1" x14ac:dyDescent="0.25">
      <c r="A137" s="44"/>
      <c r="B137" s="11" t="str">
        <f>CONCATENATE("          ", "5033", " - ", "PURCHASES @ COST-CANDY")</f>
        <v xml:space="preserve">          5033 - PURCHASES @ COST-CANDY</v>
      </c>
      <c r="C137" s="11"/>
      <c r="D137" s="2"/>
      <c r="E137" s="2"/>
      <c r="F137" s="19">
        <f t="shared" si="23"/>
        <v>0</v>
      </c>
      <c r="G137" s="2"/>
      <c r="H137" s="2">
        <v>316.45</v>
      </c>
      <c r="I137" s="2"/>
      <c r="J137" s="19">
        <f t="shared" si="24"/>
        <v>3.1730387424470875E-4</v>
      </c>
      <c r="K137" s="2"/>
      <c r="L137" s="2">
        <f t="shared" si="25"/>
        <v>-316.45</v>
      </c>
      <c r="M137" s="2"/>
      <c r="N137" s="19">
        <f t="shared" si="26"/>
        <v>-1</v>
      </c>
      <c r="O137" s="11"/>
      <c r="P137" s="2">
        <v>9998.41</v>
      </c>
      <c r="Q137" s="2"/>
      <c r="R137" s="19">
        <f t="shared" si="27"/>
        <v>8.7771841434764874E-4</v>
      </c>
      <c r="S137" s="2"/>
      <c r="T137" s="2">
        <v>9492.2800000000007</v>
      </c>
      <c r="U137" s="2"/>
      <c r="V137" s="19">
        <f t="shared" si="28"/>
        <v>6.6804721556506217E-4</v>
      </c>
      <c r="W137" s="2"/>
      <c r="X137" s="2">
        <f t="shared" si="29"/>
        <v>506.1299999999992</v>
      </c>
      <c r="Y137" s="2"/>
      <c r="Z137" s="19">
        <f t="shared" si="30"/>
        <v>5.3320171760630655E-2</v>
      </c>
    </row>
    <row r="138" spans="1:26" s="24" customFormat="1" hidden="1" outlineLevel="1" x14ac:dyDescent="0.25">
      <c r="A138" s="44"/>
      <c r="B138" s="11" t="str">
        <f>CONCATENATE("          ", "5034", " - ", "PURCHASES @ COST-SODA")</f>
        <v xml:space="preserve">          5034 - PURCHASES @ COST-SODA</v>
      </c>
      <c r="C138" s="11"/>
      <c r="D138" s="2"/>
      <c r="E138" s="2"/>
      <c r="F138" s="19">
        <f t="shared" si="23"/>
        <v>0</v>
      </c>
      <c r="G138" s="2"/>
      <c r="H138" s="2">
        <v>56.97</v>
      </c>
      <c r="I138" s="2"/>
      <c r="J138" s="19">
        <f t="shared" si="24"/>
        <v>5.7123721648668213E-5</v>
      </c>
      <c r="K138" s="2"/>
      <c r="L138" s="2">
        <f t="shared" si="25"/>
        <v>-56.97</v>
      </c>
      <c r="M138" s="2"/>
      <c r="N138" s="19">
        <f t="shared" si="26"/>
        <v>-1</v>
      </c>
      <c r="O138" s="11"/>
      <c r="P138" s="2">
        <v>4033.88</v>
      </c>
      <c r="Q138" s="2"/>
      <c r="R138" s="19">
        <f t="shared" si="27"/>
        <v>3.5411738039035142E-4</v>
      </c>
      <c r="S138" s="2"/>
      <c r="T138" s="2">
        <v>3856.23</v>
      </c>
      <c r="U138" s="2"/>
      <c r="V138" s="19">
        <f t="shared" si="28"/>
        <v>2.7139356551623631E-4</v>
      </c>
      <c r="W138" s="2"/>
      <c r="X138" s="2">
        <f t="shared" si="29"/>
        <v>177.65000000000009</v>
      </c>
      <c r="Y138" s="2"/>
      <c r="Z138" s="19">
        <f t="shared" si="30"/>
        <v>4.6068310240831092E-2</v>
      </c>
    </row>
    <row r="139" spans="1:26" s="24" customFormat="1" hidden="1" outlineLevel="1" x14ac:dyDescent="0.25">
      <c r="A139" s="44"/>
      <c r="B139" s="11" t="str">
        <f>CONCATENATE("          ", "5035", " - ", "PURCHASES @ COST-HEALTH &amp; BEAU")</f>
        <v xml:space="preserve">          5035 - PURCHASES @ COST-HEALTH &amp; BEAU</v>
      </c>
      <c r="C139" s="11"/>
      <c r="D139" s="2"/>
      <c r="E139" s="2"/>
      <c r="F139" s="19">
        <f t="shared" si="23"/>
        <v>0</v>
      </c>
      <c r="G139" s="2"/>
      <c r="H139" s="2">
        <v>21.22</v>
      </c>
      <c r="I139" s="2"/>
      <c r="J139" s="19">
        <f t="shared" si="24"/>
        <v>2.1277257738893094E-5</v>
      </c>
      <c r="K139" s="2"/>
      <c r="L139" s="2">
        <f t="shared" si="25"/>
        <v>-21.22</v>
      </c>
      <c r="M139" s="2"/>
      <c r="N139" s="19">
        <f t="shared" si="26"/>
        <v>-1</v>
      </c>
      <c r="O139" s="11"/>
      <c r="P139" s="2">
        <v>1117.6500000000001</v>
      </c>
      <c r="Q139" s="2"/>
      <c r="R139" s="19">
        <f t="shared" si="27"/>
        <v>9.8113798673554064E-5</v>
      </c>
      <c r="S139" s="2"/>
      <c r="T139" s="2">
        <v>1219.07</v>
      </c>
      <c r="U139" s="2"/>
      <c r="V139" s="19">
        <f t="shared" si="28"/>
        <v>8.5795648577465078E-5</v>
      </c>
      <c r="W139" s="2"/>
      <c r="X139" s="2">
        <f t="shared" si="29"/>
        <v>-101.41999999999985</v>
      </c>
      <c r="Y139" s="2"/>
      <c r="Z139" s="19">
        <f t="shared" si="30"/>
        <v>-8.3194566349758303E-2</v>
      </c>
    </row>
    <row r="140" spans="1:26" s="24" customFormat="1" hidden="1" outlineLevel="1" x14ac:dyDescent="0.25">
      <c r="A140" s="44"/>
      <c r="B140" s="11" t="str">
        <f>CONCATENATE("          ", "5037", " - ", "PURCHASES @ COST-WATER")</f>
        <v xml:space="preserve">          5037 - PURCHASES @ COST-WATER</v>
      </c>
      <c r="C140" s="11"/>
      <c r="D140" s="2"/>
      <c r="E140" s="2"/>
      <c r="F140" s="19">
        <f t="shared" si="23"/>
        <v>0</v>
      </c>
      <c r="G140" s="2"/>
      <c r="H140" s="2">
        <v>23.2</v>
      </c>
      <c r="I140" s="2"/>
      <c r="J140" s="19">
        <f t="shared" si="24"/>
        <v>2.3262600355434486E-5</v>
      </c>
      <c r="K140" s="2"/>
      <c r="L140" s="2">
        <f t="shared" si="25"/>
        <v>-23.2</v>
      </c>
      <c r="M140" s="2"/>
      <c r="N140" s="19">
        <f t="shared" si="26"/>
        <v>-1</v>
      </c>
      <c r="O140" s="11"/>
      <c r="P140" s="2">
        <v>5693.57</v>
      </c>
      <c r="Q140" s="2"/>
      <c r="R140" s="19">
        <f t="shared" si="27"/>
        <v>4.9981459375814184E-4</v>
      </c>
      <c r="S140" s="2"/>
      <c r="T140" s="2">
        <v>5872.03</v>
      </c>
      <c r="U140" s="2"/>
      <c r="V140" s="19">
        <f t="shared" si="28"/>
        <v>4.1326143889713657E-4</v>
      </c>
      <c r="W140" s="2"/>
      <c r="X140" s="2">
        <f t="shared" si="29"/>
        <v>-178.46000000000004</v>
      </c>
      <c r="Y140" s="2"/>
      <c r="Z140" s="19">
        <f t="shared" si="30"/>
        <v>-3.0391534103197709E-2</v>
      </c>
    </row>
    <row r="141" spans="1:26" s="24" customFormat="1" hidden="1" outlineLevel="1" x14ac:dyDescent="0.25">
      <c r="A141" s="44"/>
      <c r="B141" s="11" t="str">
        <f>CONCATENATE("          ", "5040", " - ", "PURCHASES @ COST-LOGO CLOTHING")</f>
        <v xml:space="preserve">          5040 - PURCHASES @ COST-LOGO CLOTHING</v>
      </c>
      <c r="C141" s="11"/>
      <c r="D141" s="2">
        <v>1557.89</v>
      </c>
      <c r="E141" s="2"/>
      <c r="F141" s="19">
        <f t="shared" si="23"/>
        <v>5.9087397835208061E-3</v>
      </c>
      <c r="G141" s="2"/>
      <c r="H141" s="2">
        <v>35297.950000000004</v>
      </c>
      <c r="I141" s="2"/>
      <c r="J141" s="19">
        <f t="shared" si="24"/>
        <v>3.5393194147246072E-2</v>
      </c>
      <c r="K141" s="2"/>
      <c r="L141" s="2">
        <f t="shared" si="25"/>
        <v>-33740.060000000005</v>
      </c>
      <c r="M141" s="2"/>
      <c r="N141" s="19">
        <f t="shared" si="26"/>
        <v>-0.95586457570482142</v>
      </c>
      <c r="O141" s="11"/>
      <c r="P141" s="2">
        <v>976469.33000000007</v>
      </c>
      <c r="Q141" s="2"/>
      <c r="R141" s="19">
        <f t="shared" si="27"/>
        <v>8.5720140701042571E-2</v>
      </c>
      <c r="S141" s="2"/>
      <c r="T141" s="2">
        <v>1040147.1000000001</v>
      </c>
      <c r="U141" s="2"/>
      <c r="V141" s="19">
        <f t="shared" si="28"/>
        <v>7.3203421510224548E-2</v>
      </c>
      <c r="W141" s="2"/>
      <c r="X141" s="2">
        <f t="shared" si="29"/>
        <v>-63677.770000000019</v>
      </c>
      <c r="Y141" s="2"/>
      <c r="Z141" s="19">
        <f t="shared" si="30"/>
        <v>-6.1219965906745319E-2</v>
      </c>
    </row>
    <row r="142" spans="1:26" s="24" customFormat="1" hidden="1" outlineLevel="1" x14ac:dyDescent="0.25">
      <c r="A142" s="44"/>
      <c r="B142" s="11" t="str">
        <f>CONCATENATE("          ", "5041", " - ", "PURCHASES @ COST-LOGO GIFTS")</f>
        <v xml:space="preserve">          5041 - PURCHASES @ COST-LOGO GIFTS</v>
      </c>
      <c r="C142" s="11"/>
      <c r="D142" s="2">
        <v>4290.8100000000004</v>
      </c>
      <c r="E142" s="2"/>
      <c r="F142" s="19">
        <f t="shared" si="23"/>
        <v>1.6274114186835342E-2</v>
      </c>
      <c r="G142" s="2"/>
      <c r="H142" s="2">
        <v>36471.08</v>
      </c>
      <c r="I142" s="2"/>
      <c r="J142" s="19">
        <f t="shared" si="24"/>
        <v>3.6569489593581014E-2</v>
      </c>
      <c r="K142" s="2"/>
      <c r="L142" s="2">
        <f t="shared" si="25"/>
        <v>-32180.27</v>
      </c>
      <c r="M142" s="2"/>
      <c r="N142" s="19">
        <f t="shared" si="26"/>
        <v>-0.8823503444372911</v>
      </c>
      <c r="O142" s="11"/>
      <c r="P142" s="2">
        <v>149750.84</v>
      </c>
      <c r="Q142" s="2"/>
      <c r="R142" s="19">
        <f t="shared" si="27"/>
        <v>1.3145997196757129E-2</v>
      </c>
      <c r="S142" s="2"/>
      <c r="T142" s="2">
        <v>281833.13</v>
      </c>
      <c r="U142" s="2"/>
      <c r="V142" s="19">
        <f t="shared" si="28"/>
        <v>1.9834838179076702E-2</v>
      </c>
      <c r="W142" s="2"/>
      <c r="X142" s="2">
        <f t="shared" si="29"/>
        <v>-132082.29</v>
      </c>
      <c r="Y142" s="2"/>
      <c r="Z142" s="19">
        <f t="shared" si="30"/>
        <v>-0.46865423522067828</v>
      </c>
    </row>
    <row r="143" spans="1:26" s="24" customFormat="1" hidden="1" outlineLevel="1" x14ac:dyDescent="0.25">
      <c r="A143" s="44"/>
      <c r="B143" s="11" t="str">
        <f>CONCATENATE("          ", "5042", " - ", "PURCHASES @ COST-EVERYDAY GIFT")</f>
        <v xml:space="preserve">          5042 - PURCHASES @ COST-EVERYDAY GIFT</v>
      </c>
      <c r="C143" s="11"/>
      <c r="D143" s="2">
        <v>10730.16</v>
      </c>
      <c r="E143" s="2"/>
      <c r="F143" s="19">
        <f t="shared" si="23"/>
        <v>4.069717584395792E-2</v>
      </c>
      <c r="G143" s="2"/>
      <c r="H143" s="2">
        <v>12317.53</v>
      </c>
      <c r="I143" s="2"/>
      <c r="J143" s="19">
        <f t="shared" si="24"/>
        <v>1.2350766282589437E-2</v>
      </c>
      <c r="K143" s="2"/>
      <c r="L143" s="2">
        <f t="shared" si="25"/>
        <v>-1587.3700000000008</v>
      </c>
      <c r="M143" s="2"/>
      <c r="N143" s="19">
        <f t="shared" si="26"/>
        <v>-0.12887080445511404</v>
      </c>
      <c r="O143" s="11"/>
      <c r="P143" s="2">
        <v>126615.2</v>
      </c>
      <c r="Q143" s="2"/>
      <c r="R143" s="19">
        <f t="shared" si="27"/>
        <v>1.1115016545261739E-2</v>
      </c>
      <c r="S143" s="2"/>
      <c r="T143" s="2">
        <v>142481.70000000001</v>
      </c>
      <c r="U143" s="2"/>
      <c r="V143" s="19">
        <f t="shared" si="28"/>
        <v>1.0027570083686587E-2</v>
      </c>
      <c r="W143" s="2"/>
      <c r="X143" s="2">
        <f t="shared" si="29"/>
        <v>-15866.500000000015</v>
      </c>
      <c r="Y143" s="2"/>
      <c r="Z143" s="19">
        <f t="shared" si="30"/>
        <v>-0.11135816038129819</v>
      </c>
    </row>
    <row r="144" spans="1:26" s="24" customFormat="1" hidden="1" outlineLevel="1" x14ac:dyDescent="0.25">
      <c r="A144" s="44"/>
      <c r="B144" s="11" t="str">
        <f>CONCATENATE("          ", "5043", " - ", "PURCHASES @ COST-CARDS")</f>
        <v xml:space="preserve">          5043 - PURCHASES @ COST-CARDS</v>
      </c>
      <c r="C144" s="11"/>
      <c r="D144" s="2"/>
      <c r="E144" s="2"/>
      <c r="F144" s="19">
        <f t="shared" si="23"/>
        <v>0</v>
      </c>
      <c r="G144" s="2"/>
      <c r="H144" s="2">
        <v>-968.82</v>
      </c>
      <c r="I144" s="2"/>
      <c r="J144" s="19">
        <f t="shared" si="24"/>
        <v>-9.7143415846345001E-4</v>
      </c>
      <c r="K144" s="2"/>
      <c r="L144" s="2">
        <f t="shared" si="25"/>
        <v>968.82</v>
      </c>
      <c r="M144" s="2"/>
      <c r="N144" s="19">
        <f t="shared" si="26"/>
        <v>-1</v>
      </c>
      <c r="O144" s="11"/>
      <c r="P144" s="2">
        <v>30914.659999999996</v>
      </c>
      <c r="Q144" s="2"/>
      <c r="R144" s="19">
        <f t="shared" si="27"/>
        <v>2.7138681405640178E-3</v>
      </c>
      <c r="S144" s="2"/>
      <c r="T144" s="2">
        <v>3392.76</v>
      </c>
      <c r="U144" s="2"/>
      <c r="V144" s="19">
        <f t="shared" si="28"/>
        <v>2.3877549662257332E-4</v>
      </c>
      <c r="W144" s="2"/>
      <c r="X144" s="2">
        <f t="shared" si="29"/>
        <v>27521.899999999994</v>
      </c>
      <c r="Y144" s="2"/>
      <c r="Z144" s="19">
        <f t="shared" si="30"/>
        <v>8.1119501526780535</v>
      </c>
    </row>
    <row r="145" spans="1:26" s="24" customFormat="1" hidden="1" outlineLevel="1" x14ac:dyDescent="0.25">
      <c r="A145" s="44"/>
      <c r="B145" s="11" t="str">
        <f>CONCATENATE("          ", "5044", " - ", "PURCHASES @ COST-ACCESSORIES")</f>
        <v xml:space="preserve">          5044 - PURCHASES @ COST-ACCESSORIES</v>
      </c>
      <c r="C145" s="11"/>
      <c r="D145" s="2">
        <v>1395</v>
      </c>
      <c r="E145" s="2"/>
      <c r="F145" s="19">
        <f t="shared" si="23"/>
        <v>5.290933248182814E-3</v>
      </c>
      <c r="G145" s="2"/>
      <c r="H145" s="2">
        <v>4064.02</v>
      </c>
      <c r="I145" s="2"/>
      <c r="J145" s="19">
        <f t="shared" si="24"/>
        <v>4.0749859093315889E-3</v>
      </c>
      <c r="K145" s="2"/>
      <c r="L145" s="2">
        <f t="shared" si="25"/>
        <v>-2669.02</v>
      </c>
      <c r="M145" s="2"/>
      <c r="N145" s="19">
        <f t="shared" si="26"/>
        <v>-0.65674381523712977</v>
      </c>
      <c r="O145" s="11"/>
      <c r="P145" s="2">
        <v>37869.03</v>
      </c>
      <c r="Q145" s="2"/>
      <c r="R145" s="19">
        <f t="shared" si="27"/>
        <v>3.3243630701765121E-3</v>
      </c>
      <c r="S145" s="2"/>
      <c r="T145" s="2">
        <v>38291.129999999997</v>
      </c>
      <c r="U145" s="2"/>
      <c r="V145" s="19">
        <f t="shared" si="28"/>
        <v>2.6948512662226371E-3</v>
      </c>
      <c r="W145" s="2"/>
      <c r="X145" s="2">
        <f t="shared" si="29"/>
        <v>-422.09999999999854</v>
      </c>
      <c r="Y145" s="2"/>
      <c r="Z145" s="19">
        <f t="shared" si="30"/>
        <v>-1.1023440676731101E-2</v>
      </c>
    </row>
    <row r="146" spans="1:26" s="24" customFormat="1" hidden="1" outlineLevel="1" x14ac:dyDescent="0.25">
      <c r="A146" s="44"/>
      <c r="B146" s="11" t="str">
        <f>CONCATENATE("          ", "5045", " - ", "PURCHASES @ COST-SPECIAL ORDER")</f>
        <v xml:space="preserve">          5045 - PURCHASES @ COST-SPECIAL ORDER</v>
      </c>
      <c r="C146" s="11"/>
      <c r="D146" s="2">
        <v>16919.25</v>
      </c>
      <c r="E146" s="2"/>
      <c r="F146" s="19">
        <f t="shared" si="23"/>
        <v>6.4171055454707582E-2</v>
      </c>
      <c r="G146" s="2"/>
      <c r="H146" s="2">
        <v>21957.99</v>
      </c>
      <c r="I146" s="2"/>
      <c r="J146" s="19">
        <f t="shared" si="24"/>
        <v>2.2017239050802884E-2</v>
      </c>
      <c r="K146" s="2"/>
      <c r="L146" s="2">
        <f t="shared" si="25"/>
        <v>-5038.7400000000016</v>
      </c>
      <c r="M146" s="2"/>
      <c r="N146" s="19">
        <f t="shared" si="26"/>
        <v>-0.22947182324065185</v>
      </c>
      <c r="O146" s="11"/>
      <c r="P146" s="2">
        <v>78842.399999999994</v>
      </c>
      <c r="Q146" s="2"/>
      <c r="R146" s="19">
        <f t="shared" si="27"/>
        <v>6.9212431087906038E-3</v>
      </c>
      <c r="S146" s="2"/>
      <c r="T146" s="2">
        <v>121594.93999999999</v>
      </c>
      <c r="U146" s="2"/>
      <c r="V146" s="19">
        <f t="shared" si="28"/>
        <v>8.5576027143953598E-3</v>
      </c>
      <c r="W146" s="2"/>
      <c r="X146" s="2">
        <f t="shared" si="29"/>
        <v>-42752.539999999994</v>
      </c>
      <c r="Y146" s="2"/>
      <c r="Z146" s="19">
        <f t="shared" si="30"/>
        <v>-0.35159801879913749</v>
      </c>
    </row>
    <row r="147" spans="1:26" s="24" customFormat="1" hidden="1" outlineLevel="1" x14ac:dyDescent="0.25">
      <c r="A147" s="44"/>
      <c r="B147" s="11" t="str">
        <f>CONCATENATE("          ", "5053", " - ", "PURCHASES @ COST-FOOD")</f>
        <v xml:space="preserve">          5053 - PURCHASES @ COST-FOOD</v>
      </c>
      <c r="C147" s="11"/>
      <c r="D147" s="2">
        <v>-1756.38</v>
      </c>
      <c r="E147" s="2"/>
      <c r="F147" s="19">
        <f t="shared" si="23"/>
        <v>-6.6615694182389469E-3</v>
      </c>
      <c r="G147" s="2"/>
      <c r="H147" s="2">
        <v>64337.970000000008</v>
      </c>
      <c r="I147" s="2"/>
      <c r="J147" s="19">
        <f t="shared" si="24"/>
        <v>6.4511572577152301E-2</v>
      </c>
      <c r="K147" s="2"/>
      <c r="L147" s="2">
        <f t="shared" si="25"/>
        <v>-66094.350000000006</v>
      </c>
      <c r="M147" s="2"/>
      <c r="N147" s="19">
        <f t="shared" si="26"/>
        <v>-1.027299275995186</v>
      </c>
      <c r="O147" s="11"/>
      <c r="P147" s="2">
        <v>1158504.04</v>
      </c>
      <c r="Q147" s="2"/>
      <c r="R147" s="19">
        <f t="shared" si="27"/>
        <v>0.10170020323272852</v>
      </c>
      <c r="S147" s="2"/>
      <c r="T147" s="2">
        <v>1356274.99</v>
      </c>
      <c r="U147" s="2"/>
      <c r="V147" s="19">
        <f t="shared" si="28"/>
        <v>9.545185462397153E-2</v>
      </c>
      <c r="W147" s="2"/>
      <c r="X147" s="2">
        <f t="shared" si="29"/>
        <v>-197770.94999999995</v>
      </c>
      <c r="Y147" s="2"/>
      <c r="Z147" s="19">
        <f t="shared" si="30"/>
        <v>-0.14581921178093829</v>
      </c>
    </row>
    <row r="148" spans="1:26" s="24" customFormat="1" hidden="1" outlineLevel="1" x14ac:dyDescent="0.25">
      <c r="A148" s="44"/>
      <c r="B148" s="11" t="str">
        <f>CONCATENATE("          ", "5059", " - ", "PURCHASES @ COST-FOOD")</f>
        <v xml:space="preserve">          5059 - PURCHASES @ COST-FOOD</v>
      </c>
      <c r="C148" s="11"/>
      <c r="D148" s="2"/>
      <c r="E148" s="2"/>
      <c r="F148" s="19">
        <f t="shared" si="23"/>
        <v>0</v>
      </c>
      <c r="G148" s="2"/>
      <c r="H148" s="2">
        <v>41277.049999999996</v>
      </c>
      <c r="I148" s="2"/>
      <c r="J148" s="19">
        <f t="shared" si="24"/>
        <v>4.1388427500055468E-2</v>
      </c>
      <c r="K148" s="2"/>
      <c r="L148" s="2">
        <f t="shared" si="25"/>
        <v>-41277.049999999996</v>
      </c>
      <c r="M148" s="2"/>
      <c r="N148" s="19">
        <f t="shared" si="26"/>
        <v>-1</v>
      </c>
      <c r="O148" s="11"/>
      <c r="P148" s="2">
        <v>73826.8</v>
      </c>
      <c r="Q148" s="2"/>
      <c r="R148" s="19">
        <f t="shared" si="27"/>
        <v>6.4809446534359961E-3</v>
      </c>
      <c r="S148" s="2"/>
      <c r="T148" s="2">
        <v>62047.19</v>
      </c>
      <c r="U148" s="2"/>
      <c r="V148" s="19">
        <f t="shared" si="28"/>
        <v>4.3667540899695722E-3</v>
      </c>
      <c r="W148" s="2"/>
      <c r="X148" s="2">
        <f t="shared" si="29"/>
        <v>11779.61</v>
      </c>
      <c r="Y148" s="2"/>
      <c r="Z148" s="19">
        <f t="shared" si="30"/>
        <v>0.18984920993198887</v>
      </c>
    </row>
    <row r="149" spans="1:26" s="24" customFormat="1" hidden="1" outlineLevel="1" x14ac:dyDescent="0.25">
      <c r="A149" s="44"/>
      <c r="B149" s="11" t="str">
        <f>CONCATENATE("          ", "5081", " - ", "PURCHASES @ COST-ELECTRONICS")</f>
        <v xml:space="preserve">          5081 - PURCHASES @ COST-ELECTRONICS</v>
      </c>
      <c r="C149" s="11"/>
      <c r="D149" s="2"/>
      <c r="E149" s="2"/>
      <c r="F149" s="19">
        <f t="shared" si="23"/>
        <v>0</v>
      </c>
      <c r="G149" s="2"/>
      <c r="H149" s="2">
        <v>127.78</v>
      </c>
      <c r="I149" s="2"/>
      <c r="J149" s="19">
        <f t="shared" si="24"/>
        <v>1.2812478764730252E-4</v>
      </c>
      <c r="K149" s="2"/>
      <c r="L149" s="2">
        <f t="shared" si="25"/>
        <v>-127.78</v>
      </c>
      <c r="M149" s="2"/>
      <c r="N149" s="19">
        <f t="shared" si="26"/>
        <v>-1</v>
      </c>
      <c r="O149" s="11"/>
      <c r="P149" s="2">
        <v>2008.03</v>
      </c>
      <c r="Q149" s="2"/>
      <c r="R149" s="19">
        <f t="shared" si="27"/>
        <v>1.7627651872272783E-4</v>
      </c>
      <c r="S149" s="2"/>
      <c r="T149" s="2">
        <v>2682.64</v>
      </c>
      <c r="U149" s="2"/>
      <c r="V149" s="19">
        <f t="shared" si="28"/>
        <v>1.8879870614472584E-4</v>
      </c>
      <c r="W149" s="2"/>
      <c r="X149" s="2">
        <f t="shared" si="29"/>
        <v>-674.6099999999999</v>
      </c>
      <c r="Y149" s="2"/>
      <c r="Z149" s="19">
        <f t="shared" si="30"/>
        <v>-0.25147243014344078</v>
      </c>
    </row>
    <row r="150" spans="1:26" s="24" customFormat="1" hidden="1" outlineLevel="1" x14ac:dyDescent="0.25">
      <c r="A150" s="44"/>
      <c r="B150" s="11" t="str">
        <f>CONCATENATE("          ", "5082", " - ", "PURCHASES @ COST-COMPUTER HARD")</f>
        <v xml:space="preserve">          5082 - PURCHASES @ COST-COMPUTER HARD</v>
      </c>
      <c r="C150" s="11"/>
      <c r="D150" s="2"/>
      <c r="E150" s="2"/>
      <c r="F150" s="19">
        <f t="shared" si="23"/>
        <v>0</v>
      </c>
      <c r="G150" s="2"/>
      <c r="H150" s="2"/>
      <c r="I150" s="2"/>
      <c r="J150" s="19">
        <f t="shared" si="24"/>
        <v>0</v>
      </c>
      <c r="K150" s="2"/>
      <c r="L150" s="2">
        <f t="shared" si="25"/>
        <v>0</v>
      </c>
      <c r="M150" s="2"/>
      <c r="N150" s="19">
        <f t="shared" si="26"/>
        <v>0</v>
      </c>
      <c r="O150" s="11"/>
      <c r="P150" s="2">
        <v>349.6</v>
      </c>
      <c r="Q150" s="2"/>
      <c r="R150" s="19">
        <f t="shared" si="27"/>
        <v>3.0689915462152282E-5</v>
      </c>
      <c r="S150" s="2"/>
      <c r="T150" s="2">
        <v>1118</v>
      </c>
      <c r="U150" s="2"/>
      <c r="V150" s="19">
        <f t="shared" si="28"/>
        <v>7.8682549082174087E-5</v>
      </c>
      <c r="W150" s="2"/>
      <c r="X150" s="2">
        <f t="shared" si="29"/>
        <v>-768.4</v>
      </c>
      <c r="Y150" s="2"/>
      <c r="Z150" s="19">
        <f t="shared" si="30"/>
        <v>-0.68729874776386402</v>
      </c>
    </row>
    <row r="151" spans="1:26" s="24" customFormat="1" hidden="1" outlineLevel="1" x14ac:dyDescent="0.25">
      <c r="A151" s="44"/>
      <c r="B151" s="11" t="str">
        <f>CONCATENATE("          ", "5083", " - ", "PURCHASES @ COST-COMPUTER EQUI")</f>
        <v xml:space="preserve">          5083 - PURCHASES @ COST-COMPUTER EQUI</v>
      </c>
      <c r="C151" s="11"/>
      <c r="D151" s="2"/>
      <c r="E151" s="2"/>
      <c r="F151" s="19">
        <f t="shared" si="23"/>
        <v>0</v>
      </c>
      <c r="G151" s="2"/>
      <c r="H151" s="2">
        <v>-72.8</v>
      </c>
      <c r="I151" s="2"/>
      <c r="J151" s="19">
        <f t="shared" si="24"/>
        <v>-7.2996435598087525E-5</v>
      </c>
      <c r="K151" s="2"/>
      <c r="L151" s="2">
        <f t="shared" si="25"/>
        <v>72.8</v>
      </c>
      <c r="M151" s="2"/>
      <c r="N151" s="19">
        <f t="shared" si="26"/>
        <v>-1</v>
      </c>
      <c r="O151" s="11"/>
      <c r="P151" s="2">
        <v>395.06</v>
      </c>
      <c r="Q151" s="2"/>
      <c r="R151" s="19">
        <f t="shared" si="27"/>
        <v>3.4680657901824606E-5</v>
      </c>
      <c r="S151" s="2"/>
      <c r="T151" s="2">
        <v>653.19000000000005</v>
      </c>
      <c r="U151" s="2"/>
      <c r="V151" s="19">
        <f t="shared" si="28"/>
        <v>4.5970173734333894E-5</v>
      </c>
      <c r="W151" s="2"/>
      <c r="X151" s="2">
        <f t="shared" si="29"/>
        <v>-258.13000000000005</v>
      </c>
      <c r="Y151" s="2"/>
      <c r="Z151" s="19">
        <f t="shared" si="30"/>
        <v>-0.39518363722653443</v>
      </c>
    </row>
    <row r="152" spans="1:26" s="24" customFormat="1" hidden="1" outlineLevel="1" x14ac:dyDescent="0.25">
      <c r="A152" s="44"/>
      <c r="B152" s="11" t="str">
        <f>CONCATENATE("          ", "5086", " - ", "PURCHASES @ COST-COMPUTER SUPP")</f>
        <v xml:space="preserve">          5086 - PURCHASES @ COST-COMPUTER SUPP</v>
      </c>
      <c r="C152" s="11"/>
      <c r="D152" s="2"/>
      <c r="E152" s="2"/>
      <c r="F152" s="19">
        <f t="shared" si="23"/>
        <v>0</v>
      </c>
      <c r="G152" s="2"/>
      <c r="H152" s="2"/>
      <c r="I152" s="2"/>
      <c r="J152" s="19">
        <f t="shared" si="24"/>
        <v>0</v>
      </c>
      <c r="K152" s="2"/>
      <c r="L152" s="2">
        <f t="shared" si="25"/>
        <v>0</v>
      </c>
      <c r="M152" s="2"/>
      <c r="N152" s="19">
        <f t="shared" si="26"/>
        <v>0</v>
      </c>
      <c r="O152" s="11"/>
      <c r="P152" s="2">
        <v>426.22</v>
      </c>
      <c r="Q152" s="2"/>
      <c r="R152" s="19">
        <f t="shared" si="27"/>
        <v>3.7416063410407746E-5</v>
      </c>
      <c r="S152" s="2"/>
      <c r="T152" s="2">
        <v>971.76</v>
      </c>
      <c r="U152" s="2"/>
      <c r="V152" s="19">
        <f t="shared" si="28"/>
        <v>6.8390477545700792E-5</v>
      </c>
      <c r="W152" s="2"/>
      <c r="X152" s="2">
        <f t="shared" si="29"/>
        <v>-545.54</v>
      </c>
      <c r="Y152" s="2"/>
      <c r="Z152" s="19">
        <f t="shared" si="30"/>
        <v>-0.56139375977607642</v>
      </c>
    </row>
    <row r="153" spans="1:26" s="24" customFormat="1" hidden="1" outlineLevel="1" x14ac:dyDescent="0.25">
      <c r="A153" s="44"/>
      <c r="B153" s="11" t="str">
        <f>CONCATENATE("          ", "5092", " - ", "PURCHASES @ COST-GRAD MERCH")</f>
        <v xml:space="preserve">          5092 - PURCHASES @ COST-GRAD MERCH</v>
      </c>
      <c r="C153" s="11"/>
      <c r="D153" s="2">
        <v>-3999.6</v>
      </c>
      <c r="E153" s="2"/>
      <c r="F153" s="19">
        <f t="shared" si="23"/>
        <v>-1.5169617648338338E-2</v>
      </c>
      <c r="G153" s="2"/>
      <c r="H153" s="2">
        <v>-10772.4</v>
      </c>
      <c r="I153" s="2"/>
      <c r="J153" s="19">
        <f t="shared" si="24"/>
        <v>-1.0801467071934589E-2</v>
      </c>
      <c r="K153" s="2"/>
      <c r="L153" s="2">
        <f t="shared" si="25"/>
        <v>6772.7999999999993</v>
      </c>
      <c r="M153" s="2"/>
      <c r="N153" s="19">
        <f t="shared" si="26"/>
        <v>-0.62871783446585716</v>
      </c>
      <c r="O153" s="11"/>
      <c r="P153" s="2">
        <v>4485.88</v>
      </c>
      <c r="Q153" s="2"/>
      <c r="R153" s="19">
        <f t="shared" si="27"/>
        <v>3.9379656170869477E-4</v>
      </c>
      <c r="S153" s="2"/>
      <c r="T153" s="2">
        <v>24835.06</v>
      </c>
      <c r="U153" s="2"/>
      <c r="V153" s="19">
        <f t="shared" si="28"/>
        <v>1.7478406327448466E-3</v>
      </c>
      <c r="W153" s="2"/>
      <c r="X153" s="2">
        <f t="shared" si="29"/>
        <v>-20349.18</v>
      </c>
      <c r="Y153" s="2"/>
      <c r="Z153" s="19">
        <f t="shared" si="30"/>
        <v>-0.81937309593775898</v>
      </c>
    </row>
    <row r="154" spans="1:26" s="24" customFormat="1" hidden="1" outlineLevel="1" x14ac:dyDescent="0.25">
      <c r="A154" s="44"/>
      <c r="B154" s="11" t="str">
        <f>CONCATENATE("          ", "5095", " - ", "PURCHASES @ COST-CUSTOMER SERV")</f>
        <v xml:space="preserve">          5095 - PURCHASES @ COST-CUSTOMER SERV</v>
      </c>
      <c r="C154" s="11"/>
      <c r="D154" s="2"/>
      <c r="E154" s="2"/>
      <c r="F154" s="19">
        <f t="shared" si="23"/>
        <v>0</v>
      </c>
      <c r="G154" s="2"/>
      <c r="H154" s="2">
        <v>0</v>
      </c>
      <c r="I154" s="2"/>
      <c r="J154" s="19">
        <f t="shared" si="24"/>
        <v>0</v>
      </c>
      <c r="K154" s="2"/>
      <c r="L154" s="2">
        <f t="shared" si="25"/>
        <v>0</v>
      </c>
      <c r="M154" s="2"/>
      <c r="N154" s="19">
        <f t="shared" si="26"/>
        <v>0</v>
      </c>
      <c r="O154" s="11"/>
      <c r="P154" s="2">
        <v>0</v>
      </c>
      <c r="Q154" s="2"/>
      <c r="R154" s="19">
        <f t="shared" si="27"/>
        <v>0</v>
      </c>
      <c r="S154" s="2"/>
      <c r="T154" s="2">
        <v>0</v>
      </c>
      <c r="U154" s="2"/>
      <c r="V154" s="19">
        <f t="shared" si="28"/>
        <v>0</v>
      </c>
      <c r="W154" s="2"/>
      <c r="X154" s="2">
        <f t="shared" si="29"/>
        <v>0</v>
      </c>
      <c r="Y154" s="2"/>
      <c r="Z154" s="19">
        <f t="shared" si="30"/>
        <v>0</v>
      </c>
    </row>
    <row r="155" spans="1:26" s="24" customFormat="1" hidden="1" outlineLevel="1" x14ac:dyDescent="0.25">
      <c r="A155" s="44"/>
      <c r="B155" s="11" t="str">
        <f>CONCATENATE("          ", "5200", " - ", "PURCHASES OFFSET")</f>
        <v xml:space="preserve">          5200 - PURCHASES OFFSET</v>
      </c>
      <c r="C155" s="11"/>
      <c r="D155" s="2">
        <v>-56682</v>
      </c>
      <c r="E155" s="2"/>
      <c r="F155" s="19">
        <f t="shared" si="23"/>
        <v>-0.21498256514229266</v>
      </c>
      <c r="G155" s="2"/>
      <c r="H155" s="2">
        <v>-231043</v>
      </c>
      <c r="I155" s="2"/>
      <c r="J155" s="19">
        <f t="shared" si="24"/>
        <v>-0.23166642128968318</v>
      </c>
      <c r="K155" s="2"/>
      <c r="L155" s="2">
        <f t="shared" si="25"/>
        <v>174361</v>
      </c>
      <c r="M155" s="2"/>
      <c r="N155" s="19">
        <f t="shared" si="26"/>
        <v>-0.75466904429045678</v>
      </c>
      <c r="O155" s="11"/>
      <c r="P155" s="2">
        <v>-3474853</v>
      </c>
      <c r="Q155" s="2"/>
      <c r="R155" s="19">
        <f t="shared" si="27"/>
        <v>-0.30504274832210027</v>
      </c>
      <c r="S155" s="2"/>
      <c r="T155" s="2">
        <v>-4134069</v>
      </c>
      <c r="U155" s="2"/>
      <c r="V155" s="19">
        <f t="shared" si="28"/>
        <v>-0.29094730501037064</v>
      </c>
      <c r="W155" s="2"/>
      <c r="X155" s="2">
        <f t="shared" si="29"/>
        <v>659216</v>
      </c>
      <c r="Y155" s="2"/>
      <c r="Z155" s="19">
        <f t="shared" si="30"/>
        <v>-0.1594593607411971</v>
      </c>
    </row>
    <row r="156" spans="1:26" s="24" customFormat="1" hidden="1" outlineLevel="1" x14ac:dyDescent="0.25">
      <c r="A156" s="44"/>
      <c r="B156" s="11" t="str">
        <f>CONCATENATE("          ", "5300", " - ", "COG$ OFFSET")</f>
        <v xml:space="preserve">          5300 - COG$ OFFSET</v>
      </c>
      <c r="C156" s="11"/>
      <c r="D156" s="2">
        <v>148333</v>
      </c>
      <c r="E156" s="2"/>
      <c r="F156" s="19">
        <f t="shared" si="23"/>
        <v>0.56259498315605827</v>
      </c>
      <c r="G156" s="2"/>
      <c r="H156" s="2">
        <v>357713</v>
      </c>
      <c r="I156" s="2"/>
      <c r="J156" s="19">
        <f t="shared" si="24"/>
        <v>0.35867821383377313</v>
      </c>
      <c r="K156" s="2"/>
      <c r="L156" s="2">
        <f t="shared" si="25"/>
        <v>-209380</v>
      </c>
      <c r="M156" s="2"/>
      <c r="N156" s="19">
        <f t="shared" si="26"/>
        <v>-0.58532957985871359</v>
      </c>
      <c r="O156" s="11"/>
      <c r="P156" s="2">
        <v>4035934.47</v>
      </c>
      <c r="Q156" s="2"/>
      <c r="R156" s="19">
        <f t="shared" si="27"/>
        <v>0.35429773368159723</v>
      </c>
      <c r="S156" s="2"/>
      <c r="T156" s="2">
        <v>4954138</v>
      </c>
      <c r="U156" s="2"/>
      <c r="V156" s="19">
        <f t="shared" si="28"/>
        <v>0.34866208080935934</v>
      </c>
      <c r="W156" s="2"/>
      <c r="X156" s="2">
        <f t="shared" si="29"/>
        <v>-918203.5299999998</v>
      </c>
      <c r="Y156" s="2"/>
      <c r="Z156" s="19">
        <f t="shared" si="30"/>
        <v>-0.1853407252684523</v>
      </c>
    </row>
    <row r="157" spans="1:26" s="24" customFormat="1" hidden="1" outlineLevel="1" x14ac:dyDescent="0.25">
      <c r="A157" s="44"/>
      <c r="B157" s="11" t="str">
        <f>CONCATENATE("          ", "5500", " - ", "FREIGHT-IN")</f>
        <v xml:space="preserve">          5500 - FREIGHT-IN</v>
      </c>
      <c r="C157" s="11"/>
      <c r="D157" s="2"/>
      <c r="E157" s="2"/>
      <c r="F157" s="19">
        <f t="shared" si="23"/>
        <v>0</v>
      </c>
      <c r="G157" s="2"/>
      <c r="H157" s="2">
        <v>14.08</v>
      </c>
      <c r="I157" s="2"/>
      <c r="J157" s="19">
        <f t="shared" si="24"/>
        <v>1.4117991939849894E-5</v>
      </c>
      <c r="K157" s="2"/>
      <c r="L157" s="2">
        <f t="shared" si="25"/>
        <v>-14.08</v>
      </c>
      <c r="M157" s="2"/>
      <c r="N157" s="19">
        <f t="shared" si="26"/>
        <v>-1</v>
      </c>
      <c r="O157" s="11"/>
      <c r="P157" s="2">
        <v>156.47999999999999</v>
      </c>
      <c r="Q157" s="2"/>
      <c r="R157" s="19">
        <f t="shared" si="27"/>
        <v>1.3736721886491959E-5</v>
      </c>
      <c r="S157" s="2"/>
      <c r="T157" s="2">
        <v>188.91</v>
      </c>
      <c r="U157" s="2"/>
      <c r="V157" s="19">
        <f t="shared" si="28"/>
        <v>1.3295098700459309E-5</v>
      </c>
      <c r="W157" s="2"/>
      <c r="X157" s="2">
        <f t="shared" si="29"/>
        <v>-32.430000000000007</v>
      </c>
      <c r="Y157" s="2"/>
      <c r="Z157" s="19">
        <f t="shared" si="30"/>
        <v>-0.17166904875337466</v>
      </c>
    </row>
    <row r="158" spans="1:26" s="24" customFormat="1" hidden="1" outlineLevel="1" x14ac:dyDescent="0.25">
      <c r="A158" s="44"/>
      <c r="B158" s="11" t="str">
        <f>CONCATENATE("          ", "5501", " - ", "FREIGHT-IN-NEW TEXT")</f>
        <v xml:space="preserve">          5501 - FREIGHT-IN-NEW TEXT</v>
      </c>
      <c r="C158" s="11"/>
      <c r="D158" s="2">
        <v>-21.22</v>
      </c>
      <c r="E158" s="2"/>
      <c r="F158" s="19">
        <f t="shared" si="23"/>
        <v>-8.0482869911426022E-5</v>
      </c>
      <c r="G158" s="2"/>
      <c r="H158" s="2">
        <v>1437.4</v>
      </c>
      <c r="I158" s="2"/>
      <c r="J158" s="19">
        <f t="shared" si="24"/>
        <v>1.4412785237457556E-3</v>
      </c>
      <c r="K158" s="2"/>
      <c r="L158" s="2">
        <f t="shared" si="25"/>
        <v>-1458.6200000000001</v>
      </c>
      <c r="M158" s="2"/>
      <c r="N158" s="19">
        <f t="shared" si="26"/>
        <v>-1.0147627661054681</v>
      </c>
      <c r="O158" s="11"/>
      <c r="P158" s="2">
        <v>69747.73000000001</v>
      </c>
      <c r="Q158" s="2"/>
      <c r="R158" s="19">
        <f t="shared" si="27"/>
        <v>6.1228602327718052E-3</v>
      </c>
      <c r="S158" s="2"/>
      <c r="T158" s="2">
        <v>64203.939999999995</v>
      </c>
      <c r="U158" s="2"/>
      <c r="V158" s="19">
        <f t="shared" si="28"/>
        <v>4.5185417355267975E-3</v>
      </c>
      <c r="W158" s="2"/>
      <c r="X158" s="2">
        <f t="shared" si="29"/>
        <v>5543.7900000000154</v>
      </c>
      <c r="Y158" s="2"/>
      <c r="Z158" s="19">
        <f t="shared" si="30"/>
        <v>8.6346570008009105E-2</v>
      </c>
    </row>
    <row r="159" spans="1:26" s="24" customFormat="1" hidden="1" outlineLevel="1" x14ac:dyDescent="0.25">
      <c r="A159" s="44"/>
      <c r="B159" s="11" t="str">
        <f>CONCATENATE("          ", "5502", " - ", "FREIGHT-IN-USED TEXT")</f>
        <v xml:space="preserve">          5502 - FREIGHT-IN-USED TEXT</v>
      </c>
      <c r="C159" s="11"/>
      <c r="D159" s="2">
        <v>379.42</v>
      </c>
      <c r="E159" s="2"/>
      <c r="F159" s="19">
        <f t="shared" si="23"/>
        <v>1.4390579878319164E-3</v>
      </c>
      <c r="G159" s="2"/>
      <c r="H159" s="2">
        <v>306.19</v>
      </c>
      <c r="I159" s="2"/>
      <c r="J159" s="19">
        <f t="shared" si="24"/>
        <v>3.0701618977717609E-4</v>
      </c>
      <c r="K159" s="2"/>
      <c r="L159" s="2">
        <f t="shared" si="25"/>
        <v>73.230000000000018</v>
      </c>
      <c r="M159" s="2"/>
      <c r="N159" s="19">
        <f t="shared" si="26"/>
        <v>0.23916522420719166</v>
      </c>
      <c r="O159" s="11"/>
      <c r="P159" s="2">
        <v>15680.76</v>
      </c>
      <c r="Q159" s="2"/>
      <c r="R159" s="19">
        <f t="shared" si="27"/>
        <v>1.3765480514367821E-3</v>
      </c>
      <c r="S159" s="2"/>
      <c r="T159" s="2">
        <v>14043.29</v>
      </c>
      <c r="U159" s="2"/>
      <c r="V159" s="19">
        <f t="shared" si="28"/>
        <v>9.883379737926697E-4</v>
      </c>
      <c r="W159" s="2"/>
      <c r="X159" s="2">
        <f t="shared" si="29"/>
        <v>1637.4699999999993</v>
      </c>
      <c r="Y159" s="2"/>
      <c r="Z159" s="19">
        <f t="shared" si="30"/>
        <v>0.11660159407090498</v>
      </c>
    </row>
    <row r="160" spans="1:26" s="24" customFormat="1" hidden="1" outlineLevel="1" x14ac:dyDescent="0.25">
      <c r="A160" s="44"/>
      <c r="B160" s="11" t="str">
        <f>CONCATENATE("          ", "5504", " - ", "FREIGHT-IN-DIGITAL TEXT")</f>
        <v xml:space="preserve">          5504 - FREIGHT-IN-DIGITAL TEXT</v>
      </c>
      <c r="C160" s="11"/>
      <c r="D160" s="2"/>
      <c r="E160" s="2"/>
      <c r="F160" s="19">
        <f t="shared" si="23"/>
        <v>0</v>
      </c>
      <c r="G160" s="2"/>
      <c r="H160" s="2"/>
      <c r="I160" s="2"/>
      <c r="J160" s="19">
        <f t="shared" si="24"/>
        <v>0</v>
      </c>
      <c r="K160" s="2"/>
      <c r="L160" s="2">
        <f t="shared" si="25"/>
        <v>0</v>
      </c>
      <c r="M160" s="2"/>
      <c r="N160" s="19">
        <f t="shared" si="26"/>
        <v>0</v>
      </c>
      <c r="O160" s="11"/>
      <c r="P160" s="2">
        <v>118.75</v>
      </c>
      <c r="Q160" s="2"/>
      <c r="R160" s="19">
        <f t="shared" si="27"/>
        <v>1.0424563676002813E-5</v>
      </c>
      <c r="S160" s="2"/>
      <c r="T160" s="2">
        <v>243.53</v>
      </c>
      <c r="U160" s="2"/>
      <c r="V160" s="19">
        <f t="shared" si="28"/>
        <v>1.7139142377443521E-5</v>
      </c>
      <c r="W160" s="2"/>
      <c r="X160" s="2">
        <f t="shared" si="29"/>
        <v>-124.78</v>
      </c>
      <c r="Y160" s="2"/>
      <c r="Z160" s="19">
        <f t="shared" si="30"/>
        <v>-0.5123804048782491</v>
      </c>
    </row>
    <row r="161" spans="1:26" s="24" customFormat="1" hidden="1" outlineLevel="1" x14ac:dyDescent="0.25">
      <c r="A161" s="44"/>
      <c r="B161" s="11" t="str">
        <f>CONCATENATE("          ", "5513", " - ", "FREIGHT-IN-TRADE BOOKS")</f>
        <v xml:space="preserve">          5513 - FREIGHT-IN-TRADE BOOKS</v>
      </c>
      <c r="C161" s="11"/>
      <c r="D161" s="2"/>
      <c r="E161" s="2"/>
      <c r="F161" s="19">
        <f t="shared" si="23"/>
        <v>0</v>
      </c>
      <c r="G161" s="2"/>
      <c r="H161" s="2"/>
      <c r="I161" s="2"/>
      <c r="J161" s="19">
        <f t="shared" si="24"/>
        <v>0</v>
      </c>
      <c r="K161" s="2"/>
      <c r="L161" s="2">
        <f t="shared" si="25"/>
        <v>0</v>
      </c>
      <c r="M161" s="2"/>
      <c r="N161" s="19">
        <f t="shared" si="26"/>
        <v>0</v>
      </c>
      <c r="O161" s="11"/>
      <c r="P161" s="2">
        <v>30.24</v>
      </c>
      <c r="Q161" s="2"/>
      <c r="R161" s="19">
        <f t="shared" si="27"/>
        <v>2.6546425731564217E-6</v>
      </c>
      <c r="S161" s="2"/>
      <c r="T161" s="2">
        <v>54.9</v>
      </c>
      <c r="U161" s="2"/>
      <c r="V161" s="19">
        <f t="shared" si="28"/>
        <v>3.8637495032301944E-6</v>
      </c>
      <c r="W161" s="2"/>
      <c r="X161" s="2">
        <f t="shared" si="29"/>
        <v>-24.66</v>
      </c>
      <c r="Y161" s="2"/>
      <c r="Z161" s="19">
        <f t="shared" si="30"/>
        <v>-0.44918032786885248</v>
      </c>
    </row>
    <row r="162" spans="1:26" s="24" customFormat="1" hidden="1" outlineLevel="1" x14ac:dyDescent="0.25">
      <c r="A162" s="44"/>
      <c r="B162" s="11" t="str">
        <f>CONCATENATE("          ", "5518", " - ", "FREIGHT-IN-STUDY GUIDES")</f>
        <v xml:space="preserve">          5518 - FREIGHT-IN-STUDY GUIDES</v>
      </c>
      <c r="C162" s="11"/>
      <c r="D162" s="2"/>
      <c r="E162" s="2"/>
      <c r="F162" s="19">
        <f t="shared" si="23"/>
        <v>0</v>
      </c>
      <c r="G162" s="2"/>
      <c r="H162" s="2"/>
      <c r="I162" s="2"/>
      <c r="J162" s="19">
        <f t="shared" si="24"/>
        <v>0</v>
      </c>
      <c r="K162" s="2"/>
      <c r="L162" s="2">
        <f t="shared" si="25"/>
        <v>0</v>
      </c>
      <c r="M162" s="2"/>
      <c r="N162" s="19">
        <f t="shared" si="26"/>
        <v>0</v>
      </c>
      <c r="O162" s="11"/>
      <c r="P162" s="2">
        <v>21.13</v>
      </c>
      <c r="Q162" s="2"/>
      <c r="R162" s="19">
        <f t="shared" si="27"/>
        <v>1.8549139408331742E-6</v>
      </c>
      <c r="S162" s="2"/>
      <c r="T162" s="2"/>
      <c r="U162" s="2"/>
      <c r="V162" s="19">
        <f t="shared" si="28"/>
        <v>0</v>
      </c>
      <c r="W162" s="2"/>
      <c r="X162" s="2">
        <f t="shared" si="29"/>
        <v>21.13</v>
      </c>
      <c r="Y162" s="2"/>
      <c r="Z162" s="19">
        <f t="shared" si="30"/>
        <v>0</v>
      </c>
    </row>
    <row r="163" spans="1:26" s="24" customFormat="1" hidden="1" outlineLevel="1" x14ac:dyDescent="0.25">
      <c r="A163" s="44"/>
      <c r="B163" s="11" t="str">
        <f>CONCATENATE("          ", "5525", " - ", "FREIGHT-IN-TEST FORMS")</f>
        <v xml:space="preserve">          5525 - FREIGHT-IN-TEST FORMS</v>
      </c>
      <c r="C163" s="11"/>
      <c r="D163" s="2">
        <v>377.1</v>
      </c>
      <c r="E163" s="2"/>
      <c r="F163" s="19">
        <f t="shared" si="23"/>
        <v>1.430258729670064E-3</v>
      </c>
      <c r="G163" s="2"/>
      <c r="H163" s="2">
        <v>55.71</v>
      </c>
      <c r="I163" s="2"/>
      <c r="J163" s="19">
        <f t="shared" si="24"/>
        <v>5.5860321801778242E-5</v>
      </c>
      <c r="K163" s="2"/>
      <c r="L163" s="2">
        <f t="shared" si="25"/>
        <v>321.39000000000004</v>
      </c>
      <c r="M163" s="2"/>
      <c r="N163" s="19">
        <f t="shared" si="26"/>
        <v>5.7689822294022628</v>
      </c>
      <c r="O163" s="11"/>
      <c r="P163" s="2">
        <v>1614.32</v>
      </c>
      <c r="Q163" s="2"/>
      <c r="R163" s="19">
        <f t="shared" si="27"/>
        <v>1.41714371650062E-4</v>
      </c>
      <c r="S163" s="2"/>
      <c r="T163" s="2">
        <v>390.96</v>
      </c>
      <c r="U163" s="2"/>
      <c r="V163" s="19">
        <f t="shared" si="28"/>
        <v>2.7514963675462235E-5</v>
      </c>
      <c r="W163" s="2"/>
      <c r="X163" s="2">
        <f t="shared" si="29"/>
        <v>1223.3599999999999</v>
      </c>
      <c r="Y163" s="2"/>
      <c r="Z163" s="19">
        <f t="shared" si="30"/>
        <v>3.1291180683445874</v>
      </c>
    </row>
    <row r="164" spans="1:26" s="24" customFormat="1" hidden="1" outlineLevel="1" x14ac:dyDescent="0.25">
      <c r="A164" s="44"/>
      <c r="B164" s="11" t="str">
        <f>CONCATENATE("          ", "5526", " - ", "FREIGHT-IN-WRITING INSTRUMENTS")</f>
        <v xml:space="preserve">          5526 - FREIGHT-IN-WRITING INSTRUMENTS</v>
      </c>
      <c r="C164" s="11"/>
      <c r="D164" s="2">
        <v>14.15</v>
      </c>
      <c r="E164" s="2"/>
      <c r="F164" s="19">
        <f t="shared" si="23"/>
        <v>5.3667889219918869E-5</v>
      </c>
      <c r="G164" s="2"/>
      <c r="H164" s="2">
        <v>24.01</v>
      </c>
      <c r="I164" s="2"/>
      <c r="J164" s="19">
        <f t="shared" si="24"/>
        <v>2.4074785971292329E-5</v>
      </c>
      <c r="K164" s="2"/>
      <c r="L164" s="2">
        <f t="shared" si="25"/>
        <v>-9.8600000000000012</v>
      </c>
      <c r="M164" s="2"/>
      <c r="N164" s="19">
        <f t="shared" si="26"/>
        <v>-0.41066222407330283</v>
      </c>
      <c r="O164" s="11"/>
      <c r="P164" s="2">
        <v>274.5</v>
      </c>
      <c r="Q164" s="2"/>
      <c r="R164" s="19">
        <f t="shared" si="27"/>
        <v>2.4097201928949663E-5</v>
      </c>
      <c r="S164" s="2"/>
      <c r="T164" s="2">
        <v>256.12</v>
      </c>
      <c r="U164" s="2"/>
      <c r="V164" s="19">
        <f t="shared" si="28"/>
        <v>1.8025200779003962E-5</v>
      </c>
      <c r="W164" s="2"/>
      <c r="X164" s="2">
        <f t="shared" si="29"/>
        <v>18.379999999999995</v>
      </c>
      <c r="Y164" s="2"/>
      <c r="Z164" s="19">
        <f t="shared" si="30"/>
        <v>7.1763235983132889E-2</v>
      </c>
    </row>
    <row r="165" spans="1:26" s="24" customFormat="1" hidden="1" outlineLevel="1" x14ac:dyDescent="0.25">
      <c r="A165" s="44"/>
      <c r="B165" s="11" t="str">
        <f>CONCATENATE("          ", "5527", " - ", "FREIGHT-IN-SCHOOL SUPPLIES")</f>
        <v xml:space="preserve">          5527 - FREIGHT-IN-SCHOOL SUPPLIES</v>
      </c>
      <c r="C165" s="11"/>
      <c r="D165" s="2">
        <v>-250.91</v>
      </c>
      <c r="E165" s="2"/>
      <c r="F165" s="19">
        <f t="shared" si="23"/>
        <v>-9.5164735577172026E-4</v>
      </c>
      <c r="G165" s="2"/>
      <c r="H165" s="2">
        <v>150.80000000000001</v>
      </c>
      <c r="I165" s="2"/>
      <c r="J165" s="19">
        <f t="shared" si="24"/>
        <v>1.5120690231032417E-4</v>
      </c>
      <c r="K165" s="2"/>
      <c r="L165" s="2">
        <f t="shared" si="25"/>
        <v>-401.71000000000004</v>
      </c>
      <c r="M165" s="2"/>
      <c r="N165" s="19">
        <f t="shared" si="26"/>
        <v>-2.6638594164456233</v>
      </c>
      <c r="O165" s="11"/>
      <c r="P165" s="2">
        <v>1808</v>
      </c>
      <c r="Q165" s="2"/>
      <c r="R165" s="19">
        <f t="shared" si="27"/>
        <v>1.5871672527337336E-4</v>
      </c>
      <c r="S165" s="2"/>
      <c r="T165" s="2">
        <v>1912.08</v>
      </c>
      <c r="U165" s="2"/>
      <c r="V165" s="19">
        <f t="shared" si="28"/>
        <v>1.3456827231578123E-4</v>
      </c>
      <c r="W165" s="2"/>
      <c r="X165" s="2">
        <f t="shared" si="29"/>
        <v>-104.07999999999993</v>
      </c>
      <c r="Y165" s="2"/>
      <c r="Z165" s="19">
        <f t="shared" si="30"/>
        <v>-5.4432868917618477E-2</v>
      </c>
    </row>
    <row r="166" spans="1:26" s="24" customFormat="1" hidden="1" outlineLevel="1" x14ac:dyDescent="0.25">
      <c r="A166" s="44"/>
      <c r="B166" s="11" t="str">
        <f>CONCATENATE("          ", "5528", " - ", "FREIGHT-IN-ART/TECH")</f>
        <v xml:space="preserve">          5528 - FREIGHT-IN-ART/TECH</v>
      </c>
      <c r="C166" s="11"/>
      <c r="D166" s="2">
        <v>-19.75</v>
      </c>
      <c r="E166" s="2"/>
      <c r="F166" s="19">
        <f t="shared" si="23"/>
        <v>-7.4907477886459198E-5</v>
      </c>
      <c r="G166" s="2"/>
      <c r="H166" s="2">
        <v>59.75</v>
      </c>
      <c r="I166" s="2"/>
      <c r="J166" s="19">
        <f t="shared" si="24"/>
        <v>5.9911222898155624E-5</v>
      </c>
      <c r="K166" s="2"/>
      <c r="L166" s="2">
        <f t="shared" si="25"/>
        <v>-79.5</v>
      </c>
      <c r="M166" s="2"/>
      <c r="N166" s="19">
        <f t="shared" si="26"/>
        <v>-1.3305439330543933</v>
      </c>
      <c r="O166" s="11"/>
      <c r="P166" s="2">
        <v>2824.37</v>
      </c>
      <c r="Q166" s="2"/>
      <c r="R166" s="19">
        <f t="shared" si="27"/>
        <v>2.4793957818603846E-4</v>
      </c>
      <c r="S166" s="2"/>
      <c r="T166" s="2">
        <v>7553.59</v>
      </c>
      <c r="U166" s="2"/>
      <c r="V166" s="19">
        <f t="shared" si="28"/>
        <v>5.3160618597640377E-4</v>
      </c>
      <c r="W166" s="2"/>
      <c r="X166" s="2">
        <f t="shared" si="29"/>
        <v>-4729.22</v>
      </c>
      <c r="Y166" s="2"/>
      <c r="Z166" s="19">
        <f t="shared" si="30"/>
        <v>-0.62608905169594853</v>
      </c>
    </row>
    <row r="167" spans="1:26" s="24" customFormat="1" hidden="1" outlineLevel="1" x14ac:dyDescent="0.25">
      <c r="A167" s="44"/>
      <c r="B167" s="11" t="str">
        <f>CONCATENATE("          ", "5540", " - ", "FREIGHT-IN-LOGO CLOTHING")</f>
        <v xml:space="preserve">          5540 - FREIGHT-IN-LOGO CLOTHING</v>
      </c>
      <c r="C167" s="11"/>
      <c r="D167" s="2">
        <v>815.7</v>
      </c>
      <c r="E167" s="2"/>
      <c r="F167" s="19">
        <f t="shared" si="23"/>
        <v>3.0937736563030264E-3</v>
      </c>
      <c r="G167" s="2"/>
      <c r="H167" s="2">
        <v>872.01</v>
      </c>
      <c r="I167" s="2"/>
      <c r="J167" s="19">
        <f t="shared" si="24"/>
        <v>8.7436293689407008E-4</v>
      </c>
      <c r="K167" s="2"/>
      <c r="L167" s="2">
        <f t="shared" si="25"/>
        <v>-56.309999999999945</v>
      </c>
      <c r="M167" s="2"/>
      <c r="N167" s="19">
        <f t="shared" si="26"/>
        <v>-6.457494753500527E-2</v>
      </c>
      <c r="O167" s="11"/>
      <c r="P167" s="2">
        <v>32519</v>
      </c>
      <c r="Q167" s="2"/>
      <c r="R167" s="19">
        <f t="shared" si="27"/>
        <v>2.8547064099362991E-3</v>
      </c>
      <c r="S167" s="2"/>
      <c r="T167" s="2">
        <v>29895.85</v>
      </c>
      <c r="U167" s="2"/>
      <c r="V167" s="19">
        <f t="shared" si="28"/>
        <v>2.1040086627713006E-3</v>
      </c>
      <c r="W167" s="2"/>
      <c r="X167" s="2">
        <f t="shared" si="29"/>
        <v>2623.1500000000015</v>
      </c>
      <c r="Y167" s="2"/>
      <c r="Z167" s="19">
        <f t="shared" si="30"/>
        <v>8.7742947599750515E-2</v>
      </c>
    </row>
    <row r="168" spans="1:26" s="24" customFormat="1" hidden="1" outlineLevel="1" x14ac:dyDescent="0.25">
      <c r="A168" s="44"/>
      <c r="B168" s="11" t="str">
        <f>CONCATENATE("          ", "5541", " - ", "FREIGHT-IN-LOGO GIFTS")</f>
        <v xml:space="preserve">          5541 - FREIGHT-IN-LOGO GIFTS</v>
      </c>
      <c r="C168" s="11"/>
      <c r="D168" s="2">
        <v>343.16</v>
      </c>
      <c r="E168" s="2"/>
      <c r="F168" s="19">
        <f t="shared" si="23"/>
        <v>1.3015316512160677E-3</v>
      </c>
      <c r="G168" s="2"/>
      <c r="H168" s="2">
        <v>1280.73</v>
      </c>
      <c r="I168" s="2"/>
      <c r="J168" s="19">
        <f t="shared" si="24"/>
        <v>1.2841857824661901E-3</v>
      </c>
      <c r="K168" s="2"/>
      <c r="L168" s="2">
        <f t="shared" si="25"/>
        <v>-937.56999999999994</v>
      </c>
      <c r="M168" s="2"/>
      <c r="N168" s="19">
        <f t="shared" si="26"/>
        <v>-0.73205906006730526</v>
      </c>
      <c r="O168" s="11"/>
      <c r="P168" s="2">
        <v>5226.1000000000004</v>
      </c>
      <c r="Q168" s="2"/>
      <c r="R168" s="19">
        <f t="shared" si="27"/>
        <v>4.5877736612343837E-4</v>
      </c>
      <c r="S168" s="2"/>
      <c r="T168" s="2">
        <v>8765.51</v>
      </c>
      <c r="U168" s="2"/>
      <c r="V168" s="19">
        <f t="shared" si="28"/>
        <v>6.1689863220508749E-4</v>
      </c>
      <c r="W168" s="2"/>
      <c r="X168" s="2">
        <f t="shared" si="29"/>
        <v>-3539.41</v>
      </c>
      <c r="Y168" s="2"/>
      <c r="Z168" s="19">
        <f t="shared" si="30"/>
        <v>-0.40378825647338257</v>
      </c>
    </row>
    <row r="169" spans="1:26" s="24" customFormat="1" hidden="1" outlineLevel="1" x14ac:dyDescent="0.25">
      <c r="A169" s="44"/>
      <c r="B169" s="11" t="str">
        <f>CONCATENATE("          ", "5542", " - ", "FREIGHT-IN-EVERYDAY GIFTS")</f>
        <v xml:space="preserve">          5542 - FREIGHT-IN-EVERYDAY GIFTS</v>
      </c>
      <c r="C169" s="11"/>
      <c r="D169" s="2">
        <v>384.47</v>
      </c>
      <c r="E169" s="2"/>
      <c r="F169" s="19">
        <f t="shared" si="23"/>
        <v>1.4582115454687072E-3</v>
      </c>
      <c r="G169" s="2"/>
      <c r="H169" s="2">
        <v>383.05</v>
      </c>
      <c r="I169" s="2"/>
      <c r="J169" s="19">
        <f t="shared" si="24"/>
        <v>3.8408358043746466E-4</v>
      </c>
      <c r="K169" s="2"/>
      <c r="L169" s="2">
        <f t="shared" si="25"/>
        <v>1.4200000000000159</v>
      </c>
      <c r="M169" s="2"/>
      <c r="N169" s="19">
        <f t="shared" si="26"/>
        <v>3.7070878475395272E-3</v>
      </c>
      <c r="O169" s="11"/>
      <c r="P169" s="2">
        <v>2223.5100000000002</v>
      </c>
      <c r="Q169" s="2"/>
      <c r="R169" s="19">
        <f t="shared" si="27"/>
        <v>1.951926027724549E-4</v>
      </c>
      <c r="S169" s="2"/>
      <c r="T169" s="2">
        <v>1975.21</v>
      </c>
      <c r="U169" s="2"/>
      <c r="V169" s="19">
        <f t="shared" si="28"/>
        <v>1.3901123235474157E-4</v>
      </c>
      <c r="W169" s="2"/>
      <c r="X169" s="2">
        <f t="shared" si="29"/>
        <v>248.30000000000018</v>
      </c>
      <c r="Y169" s="2"/>
      <c r="Z169" s="19">
        <f t="shared" si="30"/>
        <v>0.12570815255086809</v>
      </c>
    </row>
    <row r="170" spans="1:26" s="24" customFormat="1" hidden="1" outlineLevel="1" x14ac:dyDescent="0.25">
      <c r="A170" s="44"/>
      <c r="B170" s="11" t="str">
        <f>CONCATENATE("          ", "5543", " - ", "FREIGHT-IN-CARDS")</f>
        <v xml:space="preserve">          5543 - FREIGHT-IN-CARDS</v>
      </c>
      <c r="C170" s="11"/>
      <c r="D170" s="2"/>
      <c r="E170" s="2"/>
      <c r="F170" s="19">
        <f t="shared" si="23"/>
        <v>0</v>
      </c>
      <c r="G170" s="2"/>
      <c r="H170" s="2"/>
      <c r="I170" s="2"/>
      <c r="J170" s="19">
        <f t="shared" si="24"/>
        <v>0</v>
      </c>
      <c r="K170" s="2"/>
      <c r="L170" s="2">
        <f t="shared" si="25"/>
        <v>0</v>
      </c>
      <c r="M170" s="2"/>
      <c r="N170" s="19">
        <f t="shared" si="26"/>
        <v>0</v>
      </c>
      <c r="O170" s="11"/>
      <c r="P170" s="2">
        <v>2926.76</v>
      </c>
      <c r="Q170" s="2"/>
      <c r="R170" s="19">
        <f t="shared" si="27"/>
        <v>2.5692796618423576E-4</v>
      </c>
      <c r="S170" s="2"/>
      <c r="T170" s="2">
        <v>57.18</v>
      </c>
      <c r="U170" s="2"/>
      <c r="V170" s="19">
        <f t="shared" si="28"/>
        <v>4.0242112312331968E-6</v>
      </c>
      <c r="W170" s="2"/>
      <c r="X170" s="2">
        <f t="shared" si="29"/>
        <v>2869.5800000000004</v>
      </c>
      <c r="Y170" s="2"/>
      <c r="Z170" s="19">
        <f t="shared" si="30"/>
        <v>50.185029730675069</v>
      </c>
    </row>
    <row r="171" spans="1:26" s="24" customFormat="1" hidden="1" outlineLevel="1" x14ac:dyDescent="0.25">
      <c r="A171" s="44"/>
      <c r="B171" s="11" t="str">
        <f>CONCATENATE("          ", "5544", " - ", "FREIGHT-IN-ACCESSORIES")</f>
        <v xml:space="preserve">          5544 - FREIGHT-IN-ACCESSORIES</v>
      </c>
      <c r="C171" s="11"/>
      <c r="D171" s="2"/>
      <c r="E171" s="2"/>
      <c r="F171" s="19">
        <f t="shared" si="23"/>
        <v>0</v>
      </c>
      <c r="G171" s="2"/>
      <c r="H171" s="2">
        <v>226.66</v>
      </c>
      <c r="I171" s="2"/>
      <c r="J171" s="19">
        <f t="shared" si="24"/>
        <v>2.2727159467943018E-4</v>
      </c>
      <c r="K171" s="2"/>
      <c r="L171" s="2">
        <f t="shared" si="25"/>
        <v>-226.66</v>
      </c>
      <c r="M171" s="2"/>
      <c r="N171" s="19">
        <f t="shared" si="26"/>
        <v>-1</v>
      </c>
      <c r="O171" s="11"/>
      <c r="P171" s="2">
        <v>483.44</v>
      </c>
      <c r="Q171" s="2"/>
      <c r="R171" s="19">
        <f t="shared" si="27"/>
        <v>4.2439166850752003E-5</v>
      </c>
      <c r="S171" s="2"/>
      <c r="T171" s="2">
        <v>1360.08</v>
      </c>
      <c r="U171" s="2"/>
      <c r="V171" s="19">
        <f t="shared" si="28"/>
        <v>9.5719643430843758E-5</v>
      </c>
      <c r="W171" s="2"/>
      <c r="X171" s="2">
        <f t="shared" si="29"/>
        <v>-876.63999999999987</v>
      </c>
      <c r="Y171" s="2"/>
      <c r="Z171" s="19">
        <f t="shared" si="30"/>
        <v>-0.64455032056937822</v>
      </c>
    </row>
    <row r="172" spans="1:26" s="24" customFormat="1" hidden="1" outlineLevel="1" x14ac:dyDescent="0.25">
      <c r="A172" s="44"/>
      <c r="B172" s="11" t="str">
        <f>CONCATENATE("          ", "5545", " - ", "FREIGHT-IN-SPECIAL ORDERS")</f>
        <v xml:space="preserve">          5545 - FREIGHT-IN-SPECIAL ORDERS</v>
      </c>
      <c r="C172" s="11"/>
      <c r="D172" s="2">
        <v>173.06</v>
      </c>
      <c r="E172" s="2"/>
      <c r="F172" s="19">
        <f t="shared" si="23"/>
        <v>6.5637914546990523E-4</v>
      </c>
      <c r="G172" s="2"/>
      <c r="H172" s="2">
        <v>637.24</v>
      </c>
      <c r="I172" s="2"/>
      <c r="J172" s="19">
        <f t="shared" si="24"/>
        <v>6.3895945907314964E-4</v>
      </c>
      <c r="K172" s="2"/>
      <c r="L172" s="2">
        <f t="shared" si="25"/>
        <v>-464.18</v>
      </c>
      <c r="M172" s="2"/>
      <c r="N172" s="19">
        <f t="shared" si="26"/>
        <v>-0.72842257234323016</v>
      </c>
      <c r="O172" s="11"/>
      <c r="P172" s="2">
        <v>1065.32</v>
      </c>
      <c r="Q172" s="2"/>
      <c r="R172" s="19">
        <f t="shared" si="27"/>
        <v>9.3519967792162663E-5</v>
      </c>
      <c r="S172" s="2"/>
      <c r="T172" s="2">
        <v>2281.42</v>
      </c>
      <c r="U172" s="2"/>
      <c r="V172" s="19">
        <f t="shared" si="28"/>
        <v>1.605616646932501E-4</v>
      </c>
      <c r="W172" s="2"/>
      <c r="X172" s="2">
        <f t="shared" si="29"/>
        <v>-1216.1000000000001</v>
      </c>
      <c r="Y172" s="2"/>
      <c r="Z172" s="19">
        <f t="shared" si="30"/>
        <v>-0.53304520868581851</v>
      </c>
    </row>
    <row r="173" spans="1:26" s="24" customFormat="1" hidden="1" outlineLevel="1" x14ac:dyDescent="0.25">
      <c r="A173" s="44"/>
      <c r="B173" s="11" t="str">
        <f>CONCATENATE("          ", "5592", " - ", "FREIGHT-IN-GRAD MERCH")</f>
        <v xml:space="preserve">          5592 - FREIGHT-IN-GRAD MERCH</v>
      </c>
      <c r="C173" s="11"/>
      <c r="D173" s="2">
        <v>41.32</v>
      </c>
      <c r="E173" s="2"/>
      <c r="F173" s="19">
        <f t="shared" si="23"/>
        <v>1.5671782208954399E-4</v>
      </c>
      <c r="G173" s="2"/>
      <c r="H173" s="2">
        <v>761.96</v>
      </c>
      <c r="I173" s="2"/>
      <c r="J173" s="19">
        <f t="shared" si="24"/>
        <v>7.6401598994943368E-4</v>
      </c>
      <c r="K173" s="2"/>
      <c r="L173" s="2">
        <f t="shared" si="25"/>
        <v>-720.64</v>
      </c>
      <c r="M173" s="2"/>
      <c r="N173" s="19">
        <f t="shared" si="26"/>
        <v>-0.94577143157121102</v>
      </c>
      <c r="O173" s="11"/>
      <c r="P173" s="2">
        <v>160.05000000000001</v>
      </c>
      <c r="Q173" s="2"/>
      <c r="R173" s="19">
        <f t="shared" si="27"/>
        <v>1.4050117190267372E-5</v>
      </c>
      <c r="S173" s="2"/>
      <c r="T173" s="2">
        <v>2342.73</v>
      </c>
      <c r="U173" s="2"/>
      <c r="V173" s="19">
        <f t="shared" si="28"/>
        <v>1.6487653686161153E-4</v>
      </c>
      <c r="W173" s="2"/>
      <c r="X173" s="2">
        <f t="shared" si="29"/>
        <v>-2182.6799999999998</v>
      </c>
      <c r="Y173" s="2"/>
      <c r="Z173" s="19">
        <f t="shared" si="30"/>
        <v>-0.93168226812308708</v>
      </c>
    </row>
    <row r="174" spans="1:26" x14ac:dyDescent="0.2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25">
      <c r="A175" s="10"/>
      <c r="B175" s="29" t="s">
        <v>6</v>
      </c>
      <c r="C175" s="29"/>
      <c r="D175" s="21">
        <f>D12-D120</f>
        <v>110587.33999999982</v>
      </c>
      <c r="E175" s="14"/>
      <c r="F175" s="20">
        <f>IF(D$12=0,0,D175/D$12)</f>
        <v>0.41943385952264967</v>
      </c>
      <c r="G175" s="14"/>
      <c r="H175" s="21">
        <f>H12-H120</f>
        <v>524142.75999999989</v>
      </c>
      <c r="I175" s="14"/>
      <c r="J175" s="20">
        <f>IF(H$12=0,0,H175/H$12)</f>
        <v>0.52555704978769002</v>
      </c>
      <c r="K175" s="16"/>
      <c r="L175" s="21">
        <f>+D175-H175</f>
        <v>-413555.42000000004</v>
      </c>
      <c r="M175" s="16"/>
      <c r="N175" s="20">
        <f>IF(H175=0,0,L175/H175)</f>
        <v>-0.7890129399097302</v>
      </c>
      <c r="O175" s="28"/>
      <c r="P175" s="21">
        <f>P12-P120</f>
        <v>4911851.6800000053</v>
      </c>
      <c r="Q175" s="14"/>
      <c r="R175" s="20">
        <f>IF(P$12=0,0,P175/P$12)</f>
        <v>0.43119082614940168</v>
      </c>
      <c r="S175" s="14"/>
      <c r="T175" s="21">
        <f>T12-T120</f>
        <v>6337529.9800000051</v>
      </c>
      <c r="U175" s="14"/>
      <c r="V175" s="20">
        <f>IF(T$12=0,0,T175/T$12)</f>
        <v>0.44602237362352432</v>
      </c>
      <c r="W175" s="16"/>
      <c r="X175" s="21">
        <f>+P175-T175</f>
        <v>-1425678.2999999998</v>
      </c>
      <c r="Y175" s="16"/>
      <c r="Z175" s="20">
        <f>IF(T175=0,0,X175/T175)</f>
        <v>-0.22495803641152931</v>
      </c>
    </row>
    <row r="176" spans="1:26" x14ac:dyDescent="0.25">
      <c r="A176" s="9"/>
      <c r="B176" s="10"/>
      <c r="C176" s="9"/>
      <c r="D176" s="1"/>
      <c r="E176" s="1"/>
      <c r="F176" s="5"/>
      <c r="G176" s="1"/>
      <c r="H176" s="1"/>
      <c r="I176" s="1"/>
      <c r="J176" s="5"/>
      <c r="K176" s="1"/>
      <c r="L176" s="1"/>
      <c r="M176" s="1"/>
      <c r="N176" s="5"/>
      <c r="O176" s="37"/>
      <c r="P176" s="1"/>
      <c r="Q176" s="1"/>
      <c r="R176" s="5"/>
      <c r="S176" s="1"/>
      <c r="T176" s="1"/>
      <c r="U176" s="1"/>
      <c r="V176" s="5"/>
      <c r="W176" s="1"/>
      <c r="X176" s="1"/>
      <c r="Y176" s="1"/>
      <c r="Z176" s="5"/>
    </row>
    <row r="177" spans="1:26" s="23" customFormat="1" x14ac:dyDescent="0.25">
      <c r="A177" s="10"/>
      <c r="B177" s="28" t="s">
        <v>9</v>
      </c>
      <c r="C177" s="10"/>
      <c r="D177" s="22">
        <f>SUM(OSRRefD22x_0)</f>
        <v>281689.57</v>
      </c>
      <c r="E177" s="22"/>
      <c r="F177" s="31">
        <f t="shared" ref="F177:F187" si="31">IF(D$12=0,0,D177/D$12)</f>
        <v>1.0683876068668963</v>
      </c>
      <c r="G177" s="22"/>
      <c r="H177" s="22">
        <f>SUM(OSRRefH22x_0)</f>
        <v>518424.55000000005</v>
      </c>
      <c r="I177" s="22"/>
      <c r="J177" s="31">
        <f t="shared" ref="J177:J187" si="32">IF(H$12=0,0,H177/H$12)</f>
        <v>0.51982341039206748</v>
      </c>
      <c r="K177" s="4"/>
      <c r="L177" s="22">
        <f t="shared" ref="L177:L187" si="33">+D177-H177</f>
        <v>-236734.98000000004</v>
      </c>
      <c r="M177" s="4"/>
      <c r="N177" s="31">
        <f t="shared" ref="N177:N187" si="34">IF(H177=0,0,L177/H177)</f>
        <v>-0.45664307371246216</v>
      </c>
      <c r="O177" s="10"/>
      <c r="P177" s="22">
        <f>SUM(OSRRefP22x_0)</f>
        <v>4926578.55</v>
      </c>
      <c r="Q177" s="22"/>
      <c r="R177" s="31">
        <f t="shared" ref="R177:R187" si="35">IF(P$12=0,0,P177/P$12)</f>
        <v>0.4324836362046704</v>
      </c>
      <c r="S177" s="22"/>
      <c r="T177" s="22">
        <f>SUM(OSRRefT22x_0)</f>
        <v>5462493.4499999974</v>
      </c>
      <c r="U177" s="22"/>
      <c r="V177" s="31">
        <f t="shared" ref="V177:V187" si="36">IF(T$12=0,0,T177/T$12)</f>
        <v>0.384439095698282</v>
      </c>
      <c r="W177" s="4"/>
      <c r="X177" s="22">
        <f t="shared" ref="X177:X187" si="37">+P177-T177</f>
        <v>-535914.89999999758</v>
      </c>
      <c r="Y177" s="4"/>
      <c r="Z177" s="31">
        <f t="shared" ref="Z177:Z187" si="38">IF(T177=0,0,X177/T177)</f>
        <v>-9.8108108486610238E-2</v>
      </c>
    </row>
    <row r="178" spans="1:26" s="27" customFormat="1" outlineLevel="1" collapsed="1" x14ac:dyDescent="0.25">
      <c r="A178" s="25"/>
      <c r="B178" s="13" t="str">
        <f>CONCATENATE("     ","*Benefits                                         ")</f>
        <v xml:space="preserve">     *Benefits                                         </v>
      </c>
      <c r="C178" s="13"/>
      <c r="D178" s="1">
        <f>SUM(OSRRefD22_0x_0)</f>
        <v>43470.45</v>
      </c>
      <c r="E178" s="1"/>
      <c r="F178" s="5">
        <f t="shared" si="31"/>
        <v>0.16487401377667998</v>
      </c>
      <c r="G178" s="1"/>
      <c r="H178" s="1">
        <f>SUM(OSRRefH22_0x_0)</f>
        <v>70824.12</v>
      </c>
      <c r="I178" s="1"/>
      <c r="J178" s="5">
        <f t="shared" si="32"/>
        <v>7.1015224098505803E-2</v>
      </c>
      <c r="K178" s="1"/>
      <c r="L178" s="1">
        <f t="shared" si="33"/>
        <v>-27353.67</v>
      </c>
      <c r="M178" s="1"/>
      <c r="N178" s="5">
        <f t="shared" si="34"/>
        <v>-0.3862196946464001</v>
      </c>
      <c r="O178" s="13"/>
      <c r="P178" s="1">
        <f>SUM(OSRRefP22_0x_0)</f>
        <v>622513.14000000013</v>
      </c>
      <c r="Q178" s="1"/>
      <c r="R178" s="5">
        <f t="shared" si="35"/>
        <v>5.4647813617502781E-2</v>
      </c>
      <c r="S178" s="1"/>
      <c r="T178" s="1">
        <f>SUM(OSRRefT22_0x_0)</f>
        <v>705569.43</v>
      </c>
      <c r="U178" s="1"/>
      <c r="V178" s="5">
        <f t="shared" si="36"/>
        <v>4.9656530685918243E-2</v>
      </c>
      <c r="W178" s="1"/>
      <c r="X178" s="1">
        <f t="shared" si="37"/>
        <v>-83056.289999999921</v>
      </c>
      <c r="Y178" s="1"/>
      <c r="Z178" s="5">
        <f t="shared" si="38"/>
        <v>-0.11771526155831315</v>
      </c>
    </row>
    <row r="179" spans="1:26" s="24" customFormat="1" hidden="1" outlineLevel="2" x14ac:dyDescent="0.25">
      <c r="A179" s="26"/>
      <c r="B179" s="11" t="str">
        <f>CONCATENATE("          ", "6111", " - ", "F.I.C.A.")</f>
        <v xml:space="preserve">          6111 - F.I.C.A.</v>
      </c>
      <c r="C179" s="11"/>
      <c r="D179" s="6">
        <v>7043.88</v>
      </c>
      <c r="E179" s="2"/>
      <c r="F179" s="7">
        <f t="shared" si="31"/>
        <v>2.6715913181512518E-2</v>
      </c>
      <c r="G179" s="2"/>
      <c r="H179" s="6">
        <v>16329</v>
      </c>
      <c r="I179" s="2"/>
      <c r="J179" s="7">
        <f t="shared" si="32"/>
        <v>1.6373060396719385E-2</v>
      </c>
      <c r="K179" s="2"/>
      <c r="L179" s="6">
        <f t="shared" si="33"/>
        <v>-9285.119999999999</v>
      </c>
      <c r="M179" s="2"/>
      <c r="N179" s="7">
        <f t="shared" si="34"/>
        <v>-0.56862759507624461</v>
      </c>
      <c r="O179" s="11"/>
      <c r="P179" s="6">
        <v>122895.71999999999</v>
      </c>
      <c r="Q179" s="2"/>
      <c r="R179" s="7">
        <f t="shared" si="35"/>
        <v>1.0788499020195472E-2</v>
      </c>
      <c r="S179" s="2"/>
      <c r="T179" s="6">
        <v>128849.08</v>
      </c>
      <c r="U179" s="2"/>
      <c r="V179" s="7">
        <f t="shared" si="36"/>
        <v>9.0681342229811945E-3</v>
      </c>
      <c r="W179" s="2"/>
      <c r="X179" s="6">
        <f t="shared" si="37"/>
        <v>-5953.3600000000151</v>
      </c>
      <c r="Y179" s="2"/>
      <c r="Z179" s="7">
        <f t="shared" si="38"/>
        <v>-4.6204132773008666E-2</v>
      </c>
    </row>
    <row r="180" spans="1:26" s="24" customFormat="1" hidden="1" outlineLevel="2" x14ac:dyDescent="0.25">
      <c r="A180" s="26"/>
      <c r="B180" s="11" t="str">
        <f>CONCATENATE("          ", "6112", " - ", "COMPENSATION INSURANCE")</f>
        <v xml:space="preserve">          6112 - COMPENSATION INSURANCE</v>
      </c>
      <c r="C180" s="11"/>
      <c r="D180" s="6">
        <v>2304.1</v>
      </c>
      <c r="E180" s="2"/>
      <c r="F180" s="7">
        <f t="shared" si="31"/>
        <v>8.7389529011742094E-3</v>
      </c>
      <c r="G180" s="2"/>
      <c r="H180" s="6">
        <v>2395.87</v>
      </c>
      <c r="I180" s="2"/>
      <c r="J180" s="7">
        <f t="shared" si="32"/>
        <v>2.4023347548954663E-3</v>
      </c>
      <c r="K180" s="2"/>
      <c r="L180" s="6">
        <f t="shared" si="33"/>
        <v>-91.769999999999982</v>
      </c>
      <c r="M180" s="2"/>
      <c r="N180" s="7">
        <f t="shared" si="34"/>
        <v>-3.8303413791232407E-2</v>
      </c>
      <c r="O180" s="11"/>
      <c r="P180" s="6">
        <v>35578.080000000002</v>
      </c>
      <c r="Q180" s="2"/>
      <c r="R180" s="7">
        <f t="shared" si="35"/>
        <v>3.1232501930940817E-3</v>
      </c>
      <c r="S180" s="2"/>
      <c r="T180" s="6">
        <v>24567.24</v>
      </c>
      <c r="U180" s="2"/>
      <c r="V180" s="7">
        <f t="shared" si="36"/>
        <v>1.7289920099405642E-3</v>
      </c>
      <c r="W180" s="2"/>
      <c r="X180" s="6">
        <f t="shared" si="37"/>
        <v>11010.84</v>
      </c>
      <c r="Y180" s="2"/>
      <c r="Z180" s="7">
        <f t="shared" si="38"/>
        <v>0.44819198249375997</v>
      </c>
    </row>
    <row r="181" spans="1:26" s="24" customFormat="1" hidden="1" outlineLevel="2" x14ac:dyDescent="0.25">
      <c r="A181" s="26"/>
      <c r="B181" s="11" t="str">
        <f>CONCATENATE("          ", "6113", " - ", "GROUP INSURANCE")</f>
        <v xml:space="preserve">          6113 - GROUP INSURANCE</v>
      </c>
      <c r="C181" s="11"/>
      <c r="D181" s="6">
        <v>18033.84</v>
      </c>
      <c r="E181" s="2"/>
      <c r="F181" s="7">
        <f t="shared" si="31"/>
        <v>6.8398454228250291E-2</v>
      </c>
      <c r="G181" s="2"/>
      <c r="H181" s="6">
        <v>27040.85</v>
      </c>
      <c r="I181" s="2"/>
      <c r="J181" s="7">
        <f t="shared" si="32"/>
        <v>2.7113814087122868E-2</v>
      </c>
      <c r="K181" s="2"/>
      <c r="L181" s="6">
        <f t="shared" si="33"/>
        <v>-9007.0099999999984</v>
      </c>
      <c r="M181" s="2"/>
      <c r="N181" s="7">
        <f t="shared" si="34"/>
        <v>-0.33308901162500437</v>
      </c>
      <c r="O181" s="11"/>
      <c r="P181" s="6">
        <v>249967.35</v>
      </c>
      <c r="Q181" s="2"/>
      <c r="R181" s="7">
        <f t="shared" si="35"/>
        <v>2.1943583637866797E-2</v>
      </c>
      <c r="S181" s="2"/>
      <c r="T181" s="6">
        <v>283315.19</v>
      </c>
      <c r="U181" s="2"/>
      <c r="V181" s="7">
        <f t="shared" si="36"/>
        <v>1.9939142524955704E-2</v>
      </c>
      <c r="W181" s="2"/>
      <c r="X181" s="6">
        <f t="shared" si="37"/>
        <v>-33347.839999999997</v>
      </c>
      <c r="Y181" s="2"/>
      <c r="Z181" s="7">
        <f t="shared" si="38"/>
        <v>-0.11770579614880514</v>
      </c>
    </row>
    <row r="182" spans="1:26" s="24" customFormat="1" hidden="1" outlineLevel="2" x14ac:dyDescent="0.25">
      <c r="A182" s="26"/>
      <c r="B182" s="11" t="str">
        <f>CONCATENATE("          ", "6114", " - ", "STATE UNEMPLOYMENT INSURANCE")</f>
        <v xml:space="preserve">          6114 - STATE UNEMPLOYMENT INSURANCE</v>
      </c>
      <c r="C182" s="11"/>
      <c r="D182" s="6">
        <v>389.13</v>
      </c>
      <c r="E182" s="2"/>
      <c r="F182" s="7">
        <f t="shared" si="31"/>
        <v>1.475885917466221E-3</v>
      </c>
      <c r="G182" s="2"/>
      <c r="H182" s="6">
        <v>600.9</v>
      </c>
      <c r="I182" s="2"/>
      <c r="J182" s="7">
        <f t="shared" si="32"/>
        <v>6.0252140317157681E-4</v>
      </c>
      <c r="K182" s="2"/>
      <c r="L182" s="6">
        <f t="shared" si="33"/>
        <v>-211.76999999999998</v>
      </c>
      <c r="M182" s="2"/>
      <c r="N182" s="7">
        <f t="shared" si="34"/>
        <v>-0.35242136794807788</v>
      </c>
      <c r="O182" s="11"/>
      <c r="P182" s="6">
        <v>6505.67</v>
      </c>
      <c r="Q182" s="2"/>
      <c r="R182" s="7">
        <f t="shared" si="35"/>
        <v>5.7110544143209457E-4</v>
      </c>
      <c r="S182" s="2"/>
      <c r="T182" s="6">
        <v>6943.59</v>
      </c>
      <c r="U182" s="2"/>
      <c r="V182" s="7">
        <f t="shared" si="36"/>
        <v>4.8867563594051264E-4</v>
      </c>
      <c r="W182" s="2"/>
      <c r="X182" s="6">
        <f t="shared" si="37"/>
        <v>-437.92000000000007</v>
      </c>
      <c r="Y182" s="2"/>
      <c r="Z182" s="7">
        <f t="shared" si="38"/>
        <v>-6.3068239916239305E-2</v>
      </c>
    </row>
    <row r="183" spans="1:26" s="24" customFormat="1" hidden="1" outlineLevel="2" x14ac:dyDescent="0.25">
      <c r="A183" s="26"/>
      <c r="B183" s="11" t="str">
        <f>CONCATENATE("          ", "6115", " - ", "P.E.R.S.")</f>
        <v xml:space="preserve">          6115 - P.E.R.S.</v>
      </c>
      <c r="C183" s="11"/>
      <c r="D183" s="6">
        <v>5948.8</v>
      </c>
      <c r="E183" s="2"/>
      <c r="F183" s="7">
        <f t="shared" si="31"/>
        <v>2.2562511617770554E-2</v>
      </c>
      <c r="G183" s="2"/>
      <c r="H183" s="6">
        <v>6813.95</v>
      </c>
      <c r="I183" s="2"/>
      <c r="J183" s="7">
        <f t="shared" si="32"/>
        <v>6.8323360212031387E-3</v>
      </c>
      <c r="K183" s="2"/>
      <c r="L183" s="6">
        <f t="shared" si="33"/>
        <v>-865.14999999999964</v>
      </c>
      <c r="M183" s="2"/>
      <c r="N183" s="7">
        <f t="shared" si="34"/>
        <v>-0.12696747114375651</v>
      </c>
      <c r="O183" s="11"/>
      <c r="P183" s="6">
        <v>91150.819999999992</v>
      </c>
      <c r="Q183" s="2"/>
      <c r="R183" s="7">
        <f t="shared" si="35"/>
        <v>8.0017475975568061E-3</v>
      </c>
      <c r="S183" s="2"/>
      <c r="T183" s="6">
        <v>88622.71</v>
      </c>
      <c r="U183" s="2"/>
      <c r="V183" s="7">
        <f t="shared" si="36"/>
        <v>6.2370847311004297E-3</v>
      </c>
      <c r="W183" s="2"/>
      <c r="X183" s="6">
        <f t="shared" si="37"/>
        <v>2528.109999999986</v>
      </c>
      <c r="Y183" s="2"/>
      <c r="Z183" s="7">
        <f t="shared" si="38"/>
        <v>2.8526660942776245E-2</v>
      </c>
    </row>
    <row r="184" spans="1:26" s="24" customFormat="1" hidden="1" outlineLevel="2" x14ac:dyDescent="0.25">
      <c r="A184" s="26"/>
      <c r="B184" s="11" t="str">
        <f>CONCATENATE("          ", "6117", " - ", "RETIREMENT STAFF HOURLY")</f>
        <v xml:space="preserve">          6117 - RETIREMENT STAFF HOURLY</v>
      </c>
      <c r="C184" s="11"/>
      <c r="D184" s="6">
        <v>219.6</v>
      </c>
      <c r="E184" s="2"/>
      <c r="F184" s="7">
        <f t="shared" si="31"/>
        <v>8.3289529842361714E-4</v>
      </c>
      <c r="G184" s="2"/>
      <c r="H184" s="6">
        <v>255.75</v>
      </c>
      <c r="I184" s="2"/>
      <c r="J184" s="7">
        <f t="shared" si="32"/>
        <v>2.5644008796992971E-4</v>
      </c>
      <c r="K184" s="2"/>
      <c r="L184" s="6">
        <f t="shared" si="33"/>
        <v>-36.150000000000006</v>
      </c>
      <c r="M184" s="2"/>
      <c r="N184" s="7">
        <f t="shared" si="34"/>
        <v>-0.14134897360703816</v>
      </c>
      <c r="O184" s="11"/>
      <c r="P184" s="6">
        <v>1835.92</v>
      </c>
      <c r="Q184" s="2"/>
      <c r="R184" s="7">
        <f t="shared" si="35"/>
        <v>1.6116770479197547E-4</v>
      </c>
      <c r="S184" s="2"/>
      <c r="T184" s="6">
        <v>3203.98</v>
      </c>
      <c r="U184" s="2"/>
      <c r="V184" s="7">
        <f t="shared" si="36"/>
        <v>2.2548954705572821E-4</v>
      </c>
      <c r="W184" s="2"/>
      <c r="X184" s="6">
        <f t="shared" si="37"/>
        <v>-1368.06</v>
      </c>
      <c r="Y184" s="2"/>
      <c r="Z184" s="7">
        <f t="shared" si="38"/>
        <v>-0.42698768406794047</v>
      </c>
    </row>
    <row r="185" spans="1:26" s="24" customFormat="1" hidden="1" outlineLevel="2" x14ac:dyDescent="0.25">
      <c r="A185" s="26"/>
      <c r="B185" s="11" t="str">
        <f>CONCATENATE("          ", "6118", " - ", "VACATION")</f>
        <v xml:space="preserve">          6118 - VACATION</v>
      </c>
      <c r="C185" s="11"/>
      <c r="D185" s="6">
        <v>5444.22</v>
      </c>
      <c r="E185" s="2"/>
      <c r="F185" s="7">
        <f t="shared" si="31"/>
        <v>2.0648748823241463E-2</v>
      </c>
      <c r="G185" s="2"/>
      <c r="H185" s="6">
        <v>8732.0300000000007</v>
      </c>
      <c r="I185" s="2"/>
      <c r="J185" s="7">
        <f t="shared" si="32"/>
        <v>8.7555915595545087E-3</v>
      </c>
      <c r="K185" s="2"/>
      <c r="L185" s="6">
        <f t="shared" si="33"/>
        <v>-3287.8100000000004</v>
      </c>
      <c r="M185" s="2"/>
      <c r="N185" s="7">
        <f t="shared" si="34"/>
        <v>-0.3765229849187417</v>
      </c>
      <c r="O185" s="11"/>
      <c r="P185" s="6">
        <v>75740.62000000001</v>
      </c>
      <c r="Q185" s="2"/>
      <c r="R185" s="7">
        <f t="shared" si="35"/>
        <v>6.64895087199943E-3</v>
      </c>
      <c r="S185" s="2"/>
      <c r="T185" s="6">
        <v>80286.37000000001</v>
      </c>
      <c r="U185" s="2"/>
      <c r="V185" s="7">
        <f t="shared" si="36"/>
        <v>5.6503902040738732E-3</v>
      </c>
      <c r="W185" s="2"/>
      <c r="X185" s="6">
        <f t="shared" si="37"/>
        <v>-4545.75</v>
      </c>
      <c r="Y185" s="2"/>
      <c r="Z185" s="7">
        <f t="shared" si="38"/>
        <v>-5.6619199497996979E-2</v>
      </c>
    </row>
    <row r="186" spans="1:26" s="24" customFormat="1" hidden="1" outlineLevel="2" x14ac:dyDescent="0.25">
      <c r="A186" s="26"/>
      <c r="B186" s="11" t="str">
        <f>CONCATENATE("          ", "6119", " - ", "SICK LEAVE")</f>
        <v xml:space="preserve">          6119 - SICK LEAVE</v>
      </c>
      <c r="C186" s="11"/>
      <c r="D186" s="6">
        <v>3497.96</v>
      </c>
      <c r="E186" s="2"/>
      <c r="F186" s="7">
        <f t="shared" si="31"/>
        <v>1.3267005637859181E-2</v>
      </c>
      <c r="G186" s="2"/>
      <c r="H186" s="6">
        <v>6023.21</v>
      </c>
      <c r="I186" s="2"/>
      <c r="J186" s="7">
        <f t="shared" si="32"/>
        <v>6.0394623744334719E-3</v>
      </c>
      <c r="K186" s="2"/>
      <c r="L186" s="6">
        <f t="shared" si="33"/>
        <v>-2525.25</v>
      </c>
      <c r="M186" s="2"/>
      <c r="N186" s="7">
        <f t="shared" si="34"/>
        <v>-0.41925318891421681</v>
      </c>
      <c r="O186" s="11"/>
      <c r="P186" s="6">
        <v>14916.049999999997</v>
      </c>
      <c r="Q186" s="2"/>
      <c r="R186" s="7">
        <f t="shared" si="35"/>
        <v>1.309417372795299E-3</v>
      </c>
      <c r="S186" s="2"/>
      <c r="T186" s="6">
        <v>61554.39</v>
      </c>
      <c r="U186" s="2"/>
      <c r="V186" s="7">
        <f t="shared" si="36"/>
        <v>4.3320718357766422E-3</v>
      </c>
      <c r="W186" s="2"/>
      <c r="X186" s="6">
        <f t="shared" si="37"/>
        <v>-46638.340000000004</v>
      </c>
      <c r="Y186" s="2"/>
      <c r="Z186" s="7">
        <f t="shared" si="38"/>
        <v>-0.75767690980285896</v>
      </c>
    </row>
    <row r="187" spans="1:26" s="24" customFormat="1" hidden="1" outlineLevel="2" x14ac:dyDescent="0.25">
      <c r="A187" s="26"/>
      <c r="B187" s="11" t="str">
        <f>CONCATENATE("          ", "6156", " - ", "EMPLOYEE MEALS")</f>
        <v xml:space="preserve">          6156 - EMPLOYEE MEALS</v>
      </c>
      <c r="C187" s="11"/>
      <c r="D187" s="6">
        <v>588.91999999999996</v>
      </c>
      <c r="E187" s="2"/>
      <c r="F187" s="7">
        <f t="shared" si="31"/>
        <v>2.2336461709819518E-3</v>
      </c>
      <c r="G187" s="2"/>
      <c r="H187" s="6">
        <v>2632.56</v>
      </c>
      <c r="I187" s="2"/>
      <c r="J187" s="7">
        <f t="shared" si="32"/>
        <v>2.6396634134354573E-3</v>
      </c>
      <c r="K187" s="2"/>
      <c r="L187" s="6">
        <f t="shared" si="33"/>
        <v>-2043.6399999999999</v>
      </c>
      <c r="M187" s="2"/>
      <c r="N187" s="7">
        <f t="shared" si="34"/>
        <v>-0.77629379767222773</v>
      </c>
      <c r="O187" s="11"/>
      <c r="P187" s="6">
        <v>23922.91</v>
      </c>
      <c r="Q187" s="2"/>
      <c r="R187" s="7">
        <f t="shared" si="35"/>
        <v>2.1000917777708166E-3</v>
      </c>
      <c r="S187" s="2"/>
      <c r="T187" s="6">
        <v>28226.880000000001</v>
      </c>
      <c r="U187" s="2"/>
      <c r="V187" s="7">
        <f t="shared" si="36"/>
        <v>1.9865499740935942E-3</v>
      </c>
      <c r="W187" s="2"/>
      <c r="X187" s="6">
        <f t="shared" si="37"/>
        <v>-4303.9700000000012</v>
      </c>
      <c r="Y187" s="2"/>
      <c r="Z187" s="7">
        <f t="shared" si="38"/>
        <v>-0.15247770919067219</v>
      </c>
    </row>
    <row r="188" spans="1:26" s="27" customFormat="1" outlineLevel="1" collapsed="1" x14ac:dyDescent="0.25">
      <c r="A188" s="25"/>
      <c r="B188" s="13" t="str">
        <f>CONCATENATE("     ","*Payroll                                          ")</f>
        <v xml:space="preserve">     *Payroll                                          </v>
      </c>
      <c r="C188" s="13"/>
      <c r="D188" s="1">
        <f>SUM(OSRRefD22_1x_0)</f>
        <v>93313.82</v>
      </c>
      <c r="E188" s="1"/>
      <c r="F188" s="5">
        <f t="shared" ref="F188:F195" si="39">IF(D$12=0,0,D188/D$12)</f>
        <v>0.3539191345899258</v>
      </c>
      <c r="G188" s="1"/>
      <c r="H188" s="1">
        <f>SUM(OSRRefH22_1x_0)</f>
        <v>265834.52</v>
      </c>
      <c r="I188" s="1"/>
      <c r="J188" s="5">
        <f t="shared" ref="J188:J195" si="40">IF(H$12=0,0,H188/H$12)</f>
        <v>0.26655181894132568</v>
      </c>
      <c r="K188" s="1"/>
      <c r="L188" s="1">
        <f t="shared" ref="L188:L195" si="41">+D188-H188</f>
        <v>-172520.7</v>
      </c>
      <c r="M188" s="1"/>
      <c r="N188" s="5">
        <f t="shared" ref="N188:N195" si="42">IF(H188=0,0,L188/H188)</f>
        <v>-0.64897779265085664</v>
      </c>
      <c r="O188" s="13"/>
      <c r="P188" s="1">
        <f>SUM(OSRRefP22_1x_0)</f>
        <v>2302750.35</v>
      </c>
      <c r="Q188" s="1"/>
      <c r="R188" s="5">
        <f t="shared" ref="R188:R195" si="43">IF(P$12=0,0,P188/P$12)</f>
        <v>0.20214878024010752</v>
      </c>
      <c r="S188" s="1"/>
      <c r="T188" s="1">
        <f>SUM(OSRRefT22_1x_0)</f>
        <v>2518725.9400000004</v>
      </c>
      <c r="U188" s="1"/>
      <c r="V188" s="5">
        <f t="shared" ref="V188:V195" si="44">IF(T$12=0,0,T188/T$12)</f>
        <v>0.17726277048174874</v>
      </c>
      <c r="W188" s="1"/>
      <c r="X188" s="1">
        <f t="shared" ref="X188:X195" si="45">+P188-T188</f>
        <v>-215975.59000000032</v>
      </c>
      <c r="Y188" s="1"/>
      <c r="Z188" s="5">
        <f t="shared" ref="Z188:Z195" si="46">IF(T188=0,0,X188/T188)</f>
        <v>-8.5747951601276753E-2</v>
      </c>
    </row>
    <row r="189" spans="1:26" s="24" customFormat="1" hidden="1" outlineLevel="2" x14ac:dyDescent="0.25">
      <c r="A189" s="26"/>
      <c r="B189" s="11" t="str">
        <f>CONCATENATE("          ", "6001", " - ", "ADMINISTRATIVE SALARIES")</f>
        <v xml:space="preserve">          6001 - ADMINISTRATIVE SALARIES</v>
      </c>
      <c r="C189" s="11"/>
      <c r="D189" s="6"/>
      <c r="E189" s="2"/>
      <c r="F189" s="7">
        <f t="shared" si="39"/>
        <v>0</v>
      </c>
      <c r="G189" s="2"/>
      <c r="H189" s="6">
        <v>11966</v>
      </c>
      <c r="I189" s="2"/>
      <c r="J189" s="7">
        <f t="shared" si="40"/>
        <v>1.1998287752290046E-2</v>
      </c>
      <c r="K189" s="2"/>
      <c r="L189" s="6">
        <f t="shared" si="41"/>
        <v>-11966</v>
      </c>
      <c r="M189" s="2"/>
      <c r="N189" s="7">
        <f t="shared" si="42"/>
        <v>-1</v>
      </c>
      <c r="O189" s="11"/>
      <c r="P189" s="6">
        <v>93238.31</v>
      </c>
      <c r="Q189" s="2"/>
      <c r="R189" s="7">
        <f t="shared" si="43"/>
        <v>8.1849995758980203E-3</v>
      </c>
      <c r="S189" s="2"/>
      <c r="T189" s="6">
        <v>118617</v>
      </c>
      <c r="U189" s="2"/>
      <c r="V189" s="7">
        <f t="shared" si="44"/>
        <v>8.3480213993562102E-3</v>
      </c>
      <c r="W189" s="2"/>
      <c r="X189" s="6">
        <f t="shared" si="45"/>
        <v>-25378.690000000002</v>
      </c>
      <c r="Y189" s="2"/>
      <c r="Z189" s="7">
        <f t="shared" si="46"/>
        <v>-0.21395491371388589</v>
      </c>
    </row>
    <row r="190" spans="1:26" s="24" customFormat="1" hidden="1" outlineLevel="2" x14ac:dyDescent="0.25">
      <c r="A190" s="26"/>
      <c r="B190" s="11" t="str">
        <f>CONCATENATE("          ", "6002", " - ", "STAFF SALARIES")</f>
        <v xml:space="preserve">          6002 - STAFF SALARIES</v>
      </c>
      <c r="C190" s="11"/>
      <c r="D190" s="6">
        <v>54188.259999999995</v>
      </c>
      <c r="E190" s="2"/>
      <c r="F190" s="7">
        <f t="shared" si="39"/>
        <v>0.2055243487420608</v>
      </c>
      <c r="G190" s="2"/>
      <c r="H190" s="6">
        <v>78260.37000000001</v>
      </c>
      <c r="I190" s="2"/>
      <c r="J190" s="7">
        <f t="shared" si="40"/>
        <v>7.8471539266311841E-2</v>
      </c>
      <c r="K190" s="2"/>
      <c r="L190" s="6">
        <f t="shared" si="41"/>
        <v>-24072.110000000015</v>
      </c>
      <c r="M190" s="2"/>
      <c r="N190" s="7">
        <f t="shared" si="42"/>
        <v>-0.30759003567195009</v>
      </c>
      <c r="O190" s="11"/>
      <c r="P190" s="6">
        <v>772330.98</v>
      </c>
      <c r="Q190" s="2"/>
      <c r="R190" s="7">
        <f t="shared" si="43"/>
        <v>6.7799692462818154E-2</v>
      </c>
      <c r="S190" s="2"/>
      <c r="T190" s="6">
        <v>795570.47</v>
      </c>
      <c r="U190" s="2"/>
      <c r="V190" s="7">
        <f t="shared" si="44"/>
        <v>5.5990619458053045E-2</v>
      </c>
      <c r="W190" s="2"/>
      <c r="X190" s="6">
        <f t="shared" si="45"/>
        <v>-23239.489999999991</v>
      </c>
      <c r="Y190" s="2"/>
      <c r="Z190" s="7">
        <f t="shared" si="46"/>
        <v>-2.9211101814777003E-2</v>
      </c>
    </row>
    <row r="191" spans="1:26" s="24" customFormat="1" hidden="1" outlineLevel="2" x14ac:dyDescent="0.25">
      <c r="A191" s="26"/>
      <c r="B191" s="11" t="str">
        <f>CONCATENATE("          ", "6004", " - ", "STAFF HOURLY")</f>
        <v xml:space="preserve">          6004 - STAFF HOURLY</v>
      </c>
      <c r="C191" s="11"/>
      <c r="D191" s="6">
        <v>11060.64</v>
      </c>
      <c r="E191" s="2"/>
      <c r="F191" s="7">
        <f t="shared" si="39"/>
        <v>4.1950614997979037E-2</v>
      </c>
      <c r="G191" s="2"/>
      <c r="H191" s="6">
        <v>8787.77</v>
      </c>
      <c r="I191" s="2"/>
      <c r="J191" s="7">
        <f t="shared" si="40"/>
        <v>8.8114819623050216E-3</v>
      </c>
      <c r="K191" s="2"/>
      <c r="L191" s="6">
        <f t="shared" si="41"/>
        <v>2272.869999999999</v>
      </c>
      <c r="M191" s="2"/>
      <c r="N191" s="7">
        <f t="shared" si="42"/>
        <v>0.25864013282095444</v>
      </c>
      <c r="O191" s="11"/>
      <c r="P191" s="6">
        <v>59473.279999999999</v>
      </c>
      <c r="Q191" s="2"/>
      <c r="R191" s="7">
        <f t="shared" si="43"/>
        <v>5.2209094263641655E-3</v>
      </c>
      <c r="S191" s="2"/>
      <c r="T191" s="6">
        <v>67272.150000000009</v>
      </c>
      <c r="U191" s="2"/>
      <c r="V191" s="7">
        <f t="shared" si="44"/>
        <v>4.7344760681917513E-3</v>
      </c>
      <c r="W191" s="2"/>
      <c r="X191" s="6">
        <f t="shared" si="45"/>
        <v>-7798.8700000000099</v>
      </c>
      <c r="Y191" s="2"/>
      <c r="Z191" s="7">
        <f t="shared" si="46"/>
        <v>-0.1159301434546095</v>
      </c>
    </row>
    <row r="192" spans="1:26" s="24" customFormat="1" hidden="1" outlineLevel="2" x14ac:dyDescent="0.25">
      <c r="A192" s="26"/>
      <c r="B192" s="11" t="str">
        <f>CONCATENATE("          ", "6005", " - ", "TEMPORARY WAGES-HOURLY")</f>
        <v xml:space="preserve">          6005 - TEMPORARY WAGES-HOURLY</v>
      </c>
      <c r="C192" s="11"/>
      <c r="D192" s="6">
        <v>8052.32</v>
      </c>
      <c r="E192" s="2"/>
      <c r="F192" s="7">
        <f t="shared" si="39"/>
        <v>3.0540707966313575E-2</v>
      </c>
      <c r="G192" s="2"/>
      <c r="H192" s="6">
        <v>36167.340000000004</v>
      </c>
      <c r="I192" s="2"/>
      <c r="J192" s="7">
        <f t="shared" si="40"/>
        <v>3.6264930014617239E-2</v>
      </c>
      <c r="K192" s="2"/>
      <c r="L192" s="6">
        <f t="shared" si="41"/>
        <v>-28115.020000000004</v>
      </c>
      <c r="M192" s="2"/>
      <c r="N192" s="7">
        <f t="shared" si="42"/>
        <v>-0.77735935238809384</v>
      </c>
      <c r="O192" s="11"/>
      <c r="P192" s="6">
        <v>255635.44</v>
      </c>
      <c r="Q192" s="2"/>
      <c r="R192" s="7">
        <f t="shared" si="43"/>
        <v>2.2441161449456813E-2</v>
      </c>
      <c r="S192" s="2"/>
      <c r="T192" s="6">
        <v>284022.48</v>
      </c>
      <c r="U192" s="2"/>
      <c r="V192" s="7">
        <f t="shared" si="44"/>
        <v>1.9988920145832565E-2</v>
      </c>
      <c r="W192" s="2"/>
      <c r="X192" s="6">
        <f t="shared" si="45"/>
        <v>-28387.039999999979</v>
      </c>
      <c r="Y192" s="2"/>
      <c r="Z192" s="7">
        <f t="shared" si="46"/>
        <v>-9.9946454942580532E-2</v>
      </c>
    </row>
    <row r="193" spans="1:26" s="24" customFormat="1" hidden="1" outlineLevel="2" x14ac:dyDescent="0.25">
      <c r="A193" s="26"/>
      <c r="B193" s="11" t="str">
        <f>CONCATENATE("          ", "6006", " - ", "TEMPORARY PART TIME")</f>
        <v xml:space="preserve">          6006 - TEMPORARY PART TIME</v>
      </c>
      <c r="C193" s="11"/>
      <c r="D193" s="6">
        <v>1929.14</v>
      </c>
      <c r="E193" s="2"/>
      <c r="F193" s="7">
        <f t="shared" si="39"/>
        <v>7.3168107286017163E-3</v>
      </c>
      <c r="G193" s="2"/>
      <c r="H193" s="6">
        <v>8089.33</v>
      </c>
      <c r="I193" s="2"/>
      <c r="J193" s="7">
        <f t="shared" si="40"/>
        <v>8.1111573678115025E-3</v>
      </c>
      <c r="K193" s="2"/>
      <c r="L193" s="6">
        <f t="shared" si="41"/>
        <v>-6160.19</v>
      </c>
      <c r="M193" s="2"/>
      <c r="N193" s="7">
        <f t="shared" si="42"/>
        <v>-0.761520422581351</v>
      </c>
      <c r="O193" s="11"/>
      <c r="P193" s="6">
        <v>56870.990000000005</v>
      </c>
      <c r="Q193" s="2"/>
      <c r="R193" s="7">
        <f t="shared" si="43"/>
        <v>4.9924653185037414E-3</v>
      </c>
      <c r="S193" s="2"/>
      <c r="T193" s="6">
        <v>94923.459999999992</v>
      </c>
      <c r="U193" s="2"/>
      <c r="V193" s="7">
        <f t="shared" si="44"/>
        <v>6.6805186050982006E-3</v>
      </c>
      <c r="W193" s="2"/>
      <c r="X193" s="6">
        <f t="shared" si="45"/>
        <v>-38052.469999999987</v>
      </c>
      <c r="Y193" s="2"/>
      <c r="Z193" s="7">
        <f t="shared" si="46"/>
        <v>-0.40087529468479122</v>
      </c>
    </row>
    <row r="194" spans="1:26" s="24" customFormat="1" hidden="1" outlineLevel="2" x14ac:dyDescent="0.25">
      <c r="A194" s="26"/>
      <c r="B194" s="11" t="str">
        <f>CONCATENATE("          ", "6007", " - ", "STUDENT HOURLY")</f>
        <v xml:space="preserve">          6007 - STUDENT HOURLY</v>
      </c>
      <c r="C194" s="11"/>
      <c r="D194" s="6">
        <v>18083.46</v>
      </c>
      <c r="E194" s="2"/>
      <c r="F194" s="7">
        <f t="shared" si="39"/>
        <v>6.8586652154970604E-2</v>
      </c>
      <c r="G194" s="2"/>
      <c r="H194" s="6">
        <v>115484.63</v>
      </c>
      <c r="I194" s="2"/>
      <c r="J194" s="7">
        <f t="shared" si="40"/>
        <v>0.11579624115884569</v>
      </c>
      <c r="K194" s="2"/>
      <c r="L194" s="6">
        <f t="shared" si="41"/>
        <v>-97401.170000000013</v>
      </c>
      <c r="M194" s="2"/>
      <c r="N194" s="7">
        <f t="shared" si="42"/>
        <v>-0.84341240907989234</v>
      </c>
      <c r="O194" s="11"/>
      <c r="P194" s="6">
        <v>1038884.5399999999</v>
      </c>
      <c r="Q194" s="2"/>
      <c r="R194" s="7">
        <f t="shared" si="43"/>
        <v>9.1199309804167503E-2</v>
      </c>
      <c r="S194" s="2"/>
      <c r="T194" s="6">
        <v>1103774.3900000001</v>
      </c>
      <c r="U194" s="2"/>
      <c r="V194" s="7">
        <f t="shared" si="44"/>
        <v>7.7681379800377259E-2</v>
      </c>
      <c r="W194" s="2"/>
      <c r="X194" s="6">
        <f t="shared" si="45"/>
        <v>-64889.85000000021</v>
      </c>
      <c r="Y194" s="2"/>
      <c r="Z194" s="7">
        <f t="shared" si="46"/>
        <v>-5.8789051990960038E-2</v>
      </c>
    </row>
    <row r="195" spans="1:26" s="24" customFormat="1" hidden="1" outlineLevel="2" x14ac:dyDescent="0.25">
      <c r="A195" s="26"/>
      <c r="B195" s="11" t="str">
        <f>CONCATENATE("          ", "6008", " - ", "STUDENT HOURLY-FICA EXEMPT")</f>
        <v xml:space="preserve">          6008 - STUDENT HOURLY-FICA EXEMPT</v>
      </c>
      <c r="C195" s="11"/>
      <c r="D195" s="6"/>
      <c r="E195" s="2"/>
      <c r="F195" s="7">
        <f t="shared" si="39"/>
        <v>0</v>
      </c>
      <c r="G195" s="2"/>
      <c r="H195" s="6">
        <v>7079.08</v>
      </c>
      <c r="I195" s="2"/>
      <c r="J195" s="7">
        <f t="shared" si="40"/>
        <v>7.0981814191443601E-3</v>
      </c>
      <c r="K195" s="2"/>
      <c r="L195" s="6">
        <f t="shared" si="41"/>
        <v>-7079.08</v>
      </c>
      <c r="M195" s="2"/>
      <c r="N195" s="7">
        <f t="shared" si="42"/>
        <v>-1</v>
      </c>
      <c r="O195" s="11"/>
      <c r="P195" s="6">
        <v>26316.809999999998</v>
      </c>
      <c r="Q195" s="2"/>
      <c r="R195" s="7">
        <f t="shared" si="43"/>
        <v>2.3102422028990956E-3</v>
      </c>
      <c r="S195" s="2"/>
      <c r="T195" s="6">
        <v>54545.990000000005</v>
      </c>
      <c r="U195" s="2"/>
      <c r="V195" s="7">
        <f t="shared" si="44"/>
        <v>3.8388350048396934E-3</v>
      </c>
      <c r="W195" s="2"/>
      <c r="X195" s="6">
        <f t="shared" si="45"/>
        <v>-28229.180000000008</v>
      </c>
      <c r="Y195" s="2"/>
      <c r="Z195" s="7">
        <f t="shared" si="46"/>
        <v>-0.51752988624828344</v>
      </c>
    </row>
    <row r="196" spans="1:26" s="27" customFormat="1" outlineLevel="1" collapsed="1" x14ac:dyDescent="0.25">
      <c r="A196" s="25"/>
      <c r="B196" s="13" t="str">
        <f>CONCATENATE("     ","Advertising/Promo                                 ")</f>
        <v xml:space="preserve">     Advertising/Promo                                 </v>
      </c>
      <c r="C196" s="13"/>
      <c r="D196" s="1">
        <f>SUM(OSRRefD22_2x_0)</f>
        <v>1029</v>
      </c>
      <c r="E196" s="1"/>
      <c r="F196" s="5">
        <f t="shared" ref="F196:F200" si="47">IF(D$12=0,0,D196/D$12)</f>
        <v>3.9027744174767853E-3</v>
      </c>
      <c r="G196" s="1"/>
      <c r="H196" s="1">
        <f>SUM(OSRRefH22_2x_0)</f>
        <v>6614.83</v>
      </c>
      <c r="I196" s="1"/>
      <c r="J196" s="5">
        <f t="shared" ref="J196:J200" si="48">IF(H$12=0,0,H196/H$12)</f>
        <v>6.632678737462875E-3</v>
      </c>
      <c r="K196" s="1"/>
      <c r="L196" s="1">
        <f t="shared" ref="L196:L200" si="49">+D196-H196</f>
        <v>-5585.83</v>
      </c>
      <c r="M196" s="1"/>
      <c r="N196" s="5">
        <f t="shared" ref="N196:N200" si="50">IF(H196=0,0,L196/H196)</f>
        <v>-0.84444044669326346</v>
      </c>
      <c r="O196" s="13"/>
      <c r="P196" s="1">
        <f>SUM(OSRRefP22_2x_0)</f>
        <v>49078.68</v>
      </c>
      <c r="Q196" s="1"/>
      <c r="R196" s="5">
        <f t="shared" ref="R196:R200" si="51">IF(P$12=0,0,P196/P$12)</f>
        <v>4.3084111561613962E-3</v>
      </c>
      <c r="S196" s="1"/>
      <c r="T196" s="1">
        <f>SUM(OSRRefT22_2x_0)</f>
        <v>71822.880000000005</v>
      </c>
      <c r="U196" s="1"/>
      <c r="V196" s="5">
        <f t="shared" ref="V196:V200" si="52">IF(T$12=0,0,T196/T$12)</f>
        <v>5.0547471205931128E-3</v>
      </c>
      <c r="W196" s="1"/>
      <c r="X196" s="1">
        <f t="shared" ref="X196:X200" si="53">+P196-T196</f>
        <v>-22744.200000000004</v>
      </c>
      <c r="Y196" s="1"/>
      <c r="Z196" s="5">
        <f t="shared" ref="Z196:Z200" si="54">IF(T196=0,0,X196/T196)</f>
        <v>-0.31667067653093278</v>
      </c>
    </row>
    <row r="197" spans="1:26" s="24" customFormat="1" hidden="1" outlineLevel="2" x14ac:dyDescent="0.25">
      <c r="A197" s="26"/>
      <c r="B197" s="11" t="str">
        <f>CONCATENATE("          ", "6362", " - ", "ADVERTISING EXPENSE")</f>
        <v xml:space="preserve">          6362 - ADVERTISING EXPENSE</v>
      </c>
      <c r="C197" s="11"/>
      <c r="D197" s="6">
        <v>1029</v>
      </c>
      <c r="E197" s="2"/>
      <c r="F197" s="7">
        <f t="shared" si="47"/>
        <v>3.9027744174767853E-3</v>
      </c>
      <c r="G197" s="2"/>
      <c r="H197" s="6">
        <v>6614.83</v>
      </c>
      <c r="I197" s="2"/>
      <c r="J197" s="7">
        <f t="shared" si="48"/>
        <v>6.632678737462875E-3</v>
      </c>
      <c r="K197" s="2"/>
      <c r="L197" s="6">
        <f t="shared" si="49"/>
        <v>-5585.83</v>
      </c>
      <c r="M197" s="2"/>
      <c r="N197" s="7">
        <f t="shared" si="50"/>
        <v>-0.84444044669326346</v>
      </c>
      <c r="O197" s="11"/>
      <c r="P197" s="6">
        <v>49078.68</v>
      </c>
      <c r="Q197" s="2"/>
      <c r="R197" s="7">
        <f t="shared" si="51"/>
        <v>4.3084111561613962E-3</v>
      </c>
      <c r="S197" s="2"/>
      <c r="T197" s="6">
        <v>71822.880000000005</v>
      </c>
      <c r="U197" s="2"/>
      <c r="V197" s="7">
        <f t="shared" si="52"/>
        <v>5.0547471205931128E-3</v>
      </c>
      <c r="W197" s="2"/>
      <c r="X197" s="6">
        <f t="shared" si="53"/>
        <v>-22744.200000000004</v>
      </c>
      <c r="Y197" s="2"/>
      <c r="Z197" s="7">
        <f t="shared" si="54"/>
        <v>-0.31667067653093278</v>
      </c>
    </row>
    <row r="198" spans="1:26" s="27" customFormat="1" outlineLevel="1" collapsed="1" x14ac:dyDescent="0.25">
      <c r="A198" s="25"/>
      <c r="B198" s="13" t="str">
        <f>CONCATENATE("     ","Bad Debts/Over/Short                              ")</f>
        <v xml:space="preserve">     Bad Debts/Over/Short                              </v>
      </c>
      <c r="C198" s="13"/>
      <c r="D198" s="1">
        <f>SUM(OSRRefD22_3x_0)</f>
        <v>-4.55</v>
      </c>
      <c r="E198" s="1"/>
      <c r="F198" s="5">
        <f t="shared" si="47"/>
        <v>-1.7257165791564014E-5</v>
      </c>
      <c r="G198" s="1"/>
      <c r="H198" s="1">
        <f>SUM(OSRRefH22_3x_0)</f>
        <v>-1301.5999999999999</v>
      </c>
      <c r="I198" s="1"/>
      <c r="J198" s="5">
        <f t="shared" si="48"/>
        <v>-1.3051120958031692E-3</v>
      </c>
      <c r="K198" s="1"/>
      <c r="L198" s="1">
        <f t="shared" si="49"/>
        <v>1297.05</v>
      </c>
      <c r="M198" s="1"/>
      <c r="N198" s="5">
        <f t="shared" si="50"/>
        <v>-0.99650430239704979</v>
      </c>
      <c r="O198" s="13"/>
      <c r="P198" s="1">
        <f>SUM(OSRRefP22_3x_0)</f>
        <v>-459.84</v>
      </c>
      <c r="Q198" s="1"/>
      <c r="R198" s="5">
        <f t="shared" si="51"/>
        <v>-4.0367421985457965E-5</v>
      </c>
      <c r="S198" s="1"/>
      <c r="T198" s="1">
        <f>SUM(OSRRefT22_3x_0)</f>
        <v>-884.03</v>
      </c>
      <c r="U198" s="1"/>
      <c r="V198" s="5">
        <f t="shared" si="52"/>
        <v>-6.2216219915129119E-5</v>
      </c>
      <c r="W198" s="1"/>
      <c r="X198" s="1">
        <f t="shared" si="53"/>
        <v>424.19</v>
      </c>
      <c r="Y198" s="1"/>
      <c r="Z198" s="5">
        <f t="shared" si="54"/>
        <v>-0.47983665712702062</v>
      </c>
    </row>
    <row r="199" spans="1:26" s="24" customFormat="1" hidden="1" outlineLevel="2" x14ac:dyDescent="0.25">
      <c r="A199" s="26"/>
      <c r="B199" s="11" t="str">
        <f>CONCATENATE("          ", "6272", " - ", "CASH (OVER/SHORT)")</f>
        <v xml:space="preserve">          6272 - CASH (OVER/SHORT)</v>
      </c>
      <c r="C199" s="11"/>
      <c r="D199" s="6">
        <v>-4.55</v>
      </c>
      <c r="E199" s="2"/>
      <c r="F199" s="7">
        <f t="shared" si="47"/>
        <v>-1.7257165791564014E-5</v>
      </c>
      <c r="G199" s="2"/>
      <c r="H199" s="6">
        <v>-1301.5999999999999</v>
      </c>
      <c r="I199" s="2"/>
      <c r="J199" s="7">
        <f t="shared" si="48"/>
        <v>-1.3051120958031692E-3</v>
      </c>
      <c r="K199" s="2"/>
      <c r="L199" s="6">
        <f t="shared" si="49"/>
        <v>1297.05</v>
      </c>
      <c r="M199" s="2"/>
      <c r="N199" s="7">
        <f t="shared" si="50"/>
        <v>-0.99650430239704979</v>
      </c>
      <c r="O199" s="11"/>
      <c r="P199" s="6">
        <v>-504.64</v>
      </c>
      <c r="Q199" s="2"/>
      <c r="R199" s="7">
        <f t="shared" si="51"/>
        <v>-4.4300225797541559E-5</v>
      </c>
      <c r="S199" s="2"/>
      <c r="T199" s="6">
        <v>-884.03</v>
      </c>
      <c r="U199" s="2"/>
      <c r="V199" s="7">
        <f t="shared" si="52"/>
        <v>-6.2216219915129119E-5</v>
      </c>
      <c r="W199" s="2"/>
      <c r="X199" s="6">
        <f t="shared" si="53"/>
        <v>379.39</v>
      </c>
      <c r="Y199" s="2"/>
      <c r="Z199" s="7">
        <f t="shared" si="54"/>
        <v>-0.42915964390348743</v>
      </c>
    </row>
    <row r="200" spans="1:26" s="24" customFormat="1" hidden="1" outlineLevel="2" x14ac:dyDescent="0.25">
      <c r="A200" s="26"/>
      <c r="B200" s="11" t="str">
        <f>CONCATENATE("          ", "6342", " - ", "BAD DEBT")</f>
        <v xml:space="preserve">          6342 - BAD DEBT</v>
      </c>
      <c r="C200" s="11"/>
      <c r="D200" s="6"/>
      <c r="E200" s="2"/>
      <c r="F200" s="7">
        <f t="shared" si="47"/>
        <v>0</v>
      </c>
      <c r="G200" s="2"/>
      <c r="H200" s="6"/>
      <c r="I200" s="2"/>
      <c r="J200" s="7">
        <f t="shared" si="48"/>
        <v>0</v>
      </c>
      <c r="K200" s="2"/>
      <c r="L200" s="6">
        <f t="shared" si="49"/>
        <v>0</v>
      </c>
      <c r="M200" s="2"/>
      <c r="N200" s="7">
        <f t="shared" si="50"/>
        <v>0</v>
      </c>
      <c r="O200" s="11"/>
      <c r="P200" s="6">
        <v>44.8</v>
      </c>
      <c r="Q200" s="2"/>
      <c r="R200" s="7">
        <f t="shared" si="51"/>
        <v>3.9328038120835875E-6</v>
      </c>
      <c r="S200" s="2"/>
      <c r="T200" s="6"/>
      <c r="U200" s="2"/>
      <c r="V200" s="7">
        <f t="shared" si="52"/>
        <v>0</v>
      </c>
      <c r="W200" s="2"/>
      <c r="X200" s="6">
        <f t="shared" si="53"/>
        <v>44.8</v>
      </c>
      <c r="Y200" s="2"/>
      <c r="Z200" s="7">
        <f t="shared" si="54"/>
        <v>0</v>
      </c>
    </row>
    <row r="201" spans="1:26" s="27" customFormat="1" outlineLevel="1" collapsed="1" x14ac:dyDescent="0.25">
      <c r="A201" s="25"/>
      <c r="B201" s="13" t="str">
        <f>CONCATENATE("     ","Bank/card Fees                                    ")</f>
        <v xml:space="preserve">     Bank/card Fees                                    </v>
      </c>
      <c r="C201" s="13"/>
      <c r="D201" s="1">
        <f>SUM(OSRRefD22_4x_0)</f>
        <v>5473.34</v>
      </c>
      <c r="E201" s="1"/>
      <c r="F201" s="5">
        <f t="shared" ref="F201:F205" si="55">IF(D$12=0,0,D201/D$12)</f>
        <v>2.0759194684307473E-2</v>
      </c>
      <c r="G201" s="1"/>
      <c r="H201" s="1">
        <f>SUM(OSRRefH22_4x_0)</f>
        <v>24822.42</v>
      </c>
      <c r="I201" s="1"/>
      <c r="J201" s="5">
        <f t="shared" ref="J201:J205" si="56">IF(H$12=0,0,H201/H$12)</f>
        <v>2.4889398117014828E-2</v>
      </c>
      <c r="K201" s="1"/>
      <c r="L201" s="1">
        <f t="shared" ref="L201:L205" si="57">+D201-H201</f>
        <v>-19349.079999999998</v>
      </c>
      <c r="M201" s="1"/>
      <c r="N201" s="5">
        <f t="shared" ref="N201:N205" si="58">IF(H201=0,0,L201/H201)</f>
        <v>-0.77950014543303991</v>
      </c>
      <c r="O201" s="13"/>
      <c r="P201" s="1">
        <f>SUM(OSRRefP22_4x_0)</f>
        <v>234465.66</v>
      </c>
      <c r="Q201" s="1"/>
      <c r="R201" s="5">
        <f t="shared" ref="R201:R205" si="59">IF(P$12=0,0,P201/P$12)</f>
        <v>2.0582755389524428E-2</v>
      </c>
      <c r="S201" s="1"/>
      <c r="T201" s="1">
        <f>SUM(OSRRefT22_4x_0)</f>
        <v>268014.15000000002</v>
      </c>
      <c r="U201" s="1"/>
      <c r="V201" s="5">
        <f t="shared" ref="V201:V205" si="60">IF(T$12=0,0,T201/T$12)</f>
        <v>1.8862286683445591E-2</v>
      </c>
      <c r="W201" s="1"/>
      <c r="X201" s="1">
        <f t="shared" ref="X201:X205" si="61">+P201-T201</f>
        <v>-33548.49000000002</v>
      </c>
      <c r="Y201" s="1"/>
      <c r="Z201" s="5">
        <f t="shared" ref="Z201:Z205" si="62">IF(T201=0,0,X201/T201)</f>
        <v>-0.1251743238183507</v>
      </c>
    </row>
    <row r="202" spans="1:26" s="24" customFormat="1" hidden="1" outlineLevel="2" x14ac:dyDescent="0.25">
      <c r="A202" s="26"/>
      <c r="B202" s="11" t="str">
        <f>CONCATENATE("          ", "6381", " - ", "BANK/CREDIT CARD FEES")</f>
        <v xml:space="preserve">          6381 - BANK/CREDIT CARD FEES</v>
      </c>
      <c r="C202" s="11"/>
      <c r="D202" s="6">
        <v>5473.34</v>
      </c>
      <c r="E202" s="2"/>
      <c r="F202" s="7">
        <f t="shared" si="55"/>
        <v>2.0759194684307473E-2</v>
      </c>
      <c r="G202" s="2"/>
      <c r="H202" s="6">
        <v>24822.42</v>
      </c>
      <c r="I202" s="2"/>
      <c r="J202" s="7">
        <f t="shared" si="56"/>
        <v>2.4889398117014828E-2</v>
      </c>
      <c r="K202" s="2"/>
      <c r="L202" s="6">
        <f t="shared" si="57"/>
        <v>-19349.079999999998</v>
      </c>
      <c r="M202" s="2"/>
      <c r="N202" s="7">
        <f t="shared" si="58"/>
        <v>-0.77950014543303991</v>
      </c>
      <c r="O202" s="11"/>
      <c r="P202" s="6">
        <v>234465.66</v>
      </c>
      <c r="Q202" s="2"/>
      <c r="R202" s="7">
        <f t="shared" si="59"/>
        <v>2.0582755389524428E-2</v>
      </c>
      <c r="S202" s="2"/>
      <c r="T202" s="6">
        <v>268014.15000000002</v>
      </c>
      <c r="U202" s="2"/>
      <c r="V202" s="7">
        <f t="shared" si="60"/>
        <v>1.8862286683445591E-2</v>
      </c>
      <c r="W202" s="2"/>
      <c r="X202" s="6">
        <f t="shared" si="61"/>
        <v>-33548.49000000002</v>
      </c>
      <c r="Y202" s="2"/>
      <c r="Z202" s="7">
        <f t="shared" si="62"/>
        <v>-0.1251743238183507</v>
      </c>
    </row>
    <row r="203" spans="1:26" s="27" customFormat="1" outlineLevel="1" collapsed="1" x14ac:dyDescent="0.25">
      <c r="A203" s="25"/>
      <c r="B203" s="13" t="str">
        <f>CONCATENATE("     ","Depreciation                                      ")</f>
        <v xml:space="preserve">     Depreciation                                      </v>
      </c>
      <c r="C203" s="13"/>
      <c r="D203" s="1">
        <f>SUM(OSRRefD22_5x_0)</f>
        <v>39340.210000000006</v>
      </c>
      <c r="E203" s="1"/>
      <c r="F203" s="5">
        <f t="shared" si="55"/>
        <v>0.14920890686702082</v>
      </c>
      <c r="G203" s="1"/>
      <c r="H203" s="1">
        <f>SUM(OSRRefH22_5x_0)</f>
        <v>38430.120000000003</v>
      </c>
      <c r="I203" s="1"/>
      <c r="J203" s="5">
        <f t="shared" si="56"/>
        <v>3.8533815653939221E-2</v>
      </c>
      <c r="K203" s="1"/>
      <c r="L203" s="1">
        <f t="shared" si="57"/>
        <v>910.09000000000378</v>
      </c>
      <c r="M203" s="1"/>
      <c r="N203" s="5">
        <f t="shared" si="58"/>
        <v>2.3681685094920437E-2</v>
      </c>
      <c r="O203" s="13"/>
      <c r="P203" s="1">
        <f>SUM(OSRRefP22_5x_0)</f>
        <v>423751.38</v>
      </c>
      <c r="Q203" s="1"/>
      <c r="R203" s="5">
        <f t="shared" si="59"/>
        <v>3.719935363035002E-2</v>
      </c>
      <c r="S203" s="1"/>
      <c r="T203" s="1">
        <f>SUM(OSRRefT22_5x_0)</f>
        <v>416406.81999999995</v>
      </c>
      <c r="U203" s="1"/>
      <c r="V203" s="5">
        <f t="shared" si="60"/>
        <v>2.9305858723436516E-2</v>
      </c>
      <c r="W203" s="1"/>
      <c r="X203" s="1">
        <f t="shared" si="61"/>
        <v>7344.5600000000559</v>
      </c>
      <c r="Y203" s="1"/>
      <c r="Z203" s="5">
        <f t="shared" si="62"/>
        <v>1.7637943586034582E-2</v>
      </c>
    </row>
    <row r="204" spans="1:26" s="24" customFormat="1" hidden="1" outlineLevel="2" x14ac:dyDescent="0.25">
      <c r="A204" s="26"/>
      <c r="B204" s="11" t="str">
        <f>CONCATENATE("          ", "6321", " - ", "BUILDING DEPRECIATION")</f>
        <v xml:space="preserve">          6321 - BUILDING DEPRECIATION</v>
      </c>
      <c r="C204" s="11"/>
      <c r="D204" s="6">
        <v>21477.030000000002</v>
      </c>
      <c r="E204" s="2"/>
      <c r="F204" s="7">
        <f t="shared" si="55"/>
        <v>8.1457729103383336E-2</v>
      </c>
      <c r="G204" s="2"/>
      <c r="H204" s="6">
        <v>21533.89</v>
      </c>
      <c r="I204" s="2"/>
      <c r="J204" s="7">
        <f t="shared" si="56"/>
        <v>2.1591994705512374E-2</v>
      </c>
      <c r="K204" s="2"/>
      <c r="L204" s="6">
        <f t="shared" si="57"/>
        <v>-56.859999999996944</v>
      </c>
      <c r="M204" s="2"/>
      <c r="N204" s="7">
        <f t="shared" si="58"/>
        <v>-2.6404890152219103E-3</v>
      </c>
      <c r="O204" s="11"/>
      <c r="P204" s="6">
        <v>236247.33</v>
      </c>
      <c r="Q204" s="2"/>
      <c r="R204" s="7">
        <f t="shared" si="59"/>
        <v>2.0739160714700208E-2</v>
      </c>
      <c r="S204" s="2"/>
      <c r="T204" s="6">
        <v>236872.78999999998</v>
      </c>
      <c r="U204" s="2"/>
      <c r="V204" s="7">
        <f t="shared" si="60"/>
        <v>1.6670621579075593E-2</v>
      </c>
      <c r="W204" s="2"/>
      <c r="X204" s="6">
        <f t="shared" si="61"/>
        <v>-625.45999999999185</v>
      </c>
      <c r="Y204" s="2"/>
      <c r="Z204" s="7">
        <f t="shared" si="62"/>
        <v>-2.6404890152220183E-3</v>
      </c>
    </row>
    <row r="205" spans="1:26" s="24" customFormat="1" hidden="1" outlineLevel="2" x14ac:dyDescent="0.25">
      <c r="A205" s="26"/>
      <c r="B205" s="11" t="str">
        <f>CONCATENATE("          ", "6322", " - ", "EQUIPMENT DEPRECIATION EXPENSE")</f>
        <v xml:space="preserve">          6322 - EQUIPMENT DEPRECIATION EXPENSE</v>
      </c>
      <c r="C205" s="11"/>
      <c r="D205" s="6">
        <v>17863.18</v>
      </c>
      <c r="E205" s="2"/>
      <c r="F205" s="7">
        <f t="shared" si="55"/>
        <v>6.7751177763637482E-2</v>
      </c>
      <c r="G205" s="2"/>
      <c r="H205" s="6">
        <v>16896.230000000003</v>
      </c>
      <c r="I205" s="2"/>
      <c r="J205" s="7">
        <f t="shared" si="56"/>
        <v>1.6941820948426847E-2</v>
      </c>
      <c r="K205" s="2"/>
      <c r="L205" s="6">
        <f t="shared" si="57"/>
        <v>966.94999999999709</v>
      </c>
      <c r="M205" s="2"/>
      <c r="N205" s="7">
        <f t="shared" si="58"/>
        <v>5.7228742743203477E-2</v>
      </c>
      <c r="O205" s="11"/>
      <c r="P205" s="6">
        <v>187504.05000000002</v>
      </c>
      <c r="Q205" s="2"/>
      <c r="R205" s="7">
        <f t="shared" si="59"/>
        <v>1.6460192915649815E-2</v>
      </c>
      <c r="S205" s="2"/>
      <c r="T205" s="6">
        <v>179534.03</v>
      </c>
      <c r="U205" s="2"/>
      <c r="V205" s="7">
        <f t="shared" si="60"/>
        <v>1.2635237144360927E-2</v>
      </c>
      <c r="W205" s="2"/>
      <c r="X205" s="6">
        <f t="shared" si="61"/>
        <v>7970.0200000000186</v>
      </c>
      <c r="Y205" s="2"/>
      <c r="Z205" s="7">
        <f t="shared" si="62"/>
        <v>4.4392809541455837E-2</v>
      </c>
    </row>
    <row r="206" spans="1:26" s="27" customFormat="1" outlineLevel="1" collapsed="1" x14ac:dyDescent="0.25">
      <c r="A206" s="25"/>
      <c r="B206" s="13" t="str">
        <f>CONCATENATE("     ","Discounts and Markdowns                           ")</f>
        <v xml:space="preserve">     Discounts and Markdowns                           </v>
      </c>
      <c r="C206" s="13"/>
      <c r="D206" s="1">
        <f>SUM(OSRRefD22_6x_0)</f>
        <v>43517.71</v>
      </c>
      <c r="E206" s="1"/>
      <c r="F206" s="5">
        <f t="shared" ref="F206:F208" si="63">IF(D$12=0,0,D206/D$12)</f>
        <v>0.16505326073389084</v>
      </c>
      <c r="G206" s="1"/>
      <c r="H206" s="1">
        <f>SUM(OSRRefH22_6x_0)</f>
        <v>23888.3</v>
      </c>
      <c r="I206" s="1"/>
      <c r="J206" s="5">
        <f t="shared" ref="J206:J208" si="64">IF(H$12=0,0,H206/H$12)</f>
        <v>2.3952757589255413E-2</v>
      </c>
      <c r="K206" s="1"/>
      <c r="L206" s="1">
        <f t="shared" ref="L206:L208" si="65">+D206-H206</f>
        <v>19629.41</v>
      </c>
      <c r="M206" s="1"/>
      <c r="N206" s="5">
        <f t="shared" ref="N206:N208" si="66">IF(H206=0,0,L206/H206)</f>
        <v>0.82171648882507342</v>
      </c>
      <c r="O206" s="13"/>
      <c r="P206" s="1">
        <f>SUM(OSRRefP22_6x_0)</f>
        <v>347538.15</v>
      </c>
      <c r="Q206" s="1"/>
      <c r="R206" s="5">
        <f t="shared" ref="R206:R208" si="67">IF(P$12=0,0,P206/P$12)</f>
        <v>3.0508914311707096E-2</v>
      </c>
      <c r="S206" s="1"/>
      <c r="T206" s="1">
        <f>SUM(OSRRefT22_6x_0)</f>
        <v>338540.53</v>
      </c>
      <c r="U206" s="1"/>
      <c r="V206" s="5">
        <f t="shared" ref="V206:V208" si="68">IF(T$12=0,0,T206/T$12)</f>
        <v>2.3825788790724715E-2</v>
      </c>
      <c r="W206" s="1"/>
      <c r="X206" s="1">
        <f t="shared" ref="X206:X208" si="69">+P206-T206</f>
        <v>8997.6199999999953</v>
      </c>
      <c r="Y206" s="1"/>
      <c r="Z206" s="5">
        <f t="shared" ref="Z206:Z208" si="70">IF(T206=0,0,X206/T206)</f>
        <v>2.6577674466333454E-2</v>
      </c>
    </row>
    <row r="207" spans="1:26" s="24" customFormat="1" hidden="1" outlineLevel="2" x14ac:dyDescent="0.25">
      <c r="A207" s="26"/>
      <c r="B207" s="11" t="str">
        <f>CONCATENATE("          ", "6382", " - ", "DISCOUNTS/MARK DOWNS")</f>
        <v xml:space="preserve">          6382 - DISCOUNTS/MARK DOWNS</v>
      </c>
      <c r="C207" s="11"/>
      <c r="D207" s="6">
        <v>43517.71</v>
      </c>
      <c r="E207" s="2"/>
      <c r="F207" s="7">
        <f t="shared" si="63"/>
        <v>0.16505326073389084</v>
      </c>
      <c r="G207" s="2"/>
      <c r="H207" s="6">
        <v>23970.09</v>
      </c>
      <c r="I207" s="2"/>
      <c r="J207" s="7">
        <f t="shared" si="64"/>
        <v>2.4034768282491233E-2</v>
      </c>
      <c r="K207" s="2"/>
      <c r="L207" s="6">
        <f t="shared" si="65"/>
        <v>19547.62</v>
      </c>
      <c r="M207" s="2"/>
      <c r="N207" s="7">
        <f t="shared" si="66"/>
        <v>0.8155004841450324</v>
      </c>
      <c r="O207" s="11"/>
      <c r="P207" s="6">
        <v>350769.77</v>
      </c>
      <c r="Q207" s="2"/>
      <c r="R207" s="7">
        <f t="shared" si="67"/>
        <v>3.079260465668936E-2</v>
      </c>
      <c r="S207" s="2"/>
      <c r="T207" s="6">
        <v>343116.69</v>
      </c>
      <c r="U207" s="2"/>
      <c r="V207" s="7">
        <f t="shared" si="68"/>
        <v>2.4147849554416914E-2</v>
      </c>
      <c r="W207" s="2"/>
      <c r="X207" s="6">
        <f t="shared" si="69"/>
        <v>7653.0800000000163</v>
      </c>
      <c r="Y207" s="2"/>
      <c r="Z207" s="7">
        <f t="shared" si="70"/>
        <v>2.2304598473481475E-2</v>
      </c>
    </row>
    <row r="208" spans="1:26" s="24" customFormat="1" hidden="1" outlineLevel="2" x14ac:dyDescent="0.25">
      <c r="A208" s="26"/>
      <c r="B208" s="11" t="str">
        <f>CONCATENATE("          ", "9175", " - ", "EARNED DISCOUNTS")</f>
        <v xml:space="preserve">          9175 - EARNED DISCOUNTS</v>
      </c>
      <c r="C208" s="11"/>
      <c r="D208" s="6"/>
      <c r="E208" s="2"/>
      <c r="F208" s="7">
        <f t="shared" si="63"/>
        <v>0</v>
      </c>
      <c r="G208" s="2"/>
      <c r="H208" s="6">
        <v>-81.790000000000006</v>
      </c>
      <c r="I208" s="2"/>
      <c r="J208" s="7">
        <f t="shared" si="64"/>
        <v>-8.2010693235818396E-5</v>
      </c>
      <c r="K208" s="2"/>
      <c r="L208" s="6">
        <f t="shared" si="65"/>
        <v>81.790000000000006</v>
      </c>
      <c r="M208" s="2"/>
      <c r="N208" s="7">
        <f t="shared" si="66"/>
        <v>-1</v>
      </c>
      <c r="O208" s="11"/>
      <c r="P208" s="6">
        <v>-3231.62</v>
      </c>
      <c r="Q208" s="2"/>
      <c r="R208" s="7">
        <f t="shared" si="67"/>
        <v>-2.8369034498226705E-4</v>
      </c>
      <c r="S208" s="2"/>
      <c r="T208" s="6">
        <v>-4576.16</v>
      </c>
      <c r="U208" s="2"/>
      <c r="V208" s="7">
        <f t="shared" si="68"/>
        <v>-3.2206076369220191E-4</v>
      </c>
      <c r="W208" s="2"/>
      <c r="X208" s="6">
        <f t="shared" si="69"/>
        <v>1344.54</v>
      </c>
      <c r="Y208" s="2"/>
      <c r="Z208" s="7">
        <f t="shared" si="70"/>
        <v>-0.29381402748155661</v>
      </c>
    </row>
    <row r="209" spans="1:26" s="27" customFormat="1" outlineLevel="1" collapsed="1" x14ac:dyDescent="0.25">
      <c r="A209" s="25"/>
      <c r="B209" s="13" t="str">
        <f>CONCATENATE("     ","Donations                                         ")</f>
        <v xml:space="preserve">     Donations                                         </v>
      </c>
      <c r="C209" s="13"/>
      <c r="D209" s="1">
        <f>SUM(OSRRefD22_7x_0)</f>
        <v>-1385.81</v>
      </c>
      <c r="E209" s="1"/>
      <c r="F209" s="5">
        <f t="shared" ref="F209:F217" si="71">IF(D$12=0,0,D209/D$12)</f>
        <v>-5.2560775660675449E-3</v>
      </c>
      <c r="G209" s="1"/>
      <c r="H209" s="1">
        <f>SUM(OSRRefH22_7x_0)</f>
        <v>296.94</v>
      </c>
      <c r="I209" s="1"/>
      <c r="J209" s="5">
        <f t="shared" ref="J209:J217" si="72">IF(H$12=0,0,H209/H$12)</f>
        <v>2.9774123058373778E-4</v>
      </c>
      <c r="K209" s="1"/>
      <c r="L209" s="1">
        <f t="shared" ref="L209:L217" si="73">+D209-H209</f>
        <v>-1682.75</v>
      </c>
      <c r="M209" s="1"/>
      <c r="N209" s="5">
        <f t="shared" ref="N209:N217" si="74">IF(H209=0,0,L209/H209)</f>
        <v>-5.6669697582003096</v>
      </c>
      <c r="O209" s="13"/>
      <c r="P209" s="1">
        <f>SUM(OSRRefP22_7x_0)</f>
        <v>10985.64</v>
      </c>
      <c r="Q209" s="1"/>
      <c r="R209" s="5">
        <f t="shared" ref="R209:R217" si="75">IF(P$12=0,0,P209/P$12)</f>
        <v>9.6438318906647198E-4</v>
      </c>
      <c r="S209" s="1"/>
      <c r="T209" s="1">
        <f>SUM(OSRRefT22_7x_0)</f>
        <v>9184</v>
      </c>
      <c r="U209" s="1"/>
      <c r="V209" s="5">
        <f t="shared" ref="V209:V217" si="76">IF(T$12=0,0,T209/T$12)</f>
        <v>6.4635110086823508E-4</v>
      </c>
      <c r="W209" s="1"/>
      <c r="X209" s="1">
        <f t="shared" ref="X209:X217" si="77">+P209-T209</f>
        <v>1801.6399999999994</v>
      </c>
      <c r="Y209" s="1"/>
      <c r="Z209" s="5">
        <f t="shared" ref="Z209:Z217" si="78">IF(T209=0,0,X209/T209)</f>
        <v>0.19617160278745638</v>
      </c>
    </row>
    <row r="210" spans="1:26" s="24" customFormat="1" hidden="1" outlineLevel="2" x14ac:dyDescent="0.25">
      <c r="A210" s="26"/>
      <c r="B210" s="11" t="str">
        <f>CONCATENATE("          ", "6399", " - ", "DONATION-ON CAMPUS")</f>
        <v xml:space="preserve">          6399 - DONATION-ON CAMPUS</v>
      </c>
      <c r="C210" s="11"/>
      <c r="D210" s="6">
        <v>-1385.81</v>
      </c>
      <c r="E210" s="2"/>
      <c r="F210" s="7">
        <f t="shared" si="71"/>
        <v>-5.2560775660675449E-3</v>
      </c>
      <c r="G210" s="2"/>
      <c r="H210" s="6">
        <v>296.94</v>
      </c>
      <c r="I210" s="2"/>
      <c r="J210" s="7">
        <f t="shared" si="72"/>
        <v>2.9774123058373778E-4</v>
      </c>
      <c r="K210" s="2"/>
      <c r="L210" s="6">
        <f t="shared" si="73"/>
        <v>-1682.75</v>
      </c>
      <c r="M210" s="2"/>
      <c r="N210" s="7">
        <f t="shared" si="74"/>
        <v>-5.6669697582003096</v>
      </c>
      <c r="O210" s="11"/>
      <c r="P210" s="6">
        <v>10985.64</v>
      </c>
      <c r="Q210" s="2"/>
      <c r="R210" s="7">
        <f t="shared" si="75"/>
        <v>9.6438318906647198E-4</v>
      </c>
      <c r="S210" s="2"/>
      <c r="T210" s="6">
        <v>9184</v>
      </c>
      <c r="U210" s="2"/>
      <c r="V210" s="7">
        <f t="shared" si="76"/>
        <v>6.4635110086823508E-4</v>
      </c>
      <c r="W210" s="2"/>
      <c r="X210" s="6">
        <f t="shared" si="77"/>
        <v>1801.6399999999994</v>
      </c>
      <c r="Y210" s="2"/>
      <c r="Z210" s="7">
        <f t="shared" si="78"/>
        <v>0.19617160278745638</v>
      </c>
    </row>
    <row r="211" spans="1:26" s="27" customFormat="1" outlineLevel="1" collapsed="1" x14ac:dyDescent="0.25">
      <c r="A211" s="25"/>
      <c r="B211" s="13" t="str">
        <f>CONCATENATE("     ","Employees' Appreciation                           ")</f>
        <v xml:space="preserve">     Employees' Appreciation                           </v>
      </c>
      <c r="C211" s="13"/>
      <c r="D211" s="1">
        <f>SUM(OSRRefD22_8x_0)</f>
        <v>0</v>
      </c>
      <c r="E211" s="1"/>
      <c r="F211" s="5">
        <f t="shared" si="71"/>
        <v>0</v>
      </c>
      <c r="G211" s="1"/>
      <c r="H211" s="1">
        <f>SUM(OSRRefH22_8x_0)</f>
        <v>232.94</v>
      </c>
      <c r="I211" s="1"/>
      <c r="J211" s="5">
        <f t="shared" si="72"/>
        <v>2.3356853994805642E-4</v>
      </c>
      <c r="K211" s="1"/>
      <c r="L211" s="1">
        <f t="shared" si="73"/>
        <v>-232.94</v>
      </c>
      <c r="M211" s="1"/>
      <c r="N211" s="5">
        <f t="shared" si="74"/>
        <v>-1</v>
      </c>
      <c r="O211" s="13"/>
      <c r="P211" s="1">
        <f>SUM(OSRRefP22_8x_0)</f>
        <v>1718.11</v>
      </c>
      <c r="Q211" s="1"/>
      <c r="R211" s="5">
        <f t="shared" si="75"/>
        <v>1.508256597673869E-4</v>
      </c>
      <c r="S211" s="1"/>
      <c r="T211" s="1">
        <f>SUM(OSRRefT22_8x_0)</f>
        <v>4399.72</v>
      </c>
      <c r="U211" s="1"/>
      <c r="V211" s="5">
        <f t="shared" si="76"/>
        <v>3.0964327803919769E-4</v>
      </c>
      <c r="W211" s="1"/>
      <c r="X211" s="1">
        <f t="shared" si="77"/>
        <v>-2681.6100000000006</v>
      </c>
      <c r="Y211" s="1"/>
      <c r="Z211" s="5">
        <f t="shared" si="78"/>
        <v>-0.60949560426572613</v>
      </c>
    </row>
    <row r="212" spans="1:26" s="24" customFormat="1" hidden="1" outlineLevel="2" x14ac:dyDescent="0.25">
      <c r="A212" s="26"/>
      <c r="B212" s="11" t="str">
        <f>CONCATENATE("          ", "6277", " - ", "EMPLOYEE APPRECIATION")</f>
        <v xml:space="preserve">          6277 - EMPLOYEE APPRECIATION</v>
      </c>
      <c r="C212" s="11"/>
      <c r="D212" s="6"/>
      <c r="E212" s="2"/>
      <c r="F212" s="7">
        <f t="shared" si="71"/>
        <v>0</v>
      </c>
      <c r="G212" s="2"/>
      <c r="H212" s="6">
        <v>232.94</v>
      </c>
      <c r="I212" s="2"/>
      <c r="J212" s="7">
        <f t="shared" si="72"/>
        <v>2.3356853994805642E-4</v>
      </c>
      <c r="K212" s="2"/>
      <c r="L212" s="6">
        <f t="shared" si="73"/>
        <v>-232.94</v>
      </c>
      <c r="M212" s="2"/>
      <c r="N212" s="7">
        <f t="shared" si="74"/>
        <v>-1</v>
      </c>
      <c r="O212" s="11"/>
      <c r="P212" s="6">
        <v>1718.11</v>
      </c>
      <c r="Q212" s="2"/>
      <c r="R212" s="7">
        <f t="shared" si="75"/>
        <v>1.508256597673869E-4</v>
      </c>
      <c r="S212" s="2"/>
      <c r="T212" s="6">
        <v>4399.72</v>
      </c>
      <c r="U212" s="2"/>
      <c r="V212" s="7">
        <f t="shared" si="76"/>
        <v>3.0964327803919769E-4</v>
      </c>
      <c r="W212" s="2"/>
      <c r="X212" s="6">
        <f t="shared" si="77"/>
        <v>-2681.6100000000006</v>
      </c>
      <c r="Y212" s="2"/>
      <c r="Z212" s="7">
        <f t="shared" si="78"/>
        <v>-0.60949560426572613</v>
      </c>
    </row>
    <row r="213" spans="1:26" s="27" customFormat="1" outlineLevel="1" collapsed="1" x14ac:dyDescent="0.25">
      <c r="A213" s="25"/>
      <c r="B213" s="13" t="str">
        <f>CONCATENATE("     ","Equipment Rental                                  ")</f>
        <v xml:space="preserve">     Equipment Rental                                  </v>
      </c>
      <c r="C213" s="13"/>
      <c r="D213" s="1">
        <f>SUM(OSRRefD22_9x_0)</f>
        <v>1723.77</v>
      </c>
      <c r="E213" s="1"/>
      <c r="F213" s="5">
        <f t="shared" si="71"/>
        <v>6.5378867420932537E-3</v>
      </c>
      <c r="G213" s="1"/>
      <c r="H213" s="1">
        <f>SUM(OSRRefH22_9x_0)</f>
        <v>3572.27</v>
      </c>
      <c r="I213" s="1"/>
      <c r="J213" s="5">
        <f t="shared" si="72"/>
        <v>3.5819090246425839E-3</v>
      </c>
      <c r="K213" s="1"/>
      <c r="L213" s="1">
        <f t="shared" si="73"/>
        <v>-1848.5</v>
      </c>
      <c r="M213" s="1"/>
      <c r="N213" s="5">
        <f t="shared" si="74"/>
        <v>-0.51745808687473227</v>
      </c>
      <c r="O213" s="13"/>
      <c r="P213" s="1">
        <f>SUM(OSRRefP22_9x_0)</f>
        <v>19437.75</v>
      </c>
      <c r="Q213" s="1"/>
      <c r="R213" s="5">
        <f t="shared" si="75"/>
        <v>1.7063584218376731E-3</v>
      </c>
      <c r="S213" s="1"/>
      <c r="T213" s="1">
        <f>SUM(OSRRefT22_9x_0)</f>
        <v>38891.120000000003</v>
      </c>
      <c r="U213" s="1"/>
      <c r="V213" s="5">
        <f t="shared" si="76"/>
        <v>2.7370773329702348E-3</v>
      </c>
      <c r="W213" s="1"/>
      <c r="X213" s="1">
        <f t="shared" si="77"/>
        <v>-19453.370000000003</v>
      </c>
      <c r="Y213" s="1"/>
      <c r="Z213" s="5">
        <f t="shared" si="78"/>
        <v>-0.50020081705026753</v>
      </c>
    </row>
    <row r="214" spans="1:26" s="24" customFormat="1" hidden="1" outlineLevel="2" x14ac:dyDescent="0.25">
      <c r="A214" s="26"/>
      <c r="B214" s="11" t="str">
        <f>CONCATENATE("          ", "6351", " - ", "EQUIPMENT RENTAL")</f>
        <v xml:space="preserve">          6351 - EQUIPMENT RENTAL</v>
      </c>
      <c r="C214" s="11"/>
      <c r="D214" s="6">
        <v>1723.77</v>
      </c>
      <c r="E214" s="2"/>
      <c r="F214" s="7">
        <f t="shared" si="71"/>
        <v>6.5378867420932537E-3</v>
      </c>
      <c r="G214" s="2"/>
      <c r="H214" s="6">
        <v>3572.27</v>
      </c>
      <c r="I214" s="2"/>
      <c r="J214" s="7">
        <f t="shared" si="72"/>
        <v>3.5819090246425839E-3</v>
      </c>
      <c r="K214" s="2"/>
      <c r="L214" s="6">
        <f t="shared" si="73"/>
        <v>-1848.5</v>
      </c>
      <c r="M214" s="2"/>
      <c r="N214" s="7">
        <f t="shared" si="74"/>
        <v>-0.51745808687473227</v>
      </c>
      <c r="O214" s="11"/>
      <c r="P214" s="6">
        <v>19437.75</v>
      </c>
      <c r="Q214" s="2"/>
      <c r="R214" s="7">
        <f t="shared" si="75"/>
        <v>1.7063584218376731E-3</v>
      </c>
      <c r="S214" s="2"/>
      <c r="T214" s="6">
        <v>38891.120000000003</v>
      </c>
      <c r="U214" s="2"/>
      <c r="V214" s="7">
        <f t="shared" si="76"/>
        <v>2.7370773329702348E-3</v>
      </c>
      <c r="W214" s="2"/>
      <c r="X214" s="6">
        <f t="shared" si="77"/>
        <v>-19453.370000000003</v>
      </c>
      <c r="Y214" s="2"/>
      <c r="Z214" s="7">
        <f t="shared" si="78"/>
        <v>-0.50020081705026753</v>
      </c>
    </row>
    <row r="215" spans="1:26" s="27" customFormat="1" outlineLevel="1" collapsed="1" x14ac:dyDescent="0.25">
      <c r="A215" s="25"/>
      <c r="B215" s="13" t="str">
        <f>CONCATENATE("     ","Freight out/Postage                               ")</f>
        <v xml:space="preserve">     Freight out/Postage                               </v>
      </c>
      <c r="C215" s="13"/>
      <c r="D215" s="1">
        <f>SUM(OSRRefD22_10x_0)</f>
        <v>6098.17</v>
      </c>
      <c r="E215" s="1"/>
      <c r="F215" s="5">
        <f t="shared" si="71"/>
        <v>2.3129039717613615E-2</v>
      </c>
      <c r="G215" s="1"/>
      <c r="H215" s="1">
        <f>SUM(OSRRefH22_10x_0)</f>
        <v>1341.2900000000004</v>
      </c>
      <c r="I215" s="1"/>
      <c r="J215" s="5">
        <f t="shared" si="72"/>
        <v>1.3449091909802039E-3</v>
      </c>
      <c r="K215" s="1"/>
      <c r="L215" s="1">
        <f t="shared" si="73"/>
        <v>4756.8799999999992</v>
      </c>
      <c r="M215" s="1"/>
      <c r="N215" s="5">
        <f t="shared" si="74"/>
        <v>3.5464962834286378</v>
      </c>
      <c r="O215" s="13"/>
      <c r="P215" s="1">
        <f>SUM(OSRRefP22_10x_0)</f>
        <v>16323.55000000001</v>
      </c>
      <c r="Q215" s="1"/>
      <c r="R215" s="5">
        <f t="shared" si="75"/>
        <v>1.4329758854182387E-3</v>
      </c>
      <c r="S215" s="1"/>
      <c r="T215" s="1">
        <f>SUM(OSRRefT22_10x_0)</f>
        <v>-2308.3000000000029</v>
      </c>
      <c r="U215" s="1"/>
      <c r="V215" s="5">
        <f t="shared" si="76"/>
        <v>-1.6245342401286465E-4</v>
      </c>
      <c r="W215" s="1"/>
      <c r="X215" s="1">
        <f t="shared" si="77"/>
        <v>18631.850000000013</v>
      </c>
      <c r="Y215" s="1"/>
      <c r="Z215" s="5">
        <f t="shared" si="78"/>
        <v>-8.071676125287004</v>
      </c>
    </row>
    <row r="216" spans="1:26" s="24" customFormat="1" hidden="1" outlineLevel="2" x14ac:dyDescent="0.25">
      <c r="A216" s="26"/>
      <c r="B216" s="11" t="str">
        <f>CONCATENATE("          ", "6305", " - ", "FREIGHT OUT")</f>
        <v xml:space="preserve">          6305 - FREIGHT OUT</v>
      </c>
      <c r="C216" s="11"/>
      <c r="D216" s="6">
        <v>7586</v>
      </c>
      <c r="E216" s="2"/>
      <c r="F216" s="7">
        <f t="shared" si="71"/>
        <v>2.8772057075781239E-2</v>
      </c>
      <c r="G216" s="2"/>
      <c r="H216" s="6">
        <v>3650.03</v>
      </c>
      <c r="I216" s="2"/>
      <c r="J216" s="7">
        <f t="shared" si="72"/>
        <v>3.6598788437649369E-3</v>
      </c>
      <c r="K216" s="2"/>
      <c r="L216" s="6">
        <f t="shared" si="73"/>
        <v>3935.97</v>
      </c>
      <c r="M216" s="2"/>
      <c r="N216" s="7">
        <f t="shared" si="74"/>
        <v>1.0783390821445302</v>
      </c>
      <c r="O216" s="11"/>
      <c r="P216" s="6">
        <v>70242.37000000001</v>
      </c>
      <c r="Q216" s="2"/>
      <c r="R216" s="7">
        <f t="shared" si="75"/>
        <v>6.1662826005755775E-3</v>
      </c>
      <c r="S216" s="2"/>
      <c r="T216" s="6">
        <v>71735.64</v>
      </c>
      <c r="U216" s="2"/>
      <c r="V216" s="7">
        <f t="shared" si="76"/>
        <v>5.0486073481584709E-3</v>
      </c>
      <c r="W216" s="2"/>
      <c r="X216" s="6">
        <f t="shared" si="77"/>
        <v>-1493.2699999999895</v>
      </c>
      <c r="Y216" s="2"/>
      <c r="Z216" s="7">
        <f t="shared" si="78"/>
        <v>-2.081629159508425E-2</v>
      </c>
    </row>
    <row r="217" spans="1:26" s="24" customFormat="1" hidden="1" outlineLevel="2" x14ac:dyDescent="0.25">
      <c r="A217" s="26"/>
      <c r="B217" s="11" t="str">
        <f>CONCATENATE("          ", "6307", " - ", "POSTAGE")</f>
        <v xml:space="preserve">          6307 - POSTAGE</v>
      </c>
      <c r="C217" s="11"/>
      <c r="D217" s="6">
        <v>-1487.83</v>
      </c>
      <c r="E217" s="2"/>
      <c r="F217" s="7">
        <f t="shared" si="71"/>
        <v>-5.6430173581676242E-3</v>
      </c>
      <c r="G217" s="2"/>
      <c r="H217" s="6">
        <v>-2308.7399999999998</v>
      </c>
      <c r="I217" s="2"/>
      <c r="J217" s="7">
        <f t="shared" si="72"/>
        <v>-2.314969652784733E-3</v>
      </c>
      <c r="K217" s="2"/>
      <c r="L217" s="6">
        <f t="shared" si="73"/>
        <v>820.90999999999985</v>
      </c>
      <c r="M217" s="2"/>
      <c r="N217" s="7">
        <f t="shared" si="74"/>
        <v>-0.355566239593891</v>
      </c>
      <c r="O217" s="11"/>
      <c r="P217" s="6">
        <v>-53918.82</v>
      </c>
      <c r="Q217" s="2"/>
      <c r="R217" s="7">
        <f t="shared" si="75"/>
        <v>-4.7333067151573392E-3</v>
      </c>
      <c r="S217" s="2"/>
      <c r="T217" s="6">
        <v>-74043.94</v>
      </c>
      <c r="U217" s="2"/>
      <c r="V217" s="7">
        <f t="shared" si="76"/>
        <v>-5.2110607721713356E-3</v>
      </c>
      <c r="W217" s="2"/>
      <c r="X217" s="6">
        <f t="shared" si="77"/>
        <v>20125.120000000003</v>
      </c>
      <c r="Y217" s="2"/>
      <c r="Z217" s="7">
        <f t="shared" si="78"/>
        <v>-0.27179969083222749</v>
      </c>
    </row>
    <row r="218" spans="1:26" s="27" customFormat="1" outlineLevel="1" collapsed="1" x14ac:dyDescent="0.25">
      <c r="A218" s="25"/>
      <c r="B218" s="13" t="str">
        <f>CONCATENATE("     ","General                                           ")</f>
        <v xml:space="preserve">     General                                           </v>
      </c>
      <c r="C218" s="13"/>
      <c r="D218" s="1">
        <f>SUM(OSRRefD22_11x_0)</f>
        <v>120.99</v>
      </c>
      <c r="E218" s="1"/>
      <c r="F218" s="5">
        <f t="shared" ref="F218:F234" si="79">IF(D$12=0,0,D218/D$12)</f>
        <v>4.5888889870798467E-4</v>
      </c>
      <c r="G218" s="1"/>
      <c r="H218" s="1">
        <f>SUM(OSRRefH22_11x_0)</f>
        <v>338.93</v>
      </c>
      <c r="I218" s="1"/>
      <c r="J218" s="5">
        <f t="shared" ref="J218:J234" si="80">IF(H$12=0,0,H218/H$12)</f>
        <v>3.3984453183049182E-4</v>
      </c>
      <c r="K218" s="1"/>
      <c r="L218" s="1">
        <f t="shared" ref="L218:L234" si="81">+D218-H218</f>
        <v>-217.94</v>
      </c>
      <c r="M218" s="1"/>
      <c r="N218" s="5">
        <f t="shared" ref="N218:N234" si="82">IF(H218=0,0,L218/H218)</f>
        <v>-0.64302363319859557</v>
      </c>
      <c r="O218" s="13"/>
      <c r="P218" s="1">
        <f>SUM(OSRRefP22_11x_0)</f>
        <v>9210.51</v>
      </c>
      <c r="Q218" s="1"/>
      <c r="R218" s="5">
        <f t="shared" ref="R218:R234" si="83">IF(P$12=0,0,P218/P$12)</f>
        <v>8.0855198301861629E-4</v>
      </c>
      <c r="S218" s="1"/>
      <c r="T218" s="1">
        <f>SUM(OSRRefT22_11x_0)</f>
        <v>33384.630000000005</v>
      </c>
      <c r="U218" s="1"/>
      <c r="V218" s="5">
        <f t="shared" ref="V218:V234" si="84">IF(T$12=0,0,T218/T$12)</f>
        <v>2.3495418502372288E-3</v>
      </c>
      <c r="W218" s="1"/>
      <c r="X218" s="1">
        <f t="shared" ref="X218:X234" si="85">+P218-T218</f>
        <v>-24174.120000000003</v>
      </c>
      <c r="Y218" s="1"/>
      <c r="Z218" s="5">
        <f t="shared" ref="Z218:Z234" si="86">IF(T218=0,0,X218/T218)</f>
        <v>-0.72410926824709454</v>
      </c>
    </row>
    <row r="219" spans="1:26" s="24" customFormat="1" hidden="1" outlineLevel="2" x14ac:dyDescent="0.25">
      <c r="A219" s="26"/>
      <c r="B219" s="11" t="str">
        <f>CONCATENATE("          ", "6279", " - ", "GENERAL EXPENSE")</f>
        <v xml:space="preserve">          6279 - GENERAL EXPENSE</v>
      </c>
      <c r="C219" s="11"/>
      <c r="D219" s="6">
        <v>120.99</v>
      </c>
      <c r="E219" s="2"/>
      <c r="F219" s="7">
        <f t="shared" si="79"/>
        <v>4.5888889870798467E-4</v>
      </c>
      <c r="G219" s="2"/>
      <c r="H219" s="6">
        <v>338.93</v>
      </c>
      <c r="I219" s="2"/>
      <c r="J219" s="7">
        <f t="shared" si="80"/>
        <v>3.3984453183049182E-4</v>
      </c>
      <c r="K219" s="2"/>
      <c r="L219" s="6">
        <f t="shared" si="81"/>
        <v>-217.94</v>
      </c>
      <c r="M219" s="2"/>
      <c r="N219" s="7">
        <f t="shared" si="82"/>
        <v>-0.64302363319859557</v>
      </c>
      <c r="O219" s="11"/>
      <c r="P219" s="6">
        <v>9210.51</v>
      </c>
      <c r="Q219" s="2"/>
      <c r="R219" s="7">
        <f t="shared" si="83"/>
        <v>8.0855198301861629E-4</v>
      </c>
      <c r="S219" s="2"/>
      <c r="T219" s="6">
        <v>33384.630000000005</v>
      </c>
      <c r="U219" s="2"/>
      <c r="V219" s="7">
        <f t="shared" si="84"/>
        <v>2.3495418502372288E-3</v>
      </c>
      <c r="W219" s="2"/>
      <c r="X219" s="6">
        <f t="shared" si="85"/>
        <v>-24174.120000000003</v>
      </c>
      <c r="Y219" s="2"/>
      <c r="Z219" s="7">
        <f t="shared" si="86"/>
        <v>-0.72410926824709454</v>
      </c>
    </row>
    <row r="220" spans="1:26" s="27" customFormat="1" outlineLevel="1" collapsed="1" x14ac:dyDescent="0.25">
      <c r="A220" s="25"/>
      <c r="B220" s="13" t="str">
        <f>CONCATENATE("     ","Insurance                                         ")</f>
        <v xml:space="preserve">     Insurance                                         </v>
      </c>
      <c r="C220" s="13"/>
      <c r="D220" s="1">
        <f>SUM(OSRRefD22_12x_0)</f>
        <v>4288.28</v>
      </c>
      <c r="E220" s="1"/>
      <c r="F220" s="5">
        <f t="shared" si="79"/>
        <v>1.6264518444098493E-2</v>
      </c>
      <c r="G220" s="1"/>
      <c r="H220" s="1">
        <f>SUM(OSRRefH22_12x_0)</f>
        <v>4039.41</v>
      </c>
      <c r="I220" s="1"/>
      <c r="J220" s="5">
        <f t="shared" si="80"/>
        <v>4.0503095043855864E-3</v>
      </c>
      <c r="K220" s="1"/>
      <c r="L220" s="1">
        <f t="shared" si="81"/>
        <v>248.86999999999989</v>
      </c>
      <c r="M220" s="1"/>
      <c r="N220" s="5">
        <f t="shared" si="82"/>
        <v>6.1610482719010921E-2</v>
      </c>
      <c r="O220" s="13"/>
      <c r="P220" s="1">
        <f>SUM(OSRRefP22_12x_0)</f>
        <v>47171.08</v>
      </c>
      <c r="Q220" s="1"/>
      <c r="R220" s="5">
        <f t="shared" si="83"/>
        <v>4.140950965270087E-3</v>
      </c>
      <c r="S220" s="1"/>
      <c r="T220" s="1">
        <f>SUM(OSRRefT22_12x_0)</f>
        <v>37235.35</v>
      </c>
      <c r="U220" s="1"/>
      <c r="V220" s="5">
        <f t="shared" si="84"/>
        <v>2.6205476332441242E-3</v>
      </c>
      <c r="W220" s="1"/>
      <c r="X220" s="1">
        <f t="shared" si="85"/>
        <v>9935.7300000000032</v>
      </c>
      <c r="Y220" s="1"/>
      <c r="Z220" s="5">
        <f t="shared" si="86"/>
        <v>0.26683595024620432</v>
      </c>
    </row>
    <row r="221" spans="1:26" s="24" customFormat="1" hidden="1" outlineLevel="2" x14ac:dyDescent="0.25">
      <c r="A221" s="26"/>
      <c r="B221" s="11" t="str">
        <f>CONCATENATE("          ", "6314", " - ", "LIABILITY INSURANCE")</f>
        <v xml:space="preserve">          6314 - LIABILITY INSURANCE</v>
      </c>
      <c r="C221" s="11"/>
      <c r="D221" s="6">
        <v>4288.28</v>
      </c>
      <c r="E221" s="2"/>
      <c r="F221" s="7">
        <f t="shared" si="79"/>
        <v>1.6264518444098493E-2</v>
      </c>
      <c r="G221" s="2"/>
      <c r="H221" s="6">
        <v>4039.41</v>
      </c>
      <c r="I221" s="2"/>
      <c r="J221" s="7">
        <f t="shared" si="80"/>
        <v>4.0503095043855864E-3</v>
      </c>
      <c r="K221" s="2"/>
      <c r="L221" s="6">
        <f t="shared" si="81"/>
        <v>248.86999999999989</v>
      </c>
      <c r="M221" s="2"/>
      <c r="N221" s="7">
        <f t="shared" si="82"/>
        <v>6.1610482719010921E-2</v>
      </c>
      <c r="O221" s="11"/>
      <c r="P221" s="6">
        <v>47171.08</v>
      </c>
      <c r="Q221" s="2"/>
      <c r="R221" s="7">
        <f t="shared" si="83"/>
        <v>4.140950965270087E-3</v>
      </c>
      <c r="S221" s="2"/>
      <c r="T221" s="6">
        <v>37235.35</v>
      </c>
      <c r="U221" s="2"/>
      <c r="V221" s="7">
        <f t="shared" si="84"/>
        <v>2.6205476332441242E-3</v>
      </c>
      <c r="W221" s="2"/>
      <c r="X221" s="6">
        <f t="shared" si="85"/>
        <v>9935.7300000000032</v>
      </c>
      <c r="Y221" s="2"/>
      <c r="Z221" s="7">
        <f t="shared" si="86"/>
        <v>0.26683595024620432</v>
      </c>
    </row>
    <row r="222" spans="1:26" s="27" customFormat="1" outlineLevel="1" collapsed="1" x14ac:dyDescent="0.25">
      <c r="A222" s="25"/>
      <c r="B222" s="13" t="str">
        <f>CONCATENATE("     ","Interest                                          ")</f>
        <v xml:space="preserve">     Interest                                          </v>
      </c>
      <c r="C222" s="13"/>
      <c r="D222" s="1">
        <f>SUM(OSRRefD22_13x_0)</f>
        <v>4175</v>
      </c>
      <c r="E222" s="1"/>
      <c r="F222" s="5">
        <f t="shared" si="79"/>
        <v>1.5834871907643905E-2</v>
      </c>
      <c r="G222" s="1"/>
      <c r="H222" s="1">
        <f>SUM(OSRRefH22_13x_0)</f>
        <v>4280</v>
      </c>
      <c r="I222" s="1"/>
      <c r="J222" s="5">
        <f t="shared" si="80"/>
        <v>4.2915486862611894E-3</v>
      </c>
      <c r="K222" s="1"/>
      <c r="L222" s="1">
        <f t="shared" si="81"/>
        <v>-105</v>
      </c>
      <c r="M222" s="1"/>
      <c r="N222" s="5">
        <f t="shared" si="82"/>
        <v>-2.4532710280373831E-2</v>
      </c>
      <c r="O222" s="13"/>
      <c r="P222" s="1">
        <f>SUM(OSRRefP22_13x_0)</f>
        <v>44668.77</v>
      </c>
      <c r="Q222" s="1"/>
      <c r="R222" s="5">
        <f t="shared" si="83"/>
        <v>3.9212836816313618E-3</v>
      </c>
      <c r="S222" s="1"/>
      <c r="T222" s="1">
        <f>SUM(OSRRefT22_13x_0)</f>
        <v>46235.4</v>
      </c>
      <c r="U222" s="1"/>
      <c r="V222" s="5">
        <f t="shared" si="84"/>
        <v>3.2539527100482577E-3</v>
      </c>
      <c r="W222" s="1"/>
      <c r="X222" s="1">
        <f t="shared" si="85"/>
        <v>-1566.6300000000047</v>
      </c>
      <c r="Y222" s="1"/>
      <c r="Z222" s="5">
        <f t="shared" si="86"/>
        <v>-3.3883777365395447E-2</v>
      </c>
    </row>
    <row r="223" spans="1:26" s="24" customFormat="1" hidden="1" outlineLevel="2" x14ac:dyDescent="0.25">
      <c r="A223" s="26"/>
      <c r="B223" s="11" t="str">
        <f>CONCATENATE("          ", "6401", " - ", "INTEREST EXPENSE")</f>
        <v xml:space="preserve">          6401 - INTEREST EXPENSE</v>
      </c>
      <c r="C223" s="11"/>
      <c r="D223" s="6">
        <v>4175</v>
      </c>
      <c r="E223" s="2"/>
      <c r="F223" s="7">
        <f t="shared" si="79"/>
        <v>1.5834871907643905E-2</v>
      </c>
      <c r="G223" s="2"/>
      <c r="H223" s="6">
        <v>4280</v>
      </c>
      <c r="I223" s="2"/>
      <c r="J223" s="7">
        <f t="shared" si="80"/>
        <v>4.2915486862611894E-3</v>
      </c>
      <c r="K223" s="2"/>
      <c r="L223" s="6">
        <f t="shared" si="81"/>
        <v>-105</v>
      </c>
      <c r="M223" s="2"/>
      <c r="N223" s="7">
        <f t="shared" si="82"/>
        <v>-2.4532710280373831E-2</v>
      </c>
      <c r="O223" s="11"/>
      <c r="P223" s="6">
        <v>44668.77</v>
      </c>
      <c r="Q223" s="2"/>
      <c r="R223" s="7">
        <f t="shared" si="83"/>
        <v>3.9212836816313618E-3</v>
      </c>
      <c r="S223" s="2"/>
      <c r="T223" s="6">
        <v>46235.4</v>
      </c>
      <c r="U223" s="2"/>
      <c r="V223" s="7">
        <f t="shared" si="84"/>
        <v>3.2539527100482577E-3</v>
      </c>
      <c r="W223" s="2"/>
      <c r="X223" s="6">
        <f t="shared" si="85"/>
        <v>-1566.6300000000047</v>
      </c>
      <c r="Y223" s="2"/>
      <c r="Z223" s="7">
        <f t="shared" si="86"/>
        <v>-3.3883777365395447E-2</v>
      </c>
    </row>
    <row r="224" spans="1:26" s="27" customFormat="1" outlineLevel="1" collapsed="1" x14ac:dyDescent="0.25">
      <c r="A224" s="25"/>
      <c r="B224" s="13" t="str">
        <f>CONCATENATE("     ","Inventory Adjustment                              ")</f>
        <v xml:space="preserve">     Inventory Adjustment                              </v>
      </c>
      <c r="C224" s="13"/>
      <c r="D224" s="1">
        <f>SUM(OSRRefD22_14x_0)</f>
        <v>4550</v>
      </c>
      <c r="E224" s="1"/>
      <c r="F224" s="5">
        <f t="shared" si="79"/>
        <v>1.7257165791564017E-2</v>
      </c>
      <c r="G224" s="1"/>
      <c r="H224" s="1">
        <f>SUM(OSRRefH22_14x_0)</f>
        <v>9050</v>
      </c>
      <c r="I224" s="1"/>
      <c r="J224" s="5">
        <f t="shared" si="80"/>
        <v>9.0744195352018137E-3</v>
      </c>
      <c r="K224" s="1"/>
      <c r="L224" s="1">
        <f t="shared" si="81"/>
        <v>-4500</v>
      </c>
      <c r="M224" s="1"/>
      <c r="N224" s="5">
        <f t="shared" si="82"/>
        <v>-0.49723756906077349</v>
      </c>
      <c r="O224" s="13"/>
      <c r="P224" s="1">
        <f>SUM(OSRRefP22_14x_0)</f>
        <v>53350</v>
      </c>
      <c r="Q224" s="1"/>
      <c r="R224" s="5">
        <f t="shared" si="83"/>
        <v>4.6833723967557904E-3</v>
      </c>
      <c r="S224" s="1"/>
      <c r="T224" s="1">
        <f>SUM(OSRRefT22_14x_0)</f>
        <v>96750</v>
      </c>
      <c r="U224" s="1"/>
      <c r="V224" s="5">
        <f t="shared" si="84"/>
        <v>6.8090667474958342E-3</v>
      </c>
      <c r="W224" s="1"/>
      <c r="X224" s="1">
        <f t="shared" si="85"/>
        <v>-43400</v>
      </c>
      <c r="Y224" s="1"/>
      <c r="Z224" s="5">
        <f t="shared" si="86"/>
        <v>-0.44857881136950906</v>
      </c>
    </row>
    <row r="225" spans="1:26" s="24" customFormat="1" hidden="1" outlineLevel="2" x14ac:dyDescent="0.25">
      <c r="A225" s="26"/>
      <c r="B225" s="11" t="str">
        <f>CONCATENATE("          ", "6408", " - ", "INVENTORY ADJUSTMENT")</f>
        <v xml:space="preserve">          6408 - INVENTORY ADJUSTMENT</v>
      </c>
      <c r="C225" s="11"/>
      <c r="D225" s="6">
        <v>4550</v>
      </c>
      <c r="E225" s="2"/>
      <c r="F225" s="7">
        <f t="shared" si="79"/>
        <v>1.7257165791564017E-2</v>
      </c>
      <c r="G225" s="2"/>
      <c r="H225" s="6">
        <v>9050</v>
      </c>
      <c r="I225" s="2"/>
      <c r="J225" s="7">
        <f t="shared" si="80"/>
        <v>9.0744195352018137E-3</v>
      </c>
      <c r="K225" s="2"/>
      <c r="L225" s="6">
        <f t="shared" si="81"/>
        <v>-4500</v>
      </c>
      <c r="M225" s="2"/>
      <c r="N225" s="7">
        <f t="shared" si="82"/>
        <v>-0.49723756906077349</v>
      </c>
      <c r="O225" s="11"/>
      <c r="P225" s="6">
        <v>53350</v>
      </c>
      <c r="Q225" s="2"/>
      <c r="R225" s="7">
        <f t="shared" si="83"/>
        <v>4.6833723967557904E-3</v>
      </c>
      <c r="S225" s="2"/>
      <c r="T225" s="6">
        <v>96750</v>
      </c>
      <c r="U225" s="2"/>
      <c r="V225" s="7">
        <f t="shared" si="84"/>
        <v>6.8090667474958342E-3</v>
      </c>
      <c r="W225" s="2"/>
      <c r="X225" s="6">
        <f t="shared" si="85"/>
        <v>-43400</v>
      </c>
      <c r="Y225" s="2"/>
      <c r="Z225" s="7">
        <f t="shared" si="86"/>
        <v>-0.44857881136950906</v>
      </c>
    </row>
    <row r="226" spans="1:26" s="27" customFormat="1" outlineLevel="1" collapsed="1" x14ac:dyDescent="0.25">
      <c r="A226" s="25"/>
      <c r="B226" s="13" t="str">
        <f>CONCATENATE("     ","Professional Services                             ")</f>
        <v xml:space="preserve">     Professional Services                             </v>
      </c>
      <c r="C226" s="13"/>
      <c r="D226" s="1">
        <f>SUM(OSRRefD22_15x_0)</f>
        <v>0</v>
      </c>
      <c r="E226" s="1"/>
      <c r="F226" s="5">
        <f t="shared" si="79"/>
        <v>0</v>
      </c>
      <c r="G226" s="1"/>
      <c r="H226" s="1">
        <f>SUM(OSRRefH22_15x_0)</f>
        <v>0</v>
      </c>
      <c r="I226" s="1"/>
      <c r="J226" s="5">
        <f t="shared" si="80"/>
        <v>0</v>
      </c>
      <c r="K226" s="1"/>
      <c r="L226" s="1">
        <f t="shared" si="81"/>
        <v>0</v>
      </c>
      <c r="M226" s="1"/>
      <c r="N226" s="5">
        <f t="shared" si="82"/>
        <v>0</v>
      </c>
      <c r="O226" s="13"/>
      <c r="P226" s="1">
        <f>SUM(OSRRefP22_15x_0)</f>
        <v>9129.56</v>
      </c>
      <c r="Q226" s="1"/>
      <c r="R226" s="5">
        <f t="shared" si="83"/>
        <v>8.0144572255905883E-4</v>
      </c>
      <c r="S226" s="1"/>
      <c r="T226" s="1">
        <f>SUM(OSRRefT22_15x_0)</f>
        <v>8276.43</v>
      </c>
      <c r="U226" s="1"/>
      <c r="V226" s="5">
        <f t="shared" si="84"/>
        <v>5.824781839894259E-4</v>
      </c>
      <c r="W226" s="1"/>
      <c r="X226" s="1">
        <f t="shared" si="85"/>
        <v>853.1299999999992</v>
      </c>
      <c r="Y226" s="1"/>
      <c r="Z226" s="5">
        <f t="shared" si="86"/>
        <v>0.10307946783818617</v>
      </c>
    </row>
    <row r="227" spans="1:26" s="24" customFormat="1" hidden="1" outlineLevel="2" x14ac:dyDescent="0.25">
      <c r="A227" s="26"/>
      <c r="B227" s="11" t="str">
        <f>CONCATENATE("          ", "6336", " - ", "PROFESSIONAL SERVICES")</f>
        <v xml:space="preserve">          6336 - PROFESSIONAL SERVICES</v>
      </c>
      <c r="C227" s="11"/>
      <c r="D227" s="6"/>
      <c r="E227" s="2"/>
      <c r="F227" s="7">
        <f t="shared" si="79"/>
        <v>0</v>
      </c>
      <c r="G227" s="2"/>
      <c r="H227" s="6"/>
      <c r="I227" s="2"/>
      <c r="J227" s="7">
        <f t="shared" si="80"/>
        <v>0</v>
      </c>
      <c r="K227" s="2"/>
      <c r="L227" s="6">
        <f t="shared" si="81"/>
        <v>0</v>
      </c>
      <c r="M227" s="2"/>
      <c r="N227" s="7">
        <f t="shared" si="82"/>
        <v>0</v>
      </c>
      <c r="O227" s="11"/>
      <c r="P227" s="6">
        <v>9129.56</v>
      </c>
      <c r="Q227" s="2"/>
      <c r="R227" s="7">
        <f t="shared" si="83"/>
        <v>8.0144572255905883E-4</v>
      </c>
      <c r="S227" s="2"/>
      <c r="T227" s="6">
        <v>8276.43</v>
      </c>
      <c r="U227" s="2"/>
      <c r="V227" s="7">
        <f t="shared" si="84"/>
        <v>5.824781839894259E-4</v>
      </c>
      <c r="W227" s="2"/>
      <c r="X227" s="6">
        <f t="shared" si="85"/>
        <v>853.1299999999992</v>
      </c>
      <c r="Y227" s="2"/>
      <c r="Z227" s="7">
        <f t="shared" si="86"/>
        <v>0.10307946783818617</v>
      </c>
    </row>
    <row r="228" spans="1:26" s="27" customFormat="1" outlineLevel="1" collapsed="1" x14ac:dyDescent="0.25">
      <c r="A228" s="25"/>
      <c r="B228" s="13" t="str">
        <f>CONCATENATE("     ","Rent                                              ")</f>
        <v xml:space="preserve">     Rent                                              </v>
      </c>
      <c r="C228" s="13"/>
      <c r="D228" s="1">
        <f>SUM(OSRRefD22_16x_0)</f>
        <v>7250</v>
      </c>
      <c r="E228" s="1"/>
      <c r="F228" s="5">
        <f t="shared" si="79"/>
        <v>2.7497681755788816E-2</v>
      </c>
      <c r="G228" s="1"/>
      <c r="H228" s="1">
        <f>SUM(OSRRefH22_16x_0)</f>
        <v>7250</v>
      </c>
      <c r="I228" s="1"/>
      <c r="J228" s="5">
        <f t="shared" si="80"/>
        <v>7.2695626110732764E-3</v>
      </c>
      <c r="K228" s="1"/>
      <c r="L228" s="1">
        <f t="shared" si="81"/>
        <v>0</v>
      </c>
      <c r="M228" s="1"/>
      <c r="N228" s="5">
        <f t="shared" si="82"/>
        <v>0</v>
      </c>
      <c r="O228" s="13"/>
      <c r="P228" s="1">
        <f>SUM(OSRRefP22_16x_0)</f>
        <v>81350</v>
      </c>
      <c r="Q228" s="1"/>
      <c r="R228" s="5">
        <f t="shared" si="83"/>
        <v>7.1413747793080328E-3</v>
      </c>
      <c r="S228" s="1"/>
      <c r="T228" s="1">
        <f>SUM(OSRRefT22_16x_0)</f>
        <v>80651.079999999987</v>
      </c>
      <c r="U228" s="1"/>
      <c r="V228" s="5">
        <f t="shared" si="84"/>
        <v>5.6760577465387726E-3</v>
      </c>
      <c r="W228" s="1"/>
      <c r="X228" s="1">
        <f t="shared" si="85"/>
        <v>698.92000000001281</v>
      </c>
      <c r="Y228" s="1"/>
      <c r="Z228" s="5">
        <f t="shared" si="86"/>
        <v>8.6659719869840914E-3</v>
      </c>
    </row>
    <row r="229" spans="1:26" s="24" customFormat="1" hidden="1" outlineLevel="2" x14ac:dyDescent="0.25">
      <c r="A229" s="26"/>
      <c r="B229" s="11" t="str">
        <f>CONCATENATE("          ", "6273", " - ", "RENT")</f>
        <v xml:space="preserve">          6273 - RENT</v>
      </c>
      <c r="C229" s="11"/>
      <c r="D229" s="6">
        <v>7250</v>
      </c>
      <c r="E229" s="2"/>
      <c r="F229" s="7">
        <f t="shared" si="79"/>
        <v>2.7497681755788816E-2</v>
      </c>
      <c r="G229" s="2"/>
      <c r="H229" s="6">
        <v>7250</v>
      </c>
      <c r="I229" s="2"/>
      <c r="J229" s="7">
        <f t="shared" si="80"/>
        <v>7.2695626110732764E-3</v>
      </c>
      <c r="K229" s="2"/>
      <c r="L229" s="6">
        <f t="shared" si="81"/>
        <v>0</v>
      </c>
      <c r="M229" s="2"/>
      <c r="N229" s="7">
        <f t="shared" si="82"/>
        <v>0</v>
      </c>
      <c r="O229" s="11"/>
      <c r="P229" s="6">
        <v>81350</v>
      </c>
      <c r="Q229" s="2"/>
      <c r="R229" s="7">
        <f t="shared" si="83"/>
        <v>7.1413747793080328E-3</v>
      </c>
      <c r="S229" s="2"/>
      <c r="T229" s="6">
        <v>80651.079999999987</v>
      </c>
      <c r="U229" s="2"/>
      <c r="V229" s="7">
        <f t="shared" si="84"/>
        <v>5.6760577465387726E-3</v>
      </c>
      <c r="W229" s="2"/>
      <c r="X229" s="6">
        <f t="shared" si="85"/>
        <v>698.92000000001281</v>
      </c>
      <c r="Y229" s="2"/>
      <c r="Z229" s="7">
        <f t="shared" si="86"/>
        <v>8.6659719869840914E-3</v>
      </c>
    </row>
    <row r="230" spans="1:26" s="27" customFormat="1" outlineLevel="1" collapsed="1" x14ac:dyDescent="0.25">
      <c r="A230" s="25"/>
      <c r="B230" s="13" t="str">
        <f>CONCATENATE("     ","Repair and Maintenance                            ")</f>
        <v xml:space="preserve">     Repair and Maintenance                            </v>
      </c>
      <c r="C230" s="13"/>
      <c r="D230" s="1">
        <f>SUM(OSRRefD22_17x_0)</f>
        <v>5388.07</v>
      </c>
      <c r="E230" s="1"/>
      <c r="F230" s="5">
        <f t="shared" si="79"/>
        <v>2.043578401902249E-2</v>
      </c>
      <c r="G230" s="1"/>
      <c r="H230" s="1">
        <f>SUM(OSRRefH22_17x_0)</f>
        <v>22134.17</v>
      </c>
      <c r="I230" s="1"/>
      <c r="J230" s="5">
        <f t="shared" si="80"/>
        <v>2.2193894435743416E-2</v>
      </c>
      <c r="K230" s="1"/>
      <c r="L230" s="1">
        <f t="shared" si="81"/>
        <v>-16746.099999999999</v>
      </c>
      <c r="M230" s="1"/>
      <c r="N230" s="5">
        <f t="shared" si="82"/>
        <v>-0.75657230426982358</v>
      </c>
      <c r="O230" s="13"/>
      <c r="P230" s="1">
        <f>SUM(OSRRefP22_17x_0)</f>
        <v>151255</v>
      </c>
      <c r="Q230" s="1"/>
      <c r="R230" s="5">
        <f t="shared" si="83"/>
        <v>1.3278041084747836E-2</v>
      </c>
      <c r="S230" s="1"/>
      <c r="T230" s="1">
        <f>SUM(OSRRefT22_17x_0)</f>
        <v>191695.9</v>
      </c>
      <c r="U230" s="1"/>
      <c r="V230" s="5">
        <f t="shared" si="84"/>
        <v>1.349116463381175E-2</v>
      </c>
      <c r="W230" s="1"/>
      <c r="X230" s="1">
        <f t="shared" si="85"/>
        <v>-40440.899999999994</v>
      </c>
      <c r="Y230" s="1"/>
      <c r="Z230" s="5">
        <f t="shared" si="86"/>
        <v>-0.2109638234307567</v>
      </c>
    </row>
    <row r="231" spans="1:26" s="24" customFormat="1" hidden="1" outlineLevel="2" x14ac:dyDescent="0.25">
      <c r="A231" s="26"/>
      <c r="B231" s="11" t="str">
        <f>CONCATENATE("          ", "6371", " - ", "COMPUTER SOFTWARE MAINTENANCE")</f>
        <v xml:space="preserve">          6371 - COMPUTER SOFTWARE MAINTENANCE</v>
      </c>
      <c r="C231" s="11"/>
      <c r="D231" s="6"/>
      <c r="E231" s="2"/>
      <c r="F231" s="7">
        <f t="shared" si="79"/>
        <v>0</v>
      </c>
      <c r="G231" s="2"/>
      <c r="H231" s="6">
        <v>12101</v>
      </c>
      <c r="I231" s="2"/>
      <c r="J231" s="7">
        <f t="shared" si="80"/>
        <v>1.2133652021599686E-2</v>
      </c>
      <c r="K231" s="2"/>
      <c r="L231" s="6">
        <f t="shared" si="81"/>
        <v>-12101</v>
      </c>
      <c r="M231" s="2"/>
      <c r="N231" s="7">
        <f t="shared" si="82"/>
        <v>-1</v>
      </c>
      <c r="O231" s="11"/>
      <c r="P231" s="6">
        <v>17729.43</v>
      </c>
      <c r="Q231" s="2"/>
      <c r="R231" s="7">
        <f t="shared" si="83"/>
        <v>1.5563921850461858E-3</v>
      </c>
      <c r="S231" s="2"/>
      <c r="T231" s="6">
        <v>58391.83</v>
      </c>
      <c r="U231" s="2"/>
      <c r="V231" s="7">
        <f t="shared" si="84"/>
        <v>4.1094973434463019E-3</v>
      </c>
      <c r="W231" s="2"/>
      <c r="X231" s="6">
        <f t="shared" si="85"/>
        <v>-40662.400000000001</v>
      </c>
      <c r="Y231" s="2"/>
      <c r="Z231" s="7">
        <f t="shared" si="86"/>
        <v>-0.69637139305276097</v>
      </c>
    </row>
    <row r="232" spans="1:26" s="24" customFormat="1" hidden="1" outlineLevel="2" x14ac:dyDescent="0.25">
      <c r="A232" s="26"/>
      <c r="B232" s="11" t="str">
        <f>CONCATENATE("          ", "6372", " - ", "COMPUTER HARDWARE MAINTENANCE")</f>
        <v xml:space="preserve">          6372 - COMPUTER HARDWARE MAINTENANCE</v>
      </c>
      <c r="C232" s="11"/>
      <c r="D232" s="6"/>
      <c r="E232" s="2"/>
      <c r="F232" s="7">
        <f t="shared" si="79"/>
        <v>0</v>
      </c>
      <c r="G232" s="2"/>
      <c r="H232" s="6"/>
      <c r="I232" s="2"/>
      <c r="J232" s="7">
        <f t="shared" si="80"/>
        <v>0</v>
      </c>
      <c r="K232" s="2"/>
      <c r="L232" s="6">
        <f t="shared" si="81"/>
        <v>0</v>
      </c>
      <c r="M232" s="2"/>
      <c r="N232" s="7">
        <f t="shared" si="82"/>
        <v>0</v>
      </c>
      <c r="O232" s="11"/>
      <c r="P232" s="6">
        <v>52.32</v>
      </c>
      <c r="Q232" s="2"/>
      <c r="R232" s="7">
        <f t="shared" si="83"/>
        <v>4.5929530233976187E-6</v>
      </c>
      <c r="S232" s="2"/>
      <c r="T232" s="6">
        <v>51.79</v>
      </c>
      <c r="U232" s="2"/>
      <c r="V232" s="7">
        <f t="shared" si="84"/>
        <v>3.6448740759980285E-6</v>
      </c>
      <c r="W232" s="2"/>
      <c r="X232" s="6">
        <f t="shared" si="85"/>
        <v>0.53000000000000114</v>
      </c>
      <c r="Y232" s="2"/>
      <c r="Z232" s="7">
        <f t="shared" si="86"/>
        <v>1.0233635837034199E-2</v>
      </c>
    </row>
    <row r="233" spans="1:26" s="24" customFormat="1" hidden="1" outlineLevel="2" x14ac:dyDescent="0.25">
      <c r="A233" s="26"/>
      <c r="B233" s="11" t="str">
        <f>CONCATENATE("          ", "6373", " - ", "MAINTENANCE CONTRACTS")</f>
        <v xml:space="preserve">          6373 - MAINTENANCE CONTRACTS</v>
      </c>
      <c r="C233" s="11"/>
      <c r="D233" s="6">
        <v>3743.93</v>
      </c>
      <c r="E233" s="2"/>
      <c r="F233" s="7">
        <f t="shared" si="79"/>
        <v>1.4199916642200059E-2</v>
      </c>
      <c r="G233" s="2"/>
      <c r="H233" s="6">
        <v>7875.74</v>
      </c>
      <c r="I233" s="2"/>
      <c r="J233" s="7">
        <f t="shared" si="80"/>
        <v>7.8969910397978273E-3</v>
      </c>
      <c r="K233" s="2"/>
      <c r="L233" s="6">
        <f t="shared" si="81"/>
        <v>-4131.8099999999995</v>
      </c>
      <c r="M233" s="2"/>
      <c r="N233" s="7">
        <f t="shared" si="82"/>
        <v>-0.52462498762021093</v>
      </c>
      <c r="O233" s="11"/>
      <c r="P233" s="6">
        <v>79558.12</v>
      </c>
      <c r="Q233" s="2"/>
      <c r="R233" s="7">
        <f t="shared" si="83"/>
        <v>6.9840731611206137E-3</v>
      </c>
      <c r="S233" s="2"/>
      <c r="T233" s="6">
        <v>90854.07</v>
      </c>
      <c r="U233" s="2"/>
      <c r="V233" s="7">
        <f t="shared" si="84"/>
        <v>6.3941232755727016E-3</v>
      </c>
      <c r="W233" s="2"/>
      <c r="X233" s="6">
        <f t="shared" si="85"/>
        <v>-11295.950000000012</v>
      </c>
      <c r="Y233" s="2"/>
      <c r="Z233" s="7">
        <f t="shared" si="86"/>
        <v>-0.12433069866875542</v>
      </c>
    </row>
    <row r="234" spans="1:26" s="24" customFormat="1" hidden="1" outlineLevel="2" x14ac:dyDescent="0.25">
      <c r="A234" s="26"/>
      <c r="B234" s="11" t="str">
        <f>CONCATENATE("          ", "6375", " - ", "OUTSIDE REPAIRS &amp; MAINTENANCE")</f>
        <v xml:space="preserve">          6375 - OUTSIDE REPAIRS &amp; MAINTENANCE</v>
      </c>
      <c r="C234" s="11"/>
      <c r="D234" s="6">
        <v>1644.14</v>
      </c>
      <c r="E234" s="2"/>
      <c r="F234" s="7">
        <f t="shared" si="79"/>
        <v>6.2358673768224317E-3</v>
      </c>
      <c r="G234" s="2"/>
      <c r="H234" s="6">
        <v>2157.4299999999998</v>
      </c>
      <c r="I234" s="2"/>
      <c r="J234" s="7">
        <f t="shared" si="80"/>
        <v>2.163251374345906E-3</v>
      </c>
      <c r="K234" s="2"/>
      <c r="L234" s="6">
        <f t="shared" si="81"/>
        <v>-513.28999999999974</v>
      </c>
      <c r="M234" s="2"/>
      <c r="N234" s="7">
        <f t="shared" si="82"/>
        <v>-0.23791733683132235</v>
      </c>
      <c r="O234" s="11"/>
      <c r="P234" s="6">
        <v>53915.13</v>
      </c>
      <c r="Q234" s="2"/>
      <c r="R234" s="7">
        <f t="shared" si="83"/>
        <v>4.7329827855576382E-3</v>
      </c>
      <c r="S234" s="2"/>
      <c r="T234" s="6">
        <v>42398.21</v>
      </c>
      <c r="U234" s="2"/>
      <c r="V234" s="7">
        <f t="shared" si="84"/>
        <v>2.9838991407167481E-3</v>
      </c>
      <c r="W234" s="2"/>
      <c r="X234" s="6">
        <f t="shared" si="85"/>
        <v>11516.919999999998</v>
      </c>
      <c r="Y234" s="2"/>
      <c r="Z234" s="7">
        <f t="shared" si="86"/>
        <v>0.27163693938965816</v>
      </c>
    </row>
    <row r="235" spans="1:26" s="27" customFormat="1" outlineLevel="1" collapsed="1" x14ac:dyDescent="0.25">
      <c r="A235" s="25"/>
      <c r="B235" s="13" t="str">
        <f>CONCATENATE("     ","Royalty &amp; Commissions                             ")</f>
        <v xml:space="preserve">     Royalty &amp; Commissions                             </v>
      </c>
      <c r="C235" s="13"/>
      <c r="D235" s="1">
        <f>SUM(OSRRefD22_18x_0)</f>
        <v>0</v>
      </c>
      <c r="E235" s="1"/>
      <c r="F235" s="5">
        <f t="shared" ref="F235:F238" si="87">IF(D$12=0,0,D235/D$12)</f>
        <v>0</v>
      </c>
      <c r="G235" s="1"/>
      <c r="H235" s="1">
        <f>SUM(OSRRefH22_18x_0)</f>
        <v>10277.049999999999</v>
      </c>
      <c r="I235" s="1"/>
      <c r="J235" s="5">
        <f t="shared" ref="J235:J238" si="88">IF(H$12=0,0,H235/H$12)</f>
        <v>1.0304780473397326E-2</v>
      </c>
      <c r="K235" s="1"/>
      <c r="L235" s="1">
        <f t="shared" ref="L235:L238" si="89">+D235-H235</f>
        <v>-10277.049999999999</v>
      </c>
      <c r="M235" s="1"/>
      <c r="N235" s="5">
        <f t="shared" ref="N235:N238" si="90">IF(H235=0,0,L235/H235)</f>
        <v>-1</v>
      </c>
      <c r="O235" s="13"/>
      <c r="P235" s="1">
        <f>SUM(OSRRefP22_18x_0)</f>
        <v>148005.54</v>
      </c>
      <c r="Q235" s="1"/>
      <c r="R235" s="5">
        <f t="shared" ref="R235:R238" si="91">IF(P$12=0,0,P235/P$12)</f>
        <v>1.2992784641104687E-2</v>
      </c>
      <c r="S235" s="1"/>
      <c r="T235" s="1">
        <f>SUM(OSRRefT22_18x_0)</f>
        <v>190927.53</v>
      </c>
      <c r="U235" s="1"/>
      <c r="V235" s="5">
        <f t="shared" ref="V235:V238" si="92">IF(T$12=0,0,T235/T$12)</f>
        <v>1.3437088327695228E-2</v>
      </c>
      <c r="W235" s="1"/>
      <c r="X235" s="1">
        <f t="shared" ref="X235:X238" si="93">+P235-T235</f>
        <v>-42921.989999999991</v>
      </c>
      <c r="Y235" s="1"/>
      <c r="Z235" s="5">
        <f t="shared" ref="Z235:Z238" si="94">IF(T235=0,0,X235/T235)</f>
        <v>-0.22480775821066765</v>
      </c>
    </row>
    <row r="236" spans="1:26" s="24" customFormat="1" hidden="1" outlineLevel="2" x14ac:dyDescent="0.25">
      <c r="A236" s="26"/>
      <c r="B236" s="11" t="str">
        <f>CONCATENATE("          ", "6253", " - ", "ROYALTY DUE ATHLETICS-LRG")</f>
        <v xml:space="preserve">          6253 - ROYALTY DUE ATHLETICS-LRG</v>
      </c>
      <c r="C236" s="11"/>
      <c r="D236" s="6"/>
      <c r="E236" s="2"/>
      <c r="F236" s="7">
        <f t="shared" si="87"/>
        <v>0</v>
      </c>
      <c r="G236" s="2"/>
      <c r="H236" s="6"/>
      <c r="I236" s="2"/>
      <c r="J236" s="7">
        <f t="shared" si="88"/>
        <v>0</v>
      </c>
      <c r="K236" s="2"/>
      <c r="L236" s="6">
        <f t="shared" si="89"/>
        <v>0</v>
      </c>
      <c r="M236" s="2"/>
      <c r="N236" s="7">
        <f t="shared" si="90"/>
        <v>0</v>
      </c>
      <c r="O236" s="11"/>
      <c r="P236" s="6">
        <v>32870.44</v>
      </c>
      <c r="Q236" s="2"/>
      <c r="R236" s="7">
        <f t="shared" si="91"/>
        <v>2.885557851269305E-3</v>
      </c>
      <c r="S236" s="2"/>
      <c r="T236" s="6">
        <v>41365.990000000005</v>
      </c>
      <c r="U236" s="2"/>
      <c r="V236" s="7">
        <f t="shared" si="92"/>
        <v>2.9112536122609329E-3</v>
      </c>
      <c r="W236" s="2"/>
      <c r="X236" s="6">
        <f t="shared" si="93"/>
        <v>-8495.5500000000029</v>
      </c>
      <c r="Y236" s="2"/>
      <c r="Z236" s="7">
        <f t="shared" si="94"/>
        <v>-0.20537523700025073</v>
      </c>
    </row>
    <row r="237" spans="1:26" s="24" customFormat="1" hidden="1" outlineLevel="2" x14ac:dyDescent="0.25">
      <c r="A237" s="26"/>
      <c r="B237" s="11" t="str">
        <f>CONCATENATE("          ", "6254", " - ", "ROYALTY &amp; COMMISSIONS")</f>
        <v xml:space="preserve">          6254 - ROYALTY &amp; COMMISSIONS</v>
      </c>
      <c r="C237" s="11"/>
      <c r="D237" s="6"/>
      <c r="E237" s="2"/>
      <c r="F237" s="7">
        <f t="shared" si="87"/>
        <v>0</v>
      </c>
      <c r="G237" s="2"/>
      <c r="H237" s="6">
        <v>2865.23</v>
      </c>
      <c r="I237" s="2"/>
      <c r="J237" s="7">
        <f t="shared" si="88"/>
        <v>2.8729612248448943E-3</v>
      </c>
      <c r="K237" s="2"/>
      <c r="L237" s="6">
        <f t="shared" si="89"/>
        <v>-2865.23</v>
      </c>
      <c r="M237" s="2"/>
      <c r="N237" s="7">
        <f t="shared" si="90"/>
        <v>-1</v>
      </c>
      <c r="O237" s="11"/>
      <c r="P237" s="6">
        <v>32527.360000000001</v>
      </c>
      <c r="Q237" s="2"/>
      <c r="R237" s="7">
        <f t="shared" si="91"/>
        <v>2.8554402992190895E-3</v>
      </c>
      <c r="S237" s="2"/>
      <c r="T237" s="6">
        <v>39310.81</v>
      </c>
      <c r="U237" s="2"/>
      <c r="V237" s="7">
        <f t="shared" si="92"/>
        <v>2.7666142551744364E-3</v>
      </c>
      <c r="W237" s="2"/>
      <c r="X237" s="6">
        <f t="shared" si="93"/>
        <v>-6783.4499999999971</v>
      </c>
      <c r="Y237" s="2"/>
      <c r="Z237" s="7">
        <f t="shared" si="94"/>
        <v>-0.17255940541545692</v>
      </c>
    </row>
    <row r="238" spans="1:26" s="24" customFormat="1" hidden="1" outlineLevel="2" x14ac:dyDescent="0.25">
      <c r="A238" s="26"/>
      <c r="B238" s="11" t="str">
        <f>CONCATENATE("          ", "6259", " - ", "ROYALTY &amp; COMMISSIONS")</f>
        <v xml:space="preserve">          6259 - ROYALTY &amp; COMMISSIONS</v>
      </c>
      <c r="C238" s="11"/>
      <c r="D238" s="6"/>
      <c r="E238" s="2"/>
      <c r="F238" s="7">
        <f t="shared" si="87"/>
        <v>0</v>
      </c>
      <c r="G238" s="2"/>
      <c r="H238" s="6">
        <v>7411.82</v>
      </c>
      <c r="I238" s="2"/>
      <c r="J238" s="7">
        <f t="shared" si="88"/>
        <v>7.4318192485524322E-3</v>
      </c>
      <c r="K238" s="2"/>
      <c r="L238" s="6">
        <f t="shared" si="89"/>
        <v>-7411.82</v>
      </c>
      <c r="M238" s="2"/>
      <c r="N238" s="7">
        <f t="shared" si="90"/>
        <v>-1</v>
      </c>
      <c r="O238" s="11"/>
      <c r="P238" s="6">
        <v>82607.740000000005</v>
      </c>
      <c r="Q238" s="2"/>
      <c r="R238" s="7">
        <f t="shared" si="91"/>
        <v>7.251786490616292E-3</v>
      </c>
      <c r="S238" s="2"/>
      <c r="T238" s="6">
        <v>110250.73</v>
      </c>
      <c r="U238" s="2"/>
      <c r="V238" s="7">
        <f t="shared" si="92"/>
        <v>7.7592204602598596E-3</v>
      </c>
      <c r="W238" s="2"/>
      <c r="X238" s="6">
        <f t="shared" si="93"/>
        <v>-27642.989999999991</v>
      </c>
      <c r="Y238" s="2"/>
      <c r="Z238" s="7">
        <f t="shared" si="94"/>
        <v>-0.25072840787539447</v>
      </c>
    </row>
    <row r="239" spans="1:26" s="27" customFormat="1" outlineLevel="1" collapsed="1" x14ac:dyDescent="0.25">
      <c r="A239" s="25"/>
      <c r="B239" s="13" t="str">
        <f>CONCATENATE("     ","Services                                          ")</f>
        <v xml:space="preserve">     Services                                          </v>
      </c>
      <c r="C239" s="13"/>
      <c r="D239" s="1">
        <f>SUM(OSRRefD22_19x_0)</f>
        <v>5301.0099999999993</v>
      </c>
      <c r="E239" s="1"/>
      <c r="F239" s="5">
        <f t="shared" ref="F239:F244" si="95">IF(D$12=0,0,D239/D$12)</f>
        <v>2.0105584270931596E-2</v>
      </c>
      <c r="G239" s="1"/>
      <c r="H239" s="1">
        <f>SUM(OSRRefH22_19x_0)</f>
        <v>6406.05</v>
      </c>
      <c r="I239" s="1"/>
      <c r="J239" s="5">
        <f t="shared" ref="J239:J244" si="96">IF(H$12=0,0,H239/H$12)</f>
        <v>6.4233353882297882E-3</v>
      </c>
      <c r="K239" s="1"/>
      <c r="L239" s="1">
        <f t="shared" ref="L239:L244" si="97">+D239-H239</f>
        <v>-1105.0400000000009</v>
      </c>
      <c r="M239" s="1"/>
      <c r="N239" s="5">
        <f t="shared" ref="N239:N244" si="98">IF(H239=0,0,L239/H239)</f>
        <v>-0.17249943412867536</v>
      </c>
      <c r="O239" s="13"/>
      <c r="P239" s="1">
        <f>SUM(OSRRefP22_19x_0)</f>
        <v>67738.39</v>
      </c>
      <c r="Q239" s="1"/>
      <c r="R239" s="5">
        <f t="shared" ref="R239:R244" si="99">IF(P$12=0,0,P239/P$12)</f>
        <v>5.9464687146518922E-3</v>
      </c>
      <c r="S239" s="1"/>
      <c r="T239" s="1">
        <f>SUM(OSRRefT22_19x_0)</f>
        <v>67306.710000000006</v>
      </c>
      <c r="U239" s="1"/>
      <c r="V239" s="5">
        <f t="shared" ref="V239:V244" si="100">IF(T$12=0,0,T239/T$12)</f>
        <v>4.7369083301741126E-3</v>
      </c>
      <c r="W239" s="1"/>
      <c r="X239" s="1">
        <f t="shared" ref="X239:X244" si="101">+P239-T239</f>
        <v>431.67999999999302</v>
      </c>
      <c r="Y239" s="1"/>
      <c r="Z239" s="5">
        <f t="shared" ref="Z239:Z244" si="102">IF(T239=0,0,X239/T239)</f>
        <v>6.4136250308474887E-3</v>
      </c>
    </row>
    <row r="240" spans="1:26" s="24" customFormat="1" hidden="1" outlineLevel="2" x14ac:dyDescent="0.25">
      <c r="A240" s="26"/>
      <c r="B240" s="11" t="str">
        <f>CONCATENATE("          ", "6282", " - ", "JANITORIAL/EXTERMINATOR EXPENS")</f>
        <v xml:space="preserve">          6282 - JANITORIAL/EXTERMINATOR EXPENS</v>
      </c>
      <c r="C240" s="11"/>
      <c r="D240" s="6">
        <v>372</v>
      </c>
      <c r="E240" s="2"/>
      <c r="F240" s="7">
        <f t="shared" si="95"/>
        <v>1.4109155328487504E-3</v>
      </c>
      <c r="G240" s="2"/>
      <c r="H240" s="6">
        <v>892.18</v>
      </c>
      <c r="I240" s="2"/>
      <c r="J240" s="7">
        <f t="shared" si="96"/>
        <v>8.9458736142722145E-4</v>
      </c>
      <c r="K240" s="2"/>
      <c r="L240" s="6">
        <f t="shared" si="97"/>
        <v>-520.17999999999995</v>
      </c>
      <c r="M240" s="2"/>
      <c r="N240" s="7">
        <f t="shared" si="98"/>
        <v>-0.58304378040305771</v>
      </c>
      <c r="O240" s="11"/>
      <c r="P240" s="6">
        <v>9104.11</v>
      </c>
      <c r="Q240" s="2"/>
      <c r="R240" s="7">
        <f t="shared" si="99"/>
        <v>7.9921157396491778E-4</v>
      </c>
      <c r="S240" s="2"/>
      <c r="T240" s="6">
        <v>8984.2800000000007</v>
      </c>
      <c r="U240" s="2"/>
      <c r="V240" s="7">
        <f t="shared" si="100"/>
        <v>6.3229521651877909E-4</v>
      </c>
      <c r="W240" s="2"/>
      <c r="X240" s="6">
        <f t="shared" si="101"/>
        <v>119.82999999999993</v>
      </c>
      <c r="Y240" s="2"/>
      <c r="Z240" s="7">
        <f t="shared" si="102"/>
        <v>1.333774103211386E-2</v>
      </c>
    </row>
    <row r="241" spans="1:26" s="24" customFormat="1" hidden="1" outlineLevel="2" x14ac:dyDescent="0.25">
      <c r="A241" s="26"/>
      <c r="B241" s="11" t="str">
        <f>CONCATENATE("          ", "6283", " - ", "PLANT SERVICE")</f>
        <v xml:space="preserve">          6283 - PLANT SERVICE</v>
      </c>
      <c r="C241" s="11"/>
      <c r="D241" s="6"/>
      <c r="E241" s="2"/>
      <c r="F241" s="7">
        <f t="shared" si="95"/>
        <v>0</v>
      </c>
      <c r="G241" s="2"/>
      <c r="H241" s="6">
        <v>173</v>
      </c>
      <c r="I241" s="2"/>
      <c r="J241" s="7">
        <f t="shared" si="96"/>
        <v>1.7346680437457611E-4</v>
      </c>
      <c r="K241" s="2"/>
      <c r="L241" s="6">
        <f t="shared" si="97"/>
        <v>-173</v>
      </c>
      <c r="M241" s="2"/>
      <c r="N241" s="7">
        <f t="shared" si="98"/>
        <v>-1</v>
      </c>
      <c r="O241" s="11"/>
      <c r="P241" s="6">
        <v>541.98</v>
      </c>
      <c r="Q241" s="2"/>
      <c r="R241" s="7">
        <f t="shared" si="99"/>
        <v>4.7578147546273726E-5</v>
      </c>
      <c r="S241" s="2"/>
      <c r="T241" s="6">
        <v>2025.5</v>
      </c>
      <c r="U241" s="2"/>
      <c r="V241" s="7">
        <f t="shared" si="100"/>
        <v>1.4255053950442185E-4</v>
      </c>
      <c r="W241" s="2"/>
      <c r="X241" s="6">
        <f t="shared" si="101"/>
        <v>-1483.52</v>
      </c>
      <c r="Y241" s="2"/>
      <c r="Z241" s="7">
        <f t="shared" si="102"/>
        <v>-0.73242162429029867</v>
      </c>
    </row>
    <row r="242" spans="1:26" s="24" customFormat="1" hidden="1" outlineLevel="2" x14ac:dyDescent="0.25">
      <c r="A242" s="26"/>
      <c r="B242" s="11" t="str">
        <f>CONCATENATE("          ", "6284", " - ", "TRASH REMOVAL EXPENSE")</f>
        <v xml:space="preserve">          6284 - TRASH REMOVAL EXPENSE</v>
      </c>
      <c r="C242" s="11"/>
      <c r="D242" s="6">
        <v>423.82</v>
      </c>
      <c r="E242" s="2"/>
      <c r="F242" s="7">
        <f t="shared" si="95"/>
        <v>1.6074575836880574E-3</v>
      </c>
      <c r="G242" s="2"/>
      <c r="H242" s="6">
        <v>358.46</v>
      </c>
      <c r="I242" s="2"/>
      <c r="J242" s="7">
        <f t="shared" si="96"/>
        <v>3.5942722945728645E-4</v>
      </c>
      <c r="K242" s="2"/>
      <c r="L242" s="6">
        <f t="shared" si="97"/>
        <v>65.360000000000014</v>
      </c>
      <c r="M242" s="2"/>
      <c r="N242" s="7">
        <f t="shared" si="98"/>
        <v>0.18233554650449149</v>
      </c>
      <c r="O242" s="11"/>
      <c r="P242" s="6">
        <v>4661.0200000000004</v>
      </c>
      <c r="Q242" s="2"/>
      <c r="R242" s="7">
        <f t="shared" si="99"/>
        <v>4.0917136661155909E-4</v>
      </c>
      <c r="S242" s="2"/>
      <c r="T242" s="6">
        <v>4513.79</v>
      </c>
      <c r="U242" s="2"/>
      <c r="V242" s="7">
        <f t="shared" si="100"/>
        <v>3.176712908959093E-4</v>
      </c>
      <c r="W242" s="2"/>
      <c r="X242" s="6">
        <f t="shared" si="101"/>
        <v>147.23000000000047</v>
      </c>
      <c r="Y242" s="2"/>
      <c r="Z242" s="7">
        <f t="shared" si="102"/>
        <v>3.2617822273521911E-2</v>
      </c>
    </row>
    <row r="243" spans="1:26" s="24" customFormat="1" hidden="1" outlineLevel="2" x14ac:dyDescent="0.25">
      <c r="A243" s="26"/>
      <c r="B243" s="11" t="str">
        <f>CONCATENATE("          ", "6285", " - ", "JANITORIAL SERVICES")</f>
        <v xml:space="preserve">          6285 - JANITORIAL SERVICES</v>
      </c>
      <c r="C243" s="11"/>
      <c r="D243" s="6">
        <v>4375.66</v>
      </c>
      <c r="E243" s="2"/>
      <c r="F243" s="7">
        <f t="shared" si="95"/>
        <v>1.659593188297033E-2</v>
      </c>
      <c r="G243" s="2"/>
      <c r="H243" s="6">
        <v>4342.88</v>
      </c>
      <c r="I243" s="2"/>
      <c r="J243" s="7">
        <f t="shared" si="96"/>
        <v>4.3545983548107462E-3</v>
      </c>
      <c r="K243" s="2"/>
      <c r="L243" s="6">
        <f t="shared" si="97"/>
        <v>32.779999999999745</v>
      </c>
      <c r="M243" s="2"/>
      <c r="N243" s="7">
        <f t="shared" si="98"/>
        <v>7.5479865895442064E-3</v>
      </c>
      <c r="O243" s="11"/>
      <c r="P243" s="6">
        <v>47244.11</v>
      </c>
      <c r="Q243" s="2"/>
      <c r="R243" s="7">
        <f t="shared" si="99"/>
        <v>4.1473619621985791E-3</v>
      </c>
      <c r="S243" s="2"/>
      <c r="T243" s="6">
        <v>44552.800000000003</v>
      </c>
      <c r="U243" s="2"/>
      <c r="V243" s="7">
        <f t="shared" si="100"/>
        <v>3.135534769900077E-3</v>
      </c>
      <c r="W243" s="2"/>
      <c r="X243" s="6">
        <f t="shared" si="101"/>
        <v>2691.3099999999977</v>
      </c>
      <c r="Y243" s="2"/>
      <c r="Z243" s="7">
        <f t="shared" si="102"/>
        <v>6.0407202240936542E-2</v>
      </c>
    </row>
    <row r="244" spans="1:26" s="24" customFormat="1" hidden="1" outlineLevel="2" x14ac:dyDescent="0.25">
      <c r="A244" s="26"/>
      <c r="B244" s="11" t="str">
        <f>CONCATENATE("          ", "6286", " - ", "LAUNDRY EXPENSE")</f>
        <v xml:space="preserve">          6286 - LAUNDRY EXPENSE</v>
      </c>
      <c r="C244" s="11"/>
      <c r="D244" s="6">
        <v>129.53</v>
      </c>
      <c r="E244" s="2"/>
      <c r="F244" s="7">
        <f t="shared" si="95"/>
        <v>4.9127927142445871E-4</v>
      </c>
      <c r="G244" s="2"/>
      <c r="H244" s="6">
        <v>639.53</v>
      </c>
      <c r="I244" s="2"/>
      <c r="J244" s="7">
        <f t="shared" si="96"/>
        <v>6.4125563815995758E-4</v>
      </c>
      <c r="K244" s="2"/>
      <c r="L244" s="6">
        <f t="shared" si="97"/>
        <v>-510</v>
      </c>
      <c r="M244" s="2"/>
      <c r="N244" s="7">
        <f t="shared" si="98"/>
        <v>-0.79746063515394117</v>
      </c>
      <c r="O244" s="11"/>
      <c r="P244" s="6">
        <v>6187.17</v>
      </c>
      <c r="Q244" s="2"/>
      <c r="R244" s="7">
        <f t="shared" si="99"/>
        <v>5.4314566433056276E-4</v>
      </c>
      <c r="S244" s="2"/>
      <c r="T244" s="6">
        <v>7230.34</v>
      </c>
      <c r="U244" s="2"/>
      <c r="V244" s="7">
        <f t="shared" si="100"/>
        <v>5.0885651335492543E-4</v>
      </c>
      <c r="W244" s="2"/>
      <c r="X244" s="6">
        <f t="shared" si="101"/>
        <v>-1043.17</v>
      </c>
      <c r="Y244" s="2"/>
      <c r="Z244" s="7">
        <f t="shared" si="102"/>
        <v>-0.14427675600317552</v>
      </c>
    </row>
    <row r="245" spans="1:26" s="27" customFormat="1" outlineLevel="1" collapsed="1" x14ac:dyDescent="0.25">
      <c r="A245" s="25"/>
      <c r="B245" s="13" t="str">
        <f>CONCATENATE("     ","Subscriptions &amp; Dues                              ")</f>
        <v xml:space="preserve">     Subscriptions &amp; Dues                              </v>
      </c>
      <c r="C245" s="13"/>
      <c r="D245" s="1">
        <f>SUM(OSRRefD22_20x_0)</f>
        <v>260</v>
      </c>
      <c r="E245" s="1"/>
      <c r="F245" s="5">
        <f t="shared" ref="F245:F247" si="103">IF(D$12=0,0,D245/D$12)</f>
        <v>9.8612375951794375E-4</v>
      </c>
      <c r="G245" s="1"/>
      <c r="H245" s="1">
        <f>SUM(OSRRefH22_20x_0)</f>
        <v>718.36</v>
      </c>
      <c r="I245" s="1"/>
      <c r="J245" s="5">
        <f t="shared" ref="J245:J247" si="104">IF(H$12=0,0,H245/H$12)</f>
        <v>7.2029834445387576E-4</v>
      </c>
      <c r="K245" s="1"/>
      <c r="L245" s="1">
        <f t="shared" ref="L245:L247" si="105">+D245-H245</f>
        <v>-458.36</v>
      </c>
      <c r="M245" s="1"/>
      <c r="N245" s="5">
        <f t="shared" ref="N245:N247" si="106">IF(H245=0,0,L245/H245)</f>
        <v>-0.63806448020491124</v>
      </c>
      <c r="O245" s="13"/>
      <c r="P245" s="1">
        <f>SUM(OSRRefP22_20x_0)</f>
        <v>8770.0499999999993</v>
      </c>
      <c r="Q245" s="1"/>
      <c r="R245" s="5">
        <f t="shared" ref="R245:R247" si="107">IF(P$12=0,0,P245/P$12)</f>
        <v>7.6988584982508183E-4</v>
      </c>
      <c r="S245" s="1"/>
      <c r="T245" s="1">
        <f>SUM(OSRRefT22_20x_0)</f>
        <v>17209</v>
      </c>
      <c r="U245" s="1"/>
      <c r="V245" s="5">
        <f t="shared" ref="V245:V247" si="108">IF(T$12=0,0,T245/T$12)</f>
        <v>1.2111341566682771E-3</v>
      </c>
      <c r="W245" s="1"/>
      <c r="X245" s="1">
        <f t="shared" ref="X245:X247" si="109">+P245-T245</f>
        <v>-8438.9500000000007</v>
      </c>
      <c r="Y245" s="1"/>
      <c r="Z245" s="5">
        <f t="shared" ref="Z245:Z247" si="110">IF(T245=0,0,X245/T245)</f>
        <v>-0.4903800337032948</v>
      </c>
    </row>
    <row r="246" spans="1:26" s="24" customFormat="1" hidden="1" outlineLevel="2" x14ac:dyDescent="0.25">
      <c r="A246" s="26"/>
      <c r="B246" s="11" t="str">
        <f>CONCATENATE("          ", "6258", " - ", "MEMBERSHIP DUES")</f>
        <v xml:space="preserve">          6258 - MEMBERSHIP DUES</v>
      </c>
      <c r="C246" s="11"/>
      <c r="D246" s="6">
        <v>260</v>
      </c>
      <c r="E246" s="2"/>
      <c r="F246" s="7">
        <f t="shared" si="103"/>
        <v>9.8612375951794375E-4</v>
      </c>
      <c r="G246" s="2"/>
      <c r="H246" s="6">
        <v>250</v>
      </c>
      <c r="I246" s="2"/>
      <c r="J246" s="7">
        <f t="shared" si="104"/>
        <v>2.5067457279563026E-4</v>
      </c>
      <c r="K246" s="2"/>
      <c r="L246" s="6">
        <f t="shared" si="105"/>
        <v>10</v>
      </c>
      <c r="M246" s="2"/>
      <c r="N246" s="7">
        <f t="shared" si="106"/>
        <v>0.04</v>
      </c>
      <c r="O246" s="11"/>
      <c r="P246" s="6">
        <v>4566.41</v>
      </c>
      <c r="Q246" s="2"/>
      <c r="R246" s="7">
        <f t="shared" si="107"/>
        <v>4.0086595213251376E-4</v>
      </c>
      <c r="S246" s="2"/>
      <c r="T246" s="6">
        <v>6690.8</v>
      </c>
      <c r="U246" s="2"/>
      <c r="V246" s="7">
        <f t="shared" si="108"/>
        <v>4.7088479373793418E-4</v>
      </c>
      <c r="W246" s="2"/>
      <c r="X246" s="6">
        <f t="shared" si="109"/>
        <v>-2124.3900000000003</v>
      </c>
      <c r="Y246" s="2"/>
      <c r="Z246" s="7">
        <f t="shared" si="110"/>
        <v>-0.31750911699647283</v>
      </c>
    </row>
    <row r="247" spans="1:26" s="24" customFormat="1" hidden="1" outlineLevel="2" x14ac:dyDescent="0.25">
      <c r="A247" s="26"/>
      <c r="B247" s="11" t="str">
        <f>CONCATENATE("          ", "6275", " - ", "SUBSCRIPTIONS")</f>
        <v xml:space="preserve">          6275 - SUBSCRIPTIONS</v>
      </c>
      <c r="C247" s="11"/>
      <c r="D247" s="6"/>
      <c r="E247" s="2"/>
      <c r="F247" s="7">
        <f t="shared" si="103"/>
        <v>0</v>
      </c>
      <c r="G247" s="2"/>
      <c r="H247" s="6">
        <v>468.36</v>
      </c>
      <c r="I247" s="2"/>
      <c r="J247" s="7">
        <f t="shared" si="104"/>
        <v>4.6962377165824551E-4</v>
      </c>
      <c r="K247" s="2"/>
      <c r="L247" s="6">
        <f t="shared" si="105"/>
        <v>-468.36</v>
      </c>
      <c r="M247" s="2"/>
      <c r="N247" s="7">
        <f t="shared" si="106"/>
        <v>-1</v>
      </c>
      <c r="O247" s="11"/>
      <c r="P247" s="6">
        <v>4203.6400000000003</v>
      </c>
      <c r="Q247" s="2"/>
      <c r="R247" s="7">
        <f t="shared" si="107"/>
        <v>3.6901989769256817E-4</v>
      </c>
      <c r="S247" s="2"/>
      <c r="T247" s="6">
        <v>10518.2</v>
      </c>
      <c r="U247" s="2"/>
      <c r="V247" s="7">
        <f t="shared" si="108"/>
        <v>7.4024936293034312E-4</v>
      </c>
      <c r="W247" s="2"/>
      <c r="X247" s="6">
        <f t="shared" si="109"/>
        <v>-6314.56</v>
      </c>
      <c r="Y247" s="2"/>
      <c r="Z247" s="7">
        <f t="shared" si="110"/>
        <v>-0.60034606681751634</v>
      </c>
    </row>
    <row r="248" spans="1:26" s="27" customFormat="1" outlineLevel="1" collapsed="1" x14ac:dyDescent="0.25">
      <c r="A248" s="25"/>
      <c r="B248" s="13" t="str">
        <f>CONCATENATE("     ","Supplies                                          ")</f>
        <v xml:space="preserve">     Supplies                                          </v>
      </c>
      <c r="C248" s="13"/>
      <c r="D248" s="1">
        <f>SUM(OSRRefD22_21x_0)</f>
        <v>5232.17</v>
      </c>
      <c r="E248" s="1"/>
      <c r="F248" s="5">
        <f t="shared" ref="F248:F257" si="111">IF(D$12=0,0,D248/D$12)</f>
        <v>1.984448904168077E-2</v>
      </c>
      <c r="G248" s="1"/>
      <c r="H248" s="1">
        <f>SUM(OSRRefH22_21x_0)</f>
        <v>9241.43</v>
      </c>
      <c r="I248" s="1"/>
      <c r="J248" s="5">
        <f t="shared" ref="J248:J257" si="112">IF(H$12=0,0,H248/H$12)</f>
        <v>9.2663660690828851E-3</v>
      </c>
      <c r="K248" s="1"/>
      <c r="L248" s="1">
        <f t="shared" ref="L248:L257" si="113">+D248-H248</f>
        <v>-4009.26</v>
      </c>
      <c r="M248" s="1"/>
      <c r="N248" s="5">
        <f t="shared" ref="N248:N257" si="114">IF(H248=0,0,L248/H248)</f>
        <v>-0.43383545620104247</v>
      </c>
      <c r="O248" s="13"/>
      <c r="P248" s="1">
        <f>SUM(OSRRefP22_21x_0)</f>
        <v>143274.61999999997</v>
      </c>
      <c r="Q248" s="1"/>
      <c r="R248" s="5">
        <f t="shared" ref="R248:R257" si="115">IF(P$12=0,0,P248/P$12)</f>
        <v>1.257747704711668E-2</v>
      </c>
      <c r="S248" s="1"/>
      <c r="T248" s="1">
        <f>SUM(OSRRefT22_21x_0)</f>
        <v>203669.12</v>
      </c>
      <c r="U248" s="1"/>
      <c r="V248" s="5">
        <f t="shared" ref="V248:V257" si="116">IF(T$12=0,0,T248/T$12)</f>
        <v>1.4333815322829341E-2</v>
      </c>
      <c r="W248" s="1"/>
      <c r="X248" s="1">
        <f t="shared" ref="X248:X257" si="117">+P248-T248</f>
        <v>-60394.500000000029</v>
      </c>
      <c r="Y248" s="1"/>
      <c r="Z248" s="5">
        <f t="shared" ref="Z248:Z257" si="118">IF(T248=0,0,X248/T248)</f>
        <v>-0.29653243456838241</v>
      </c>
    </row>
    <row r="249" spans="1:26" s="24" customFormat="1" hidden="1" outlineLevel="2" x14ac:dyDescent="0.25">
      <c r="A249" s="26"/>
      <c r="B249" s="11" t="str">
        <f>CONCATENATE("          ", "6234", " - ", "EXPENDABLE SUPPLIES &amp; EQUIPMEN")</f>
        <v xml:space="preserve">          6234 - EXPENDABLE SUPPLIES &amp; EQUIPMEN</v>
      </c>
      <c r="C249" s="11"/>
      <c r="D249" s="6">
        <v>700.76</v>
      </c>
      <c r="E249" s="2"/>
      <c r="F249" s="7">
        <f t="shared" si="111"/>
        <v>2.657831098922286E-3</v>
      </c>
      <c r="G249" s="2"/>
      <c r="H249" s="6"/>
      <c r="I249" s="2"/>
      <c r="J249" s="7">
        <f t="shared" si="112"/>
        <v>0</v>
      </c>
      <c r="K249" s="2"/>
      <c r="L249" s="6">
        <f t="shared" si="113"/>
        <v>700.76</v>
      </c>
      <c r="M249" s="2"/>
      <c r="N249" s="7">
        <f t="shared" si="114"/>
        <v>0</v>
      </c>
      <c r="O249" s="11"/>
      <c r="P249" s="6">
        <v>5235.0200000000004</v>
      </c>
      <c r="Q249" s="2"/>
      <c r="R249" s="7">
        <f t="shared" si="115"/>
        <v>4.5956041545388004E-4</v>
      </c>
      <c r="S249" s="2"/>
      <c r="T249" s="6">
        <v>4620.76</v>
      </c>
      <c r="U249" s="2"/>
      <c r="V249" s="7">
        <f t="shared" si="116"/>
        <v>3.2519962030138353E-4</v>
      </c>
      <c r="W249" s="2"/>
      <c r="X249" s="6">
        <f t="shared" si="117"/>
        <v>614.26000000000022</v>
      </c>
      <c r="Y249" s="2"/>
      <c r="Z249" s="7">
        <f t="shared" si="118"/>
        <v>0.13293484188748175</v>
      </c>
    </row>
    <row r="250" spans="1:26" s="24" customFormat="1" hidden="1" outlineLevel="2" x14ac:dyDescent="0.25">
      <c r="A250" s="26"/>
      <c r="B250" s="11" t="str">
        <f>CONCATENATE("          ", "6235", " - ", "COVID-19 EXPENSES")</f>
        <v xml:space="preserve">          6235 - COVID-19 EXPENSES</v>
      </c>
      <c r="C250" s="11"/>
      <c r="D250" s="6">
        <v>1550</v>
      </c>
      <c r="E250" s="2"/>
      <c r="F250" s="7">
        <f t="shared" si="111"/>
        <v>5.8788147202031267E-3</v>
      </c>
      <c r="G250" s="2"/>
      <c r="H250" s="6"/>
      <c r="I250" s="2"/>
      <c r="J250" s="7">
        <f t="shared" si="112"/>
        <v>0</v>
      </c>
      <c r="K250" s="2"/>
      <c r="L250" s="6">
        <f t="shared" si="113"/>
        <v>1550</v>
      </c>
      <c r="M250" s="2"/>
      <c r="N250" s="7">
        <f t="shared" si="114"/>
        <v>0</v>
      </c>
      <c r="O250" s="11"/>
      <c r="P250" s="6">
        <v>1550</v>
      </c>
      <c r="Q250" s="2"/>
      <c r="R250" s="7">
        <f t="shared" si="115"/>
        <v>1.3606798903414199E-4</v>
      </c>
      <c r="S250" s="2"/>
      <c r="T250" s="6"/>
      <c r="U250" s="2"/>
      <c r="V250" s="7">
        <f t="shared" si="116"/>
        <v>0</v>
      </c>
      <c r="W250" s="2"/>
      <c r="X250" s="6">
        <f t="shared" si="117"/>
        <v>1550</v>
      </c>
      <c r="Y250" s="2"/>
      <c r="Z250" s="7">
        <f t="shared" si="118"/>
        <v>0</v>
      </c>
    </row>
    <row r="251" spans="1:26" s="24" customFormat="1" hidden="1" outlineLevel="2" x14ac:dyDescent="0.25">
      <c r="A251" s="26"/>
      <c r="B251" s="11" t="str">
        <f>CONCATENATE("          ", "6237", " - ", "JANITORIAL SUPPLIES")</f>
        <v xml:space="preserve">          6237 - JANITORIAL SUPPLIES</v>
      </c>
      <c r="C251" s="11"/>
      <c r="D251" s="6"/>
      <c r="E251" s="2"/>
      <c r="F251" s="7">
        <f t="shared" si="111"/>
        <v>0</v>
      </c>
      <c r="G251" s="2"/>
      <c r="H251" s="6">
        <v>733.11</v>
      </c>
      <c r="I251" s="2"/>
      <c r="J251" s="7">
        <f t="shared" si="112"/>
        <v>7.3508814424881792E-4</v>
      </c>
      <c r="K251" s="2"/>
      <c r="L251" s="6">
        <f t="shared" si="113"/>
        <v>-733.11</v>
      </c>
      <c r="M251" s="2"/>
      <c r="N251" s="7">
        <f t="shared" si="114"/>
        <v>-1</v>
      </c>
      <c r="O251" s="11"/>
      <c r="P251" s="6">
        <v>9724.01</v>
      </c>
      <c r="Q251" s="2"/>
      <c r="R251" s="7">
        <f t="shared" si="115"/>
        <v>8.5362999099863684E-4</v>
      </c>
      <c r="S251" s="2"/>
      <c r="T251" s="6">
        <v>13497.06</v>
      </c>
      <c r="U251" s="2"/>
      <c r="V251" s="7">
        <f t="shared" si="116"/>
        <v>9.4989542568430104E-4</v>
      </c>
      <c r="W251" s="2"/>
      <c r="X251" s="6">
        <f t="shared" si="117"/>
        <v>-3773.0499999999993</v>
      </c>
      <c r="Y251" s="2"/>
      <c r="Z251" s="7">
        <f t="shared" si="118"/>
        <v>-0.27954606410581262</v>
      </c>
    </row>
    <row r="252" spans="1:26" s="24" customFormat="1" hidden="1" outlineLevel="2" x14ac:dyDescent="0.25">
      <c r="A252" s="26"/>
      <c r="B252" s="11" t="str">
        <f>CONCATENATE("          ", "6239", " - ", "KITCHEN SUPPLIES")</f>
        <v xml:space="preserve">          6239 - KITCHEN SUPPLIES</v>
      </c>
      <c r="C252" s="11"/>
      <c r="D252" s="6"/>
      <c r="E252" s="2"/>
      <c r="F252" s="7">
        <f t="shared" si="111"/>
        <v>0</v>
      </c>
      <c r="G252" s="2"/>
      <c r="H252" s="6"/>
      <c r="I252" s="2"/>
      <c r="J252" s="7">
        <f t="shared" si="112"/>
        <v>0</v>
      </c>
      <c r="K252" s="2"/>
      <c r="L252" s="6">
        <f t="shared" si="113"/>
        <v>0</v>
      </c>
      <c r="M252" s="2"/>
      <c r="N252" s="7">
        <f t="shared" si="114"/>
        <v>0</v>
      </c>
      <c r="O252" s="11"/>
      <c r="P252" s="6">
        <v>441.2</v>
      </c>
      <c r="Q252" s="2"/>
      <c r="R252" s="7">
        <f t="shared" si="115"/>
        <v>3.873109468507319E-5</v>
      </c>
      <c r="S252" s="2"/>
      <c r="T252" s="6">
        <v>61.06</v>
      </c>
      <c r="U252" s="2"/>
      <c r="V252" s="7">
        <f t="shared" si="116"/>
        <v>4.2972776806418153E-6</v>
      </c>
      <c r="W252" s="2"/>
      <c r="X252" s="6">
        <f t="shared" si="117"/>
        <v>380.14</v>
      </c>
      <c r="Y252" s="2"/>
      <c r="Z252" s="7">
        <f t="shared" si="118"/>
        <v>6.2256796593514574</v>
      </c>
    </row>
    <row r="253" spans="1:26" s="24" customFormat="1" hidden="1" outlineLevel="2" x14ac:dyDescent="0.25">
      <c r="A253" s="26"/>
      <c r="B253" s="11" t="str">
        <f>CONCATENATE("          ", "6241", " - ", "OFFICE EXPENSE")</f>
        <v xml:space="preserve">          6241 - OFFICE EXPENSE</v>
      </c>
      <c r="C253" s="11"/>
      <c r="D253" s="6">
        <v>1299.8699999999999</v>
      </c>
      <c r="E253" s="2"/>
      <c r="F253" s="7">
        <f t="shared" si="111"/>
        <v>4.9301257357099596E-3</v>
      </c>
      <c r="G253" s="2"/>
      <c r="H253" s="6">
        <v>1458.17</v>
      </c>
      <c r="I253" s="2"/>
      <c r="J253" s="7">
        <f t="shared" si="112"/>
        <v>1.4621045672536166E-3</v>
      </c>
      <c r="K253" s="2"/>
      <c r="L253" s="6">
        <f t="shared" si="113"/>
        <v>-158.30000000000018</v>
      </c>
      <c r="M253" s="2"/>
      <c r="N253" s="7">
        <f t="shared" si="114"/>
        <v>-0.10856073023035735</v>
      </c>
      <c r="O253" s="11"/>
      <c r="P253" s="6">
        <v>26757.759999999998</v>
      </c>
      <c r="Q253" s="2"/>
      <c r="R253" s="7">
        <f t="shared" si="115"/>
        <v>2.3489513511343245E-3</v>
      </c>
      <c r="S253" s="2"/>
      <c r="T253" s="6">
        <v>41831.17</v>
      </c>
      <c r="U253" s="2"/>
      <c r="V253" s="7">
        <f t="shared" si="116"/>
        <v>2.9439920274505977E-3</v>
      </c>
      <c r="W253" s="2"/>
      <c r="X253" s="6">
        <f t="shared" si="117"/>
        <v>-15073.41</v>
      </c>
      <c r="Y253" s="2"/>
      <c r="Z253" s="7">
        <f t="shared" si="118"/>
        <v>-0.36033919204268017</v>
      </c>
    </row>
    <row r="254" spans="1:26" s="24" customFormat="1" hidden="1" outlineLevel="2" x14ac:dyDescent="0.25">
      <c r="A254" s="26"/>
      <c r="B254" s="11" t="str">
        <f>CONCATENATE("          ", "6243", " - ", "PAPER SUPPLIES")</f>
        <v xml:space="preserve">          6243 - PAPER SUPPLIES</v>
      </c>
      <c r="C254" s="11"/>
      <c r="D254" s="6">
        <v>50.85</v>
      </c>
      <c r="E254" s="2"/>
      <c r="F254" s="7">
        <f t="shared" si="111"/>
        <v>1.928630506595671E-4</v>
      </c>
      <c r="G254" s="2"/>
      <c r="H254" s="6">
        <v>3314.88</v>
      </c>
      <c r="I254" s="2"/>
      <c r="J254" s="7">
        <f t="shared" si="112"/>
        <v>3.3238245114751153E-3</v>
      </c>
      <c r="K254" s="2"/>
      <c r="L254" s="6">
        <f t="shared" si="113"/>
        <v>-3264.03</v>
      </c>
      <c r="M254" s="2"/>
      <c r="N254" s="7">
        <f t="shared" si="114"/>
        <v>-0.98466007819287582</v>
      </c>
      <c r="O254" s="11"/>
      <c r="P254" s="6">
        <v>22904.129999999997</v>
      </c>
      <c r="Q254" s="2"/>
      <c r="R254" s="7">
        <f t="shared" si="115"/>
        <v>2.0106573610816532E-3</v>
      </c>
      <c r="S254" s="2"/>
      <c r="T254" s="6">
        <v>43449.85</v>
      </c>
      <c r="U254" s="2"/>
      <c r="V254" s="7">
        <f t="shared" si="116"/>
        <v>3.0579114089786239E-3</v>
      </c>
      <c r="W254" s="2"/>
      <c r="X254" s="6">
        <f t="shared" si="117"/>
        <v>-20545.72</v>
      </c>
      <c r="Y254" s="2"/>
      <c r="Z254" s="7">
        <f t="shared" si="118"/>
        <v>-0.4728605507268725</v>
      </c>
    </row>
    <row r="255" spans="1:26" s="24" customFormat="1" hidden="1" outlineLevel="2" x14ac:dyDescent="0.25">
      <c r="A255" s="26"/>
      <c r="B255" s="11" t="str">
        <f>CONCATENATE("          ", "6245", " - ", "PRINTING")</f>
        <v xml:space="preserve">          6245 - PRINTING</v>
      </c>
      <c r="C255" s="11"/>
      <c r="D255" s="6">
        <v>66.150000000000006</v>
      </c>
      <c r="E255" s="2"/>
      <c r="F255" s="7">
        <f t="shared" si="111"/>
        <v>2.5089264112350765E-4</v>
      </c>
      <c r="G255" s="2"/>
      <c r="H255" s="6">
        <v>2527.31</v>
      </c>
      <c r="I255" s="2"/>
      <c r="J255" s="7">
        <f t="shared" si="112"/>
        <v>2.5341294182884967E-3</v>
      </c>
      <c r="K255" s="2"/>
      <c r="L255" s="6">
        <f t="shared" si="113"/>
        <v>-2461.16</v>
      </c>
      <c r="M255" s="2"/>
      <c r="N255" s="7">
        <f t="shared" si="114"/>
        <v>-0.97382592558886716</v>
      </c>
      <c r="O255" s="11"/>
      <c r="P255" s="6">
        <v>10709.34</v>
      </c>
      <c r="Q255" s="2"/>
      <c r="R255" s="7">
        <f t="shared" si="115"/>
        <v>9.4012797269864398E-4</v>
      </c>
      <c r="S255" s="2"/>
      <c r="T255" s="6">
        <v>14872.169999999998</v>
      </c>
      <c r="U255" s="2"/>
      <c r="V255" s="7">
        <f t="shared" si="116"/>
        <v>1.0466728497168488E-3</v>
      </c>
      <c r="W255" s="2"/>
      <c r="X255" s="6">
        <f t="shared" si="117"/>
        <v>-4162.8299999999981</v>
      </c>
      <c r="Y255" s="2"/>
      <c r="Z255" s="7">
        <f t="shared" si="118"/>
        <v>-0.27990737061235843</v>
      </c>
    </row>
    <row r="256" spans="1:26" s="24" customFormat="1" hidden="1" outlineLevel="2" x14ac:dyDescent="0.25">
      <c r="A256" s="26"/>
      <c r="B256" s="11" t="str">
        <f>CONCATENATE("          ", "6247", " - ", "STORE SUPPLIES")</f>
        <v xml:space="preserve">          6247 - STORE SUPPLIES</v>
      </c>
      <c r="C256" s="11"/>
      <c r="D256" s="6">
        <v>1523.47</v>
      </c>
      <c r="E256" s="2"/>
      <c r="F256" s="7">
        <f t="shared" si="111"/>
        <v>5.7781921688953922E-3</v>
      </c>
      <c r="G256" s="2"/>
      <c r="H256" s="6">
        <v>1207.96</v>
      </c>
      <c r="I256" s="2"/>
      <c r="J256" s="7">
        <f t="shared" si="112"/>
        <v>1.2112194278168381E-3</v>
      </c>
      <c r="K256" s="2"/>
      <c r="L256" s="6">
        <f t="shared" si="113"/>
        <v>315.51</v>
      </c>
      <c r="M256" s="2"/>
      <c r="N256" s="7">
        <f t="shared" si="114"/>
        <v>0.26119242359018507</v>
      </c>
      <c r="O256" s="11"/>
      <c r="P256" s="6">
        <v>65715.069999999992</v>
      </c>
      <c r="Q256" s="2"/>
      <c r="R256" s="7">
        <f t="shared" si="115"/>
        <v>5.7688499510566921E-3</v>
      </c>
      <c r="S256" s="2"/>
      <c r="T256" s="6">
        <v>82209.090000000011</v>
      </c>
      <c r="U256" s="2"/>
      <c r="V256" s="7">
        <f t="shared" si="116"/>
        <v>5.7857072977870018E-3</v>
      </c>
      <c r="W256" s="2"/>
      <c r="X256" s="6">
        <f t="shared" si="117"/>
        <v>-16494.020000000019</v>
      </c>
      <c r="Y256" s="2"/>
      <c r="Z256" s="7">
        <f t="shared" si="118"/>
        <v>-0.20063499060748655</v>
      </c>
    </row>
    <row r="257" spans="1:26" s="24" customFormat="1" hidden="1" outlineLevel="2" x14ac:dyDescent="0.25">
      <c r="A257" s="26"/>
      <c r="B257" s="11" t="str">
        <f>CONCATENATE("          ", "6248", " - ", "UNIFORMS")</f>
        <v xml:space="preserve">          6248 - UNIFORMS</v>
      </c>
      <c r="C257" s="11"/>
      <c r="D257" s="6">
        <v>41.07</v>
      </c>
      <c r="E257" s="2"/>
      <c r="F257" s="7">
        <f t="shared" si="111"/>
        <v>1.5576962616693058E-4</v>
      </c>
      <c r="G257" s="2"/>
      <c r="H257" s="6"/>
      <c r="I257" s="2"/>
      <c r="J257" s="7">
        <f t="shared" si="112"/>
        <v>0</v>
      </c>
      <c r="K257" s="2"/>
      <c r="L257" s="6">
        <f t="shared" si="113"/>
        <v>41.07</v>
      </c>
      <c r="M257" s="2"/>
      <c r="N257" s="7">
        <f t="shared" si="114"/>
        <v>0</v>
      </c>
      <c r="O257" s="11"/>
      <c r="P257" s="6">
        <v>238.09</v>
      </c>
      <c r="Q257" s="2"/>
      <c r="R257" s="7">
        <f t="shared" si="115"/>
        <v>2.0900920973637979E-5</v>
      </c>
      <c r="S257" s="2"/>
      <c r="T257" s="6">
        <v>3127.96</v>
      </c>
      <c r="U257" s="2"/>
      <c r="V257" s="7">
        <f t="shared" si="116"/>
        <v>2.2013941522994388E-4</v>
      </c>
      <c r="W257" s="2"/>
      <c r="X257" s="6">
        <f t="shared" si="117"/>
        <v>-2889.87</v>
      </c>
      <c r="Y257" s="2"/>
      <c r="Z257" s="7">
        <f t="shared" si="118"/>
        <v>-0.92388329774038025</v>
      </c>
    </row>
    <row r="258" spans="1:26" s="27" customFormat="1" outlineLevel="1" collapsed="1" x14ac:dyDescent="0.25">
      <c r="A258" s="25"/>
      <c r="B258" s="13" t="str">
        <f>CONCATENATE("     ","Telephone/Data Lines                              ")</f>
        <v xml:space="preserve">     Telephone/Data Lines                              </v>
      </c>
      <c r="C258" s="13"/>
      <c r="D258" s="1">
        <f>SUM(OSRRefD22_22x_0)</f>
        <v>3139.38</v>
      </c>
      <c r="E258" s="1"/>
      <c r="F258" s="5">
        <f t="shared" ref="F258:F260" si="119">IF(D$12=0,0,D258/D$12)</f>
        <v>1.1906989262136318E-2</v>
      </c>
      <c r="G258" s="1"/>
      <c r="H258" s="1">
        <f>SUM(OSRRefH22_22x_0)</f>
        <v>3289.18</v>
      </c>
      <c r="I258" s="1"/>
      <c r="J258" s="5">
        <f t="shared" ref="J258:J260" si="120">IF(H$12=0,0,H258/H$12)</f>
        <v>3.298055165391724E-3</v>
      </c>
      <c r="K258" s="1"/>
      <c r="L258" s="1">
        <f t="shared" ref="L258:L260" si="121">+D258-H258</f>
        <v>-149.79999999999973</v>
      </c>
      <c r="M258" s="1"/>
      <c r="N258" s="5">
        <f t="shared" ref="N258:N260" si="122">IF(H258=0,0,L258/H258)</f>
        <v>-4.5543266102797575E-2</v>
      </c>
      <c r="O258" s="13"/>
      <c r="P258" s="1">
        <f>SUM(OSRRefP22_22x_0)</f>
        <v>32233.14</v>
      </c>
      <c r="Q258" s="1"/>
      <c r="R258" s="5">
        <f t="shared" ref="R258:R260" si="123">IF(P$12=0,0,P258/P$12)</f>
        <v>2.8296119613264279E-3</v>
      </c>
      <c r="S258" s="1"/>
      <c r="T258" s="1">
        <f>SUM(OSRRefT22_22x_0)</f>
        <v>34407.630000000005</v>
      </c>
      <c r="U258" s="1"/>
      <c r="V258" s="5">
        <f t="shared" ref="V258:V260" si="124">IF(T$12=0,0,T258/T$12)</f>
        <v>2.4215384939859446E-3</v>
      </c>
      <c r="W258" s="1"/>
      <c r="X258" s="1">
        <f t="shared" ref="X258:X260" si="125">+P258-T258</f>
        <v>-2174.4900000000052</v>
      </c>
      <c r="Y258" s="1"/>
      <c r="Z258" s="5">
        <f t="shared" ref="Z258:Z260" si="126">IF(T258=0,0,X258/T258)</f>
        <v>-6.3197901163201439E-2</v>
      </c>
    </row>
    <row r="259" spans="1:26" s="24" customFormat="1" hidden="1" outlineLevel="2" x14ac:dyDescent="0.25">
      <c r="A259" s="26"/>
      <c r="B259" s="11" t="str">
        <f>CONCATENATE("          ", "6303", " - ", "DATA PHONE LINES")</f>
        <v xml:space="preserve">          6303 - DATA PHONE LINES</v>
      </c>
      <c r="C259" s="11"/>
      <c r="D259" s="6">
        <v>590</v>
      </c>
      <c r="E259" s="2"/>
      <c r="F259" s="7">
        <f t="shared" si="119"/>
        <v>2.2377423773676419E-3</v>
      </c>
      <c r="G259" s="2"/>
      <c r="H259" s="6">
        <v>590</v>
      </c>
      <c r="I259" s="2"/>
      <c r="J259" s="7">
        <f t="shared" si="120"/>
        <v>5.9159199179768731E-4</v>
      </c>
      <c r="K259" s="2"/>
      <c r="L259" s="6">
        <f t="shared" si="121"/>
        <v>0</v>
      </c>
      <c r="M259" s="2"/>
      <c r="N259" s="7">
        <f t="shared" si="122"/>
        <v>0</v>
      </c>
      <c r="O259" s="11"/>
      <c r="P259" s="6">
        <v>2950</v>
      </c>
      <c r="Q259" s="2"/>
      <c r="R259" s="7">
        <f t="shared" si="123"/>
        <v>2.5896810816175412E-4</v>
      </c>
      <c r="S259" s="2"/>
      <c r="T259" s="6">
        <v>3245</v>
      </c>
      <c r="U259" s="2"/>
      <c r="V259" s="7">
        <f t="shared" si="124"/>
        <v>2.2837645060076468E-4</v>
      </c>
      <c r="W259" s="2"/>
      <c r="X259" s="6">
        <f t="shared" si="125"/>
        <v>-295</v>
      </c>
      <c r="Y259" s="2"/>
      <c r="Z259" s="7">
        <f t="shared" si="126"/>
        <v>-9.0909090909090912E-2</v>
      </c>
    </row>
    <row r="260" spans="1:26" s="24" customFormat="1" hidden="1" outlineLevel="2" x14ac:dyDescent="0.25">
      <c r="A260" s="26"/>
      <c r="B260" s="11" t="str">
        <f>CONCATENATE("          ", "6309", " - ", "TELEPHONE")</f>
        <v xml:space="preserve">          6309 - TELEPHONE</v>
      </c>
      <c r="C260" s="11"/>
      <c r="D260" s="6">
        <v>2549.38</v>
      </c>
      <c r="E260" s="2"/>
      <c r="F260" s="7">
        <f t="shared" si="119"/>
        <v>9.6692468847686761E-3</v>
      </c>
      <c r="G260" s="2"/>
      <c r="H260" s="6">
        <v>2699.18</v>
      </c>
      <c r="I260" s="2"/>
      <c r="J260" s="7">
        <f t="shared" si="120"/>
        <v>2.7064631735940368E-3</v>
      </c>
      <c r="K260" s="2"/>
      <c r="L260" s="6">
        <f t="shared" si="121"/>
        <v>-149.79999999999973</v>
      </c>
      <c r="M260" s="2"/>
      <c r="N260" s="7">
        <f t="shared" si="122"/>
        <v>-5.5498336531835495E-2</v>
      </c>
      <c r="O260" s="11"/>
      <c r="P260" s="6">
        <v>29283.14</v>
      </c>
      <c r="Q260" s="2"/>
      <c r="R260" s="7">
        <f t="shared" si="123"/>
        <v>2.570643853164674E-3</v>
      </c>
      <c r="S260" s="2"/>
      <c r="T260" s="6">
        <v>31162.63</v>
      </c>
      <c r="U260" s="2"/>
      <c r="V260" s="7">
        <f t="shared" si="124"/>
        <v>2.1931620433851798E-3</v>
      </c>
      <c r="W260" s="2"/>
      <c r="X260" s="6">
        <f t="shared" si="125"/>
        <v>-1879.4900000000016</v>
      </c>
      <c r="Y260" s="2"/>
      <c r="Z260" s="7">
        <f t="shared" si="126"/>
        <v>-6.0312303550759401E-2</v>
      </c>
    </row>
    <row r="261" spans="1:26" s="27" customFormat="1" outlineLevel="1" collapsed="1" x14ac:dyDescent="0.25">
      <c r="A261" s="25"/>
      <c r="B261" s="13" t="str">
        <f>CONCATENATE("     ","Training                                          ")</f>
        <v xml:space="preserve">     Training                                          </v>
      </c>
      <c r="C261" s="13"/>
      <c r="D261" s="1">
        <f>SUM(OSRRefD22_23x_0)</f>
        <v>2140.13</v>
      </c>
      <c r="E261" s="1"/>
      <c r="F261" s="5">
        <f t="shared" ref="F261:F266" si="127">IF(D$12=0,0,D261/D$12)</f>
        <v>8.1170501594505281E-3</v>
      </c>
      <c r="G261" s="1"/>
      <c r="H261" s="1">
        <f>SUM(OSRRefH22_23x_0)</f>
        <v>39.299999999999997</v>
      </c>
      <c r="I261" s="1"/>
      <c r="J261" s="5">
        <f t="shared" ref="J261:J266" si="128">IF(H$12=0,0,H261/H$12)</f>
        <v>3.9406042843473068E-5</v>
      </c>
      <c r="K261" s="1"/>
      <c r="L261" s="1">
        <f t="shared" ref="L261:L266" si="129">+D261-H261</f>
        <v>2100.83</v>
      </c>
      <c r="M261" s="1"/>
      <c r="N261" s="5">
        <f t="shared" ref="N261:N266" si="130">IF(H261=0,0,L261/H261)</f>
        <v>53.456234096692114</v>
      </c>
      <c r="O261" s="13"/>
      <c r="P261" s="1">
        <f>SUM(OSRRefP22_23x_0)</f>
        <v>23967.01</v>
      </c>
      <c r="Q261" s="1"/>
      <c r="R261" s="5">
        <f t="shared" ref="R261:R266" si="131">IF(P$12=0,0,P261/P$12)</f>
        <v>2.1039631315233364E-3</v>
      </c>
      <c r="S261" s="1"/>
      <c r="T261" s="1">
        <f>SUM(OSRRefT22_23x_0)</f>
        <v>21070.510000000002</v>
      </c>
      <c r="U261" s="1"/>
      <c r="V261" s="5">
        <f t="shared" ref="V261:V266" si="132">IF(T$12=0,0,T261/T$12)</f>
        <v>1.4828993177651521E-3</v>
      </c>
      <c r="W261" s="1"/>
      <c r="X261" s="1">
        <f t="shared" ref="X261:X266" si="133">+P261-T261</f>
        <v>2896.4999999999964</v>
      </c>
      <c r="Y261" s="1"/>
      <c r="Z261" s="5">
        <f t="shared" ref="Z261:Z266" si="134">IF(T261=0,0,X261/T261)</f>
        <v>0.13746700957879027</v>
      </c>
    </row>
    <row r="262" spans="1:26" s="24" customFormat="1" hidden="1" outlineLevel="2" x14ac:dyDescent="0.25">
      <c r="A262" s="26"/>
      <c r="B262" s="11" t="str">
        <f>CONCATENATE("          ", "6376", " - ", "TRAINING")</f>
        <v xml:space="preserve">          6376 - TRAINING</v>
      </c>
      <c r="C262" s="11"/>
      <c r="D262" s="6">
        <v>2140.13</v>
      </c>
      <c r="E262" s="2"/>
      <c r="F262" s="7">
        <f t="shared" si="127"/>
        <v>8.1170501594505281E-3</v>
      </c>
      <c r="G262" s="2"/>
      <c r="H262" s="6">
        <v>39.299999999999997</v>
      </c>
      <c r="I262" s="2"/>
      <c r="J262" s="7">
        <f t="shared" si="128"/>
        <v>3.9406042843473068E-5</v>
      </c>
      <c r="K262" s="2"/>
      <c r="L262" s="6">
        <f t="shared" si="129"/>
        <v>2100.83</v>
      </c>
      <c r="M262" s="2"/>
      <c r="N262" s="7">
        <f t="shared" si="130"/>
        <v>53.456234096692114</v>
      </c>
      <c r="O262" s="11"/>
      <c r="P262" s="6">
        <v>23967.01</v>
      </c>
      <c r="Q262" s="2"/>
      <c r="R262" s="7">
        <f t="shared" si="131"/>
        <v>2.1039631315233364E-3</v>
      </c>
      <c r="S262" s="2"/>
      <c r="T262" s="6">
        <v>21070.510000000002</v>
      </c>
      <c r="U262" s="2"/>
      <c r="V262" s="7">
        <f t="shared" si="132"/>
        <v>1.4828993177651521E-3</v>
      </c>
      <c r="W262" s="2"/>
      <c r="X262" s="6">
        <f t="shared" si="133"/>
        <v>2896.4999999999964</v>
      </c>
      <c r="Y262" s="2"/>
      <c r="Z262" s="7">
        <f t="shared" si="134"/>
        <v>0.13746700957879027</v>
      </c>
    </row>
    <row r="263" spans="1:26" s="27" customFormat="1" outlineLevel="1" collapsed="1" x14ac:dyDescent="0.25">
      <c r="A263" s="25"/>
      <c r="B263" s="13" t="str">
        <f>CONCATENATE("     ","Travel                                            ")</f>
        <v xml:space="preserve">     Travel                                            </v>
      </c>
      <c r="C263" s="13"/>
      <c r="D263" s="1">
        <f>SUM(OSRRefD22_24x_0)</f>
        <v>0</v>
      </c>
      <c r="E263" s="1"/>
      <c r="F263" s="5">
        <f t="shared" si="127"/>
        <v>0</v>
      </c>
      <c r="G263" s="1"/>
      <c r="H263" s="1">
        <f>SUM(OSRRefH22_24x_0)</f>
        <v>128.32999999999998</v>
      </c>
      <c r="I263" s="1"/>
      <c r="J263" s="5">
        <f t="shared" si="128"/>
        <v>1.2867627170745288E-4</v>
      </c>
      <c r="K263" s="1"/>
      <c r="L263" s="1">
        <f t="shared" si="129"/>
        <v>-128.32999999999998</v>
      </c>
      <c r="M263" s="1"/>
      <c r="N263" s="5">
        <f t="shared" si="130"/>
        <v>-1</v>
      </c>
      <c r="O263" s="13"/>
      <c r="P263" s="1">
        <f>SUM(OSRRefP22_24x_0)</f>
        <v>1383.79</v>
      </c>
      <c r="Q263" s="1"/>
      <c r="R263" s="5">
        <f t="shared" si="131"/>
        <v>1.2147711131971312E-4</v>
      </c>
      <c r="S263" s="1"/>
      <c r="T263" s="1">
        <f>SUM(OSRRefT22_24x_0)</f>
        <v>3685.09</v>
      </c>
      <c r="U263" s="1"/>
      <c r="V263" s="5">
        <f t="shared" si="132"/>
        <v>2.5934908300288812E-4</v>
      </c>
      <c r="W263" s="1"/>
      <c r="X263" s="1">
        <f t="shared" si="133"/>
        <v>-2301.3000000000002</v>
      </c>
      <c r="Y263" s="1"/>
      <c r="Z263" s="5">
        <f t="shared" si="134"/>
        <v>-0.62448949686439137</v>
      </c>
    </row>
    <row r="264" spans="1:26" s="24" customFormat="1" hidden="1" outlineLevel="2" x14ac:dyDescent="0.25">
      <c r="A264" s="26"/>
      <c r="B264" s="11" t="str">
        <f>CONCATENATE("          ", "6292", " - ", "TRAVEL/CONFERENCE")</f>
        <v xml:space="preserve">          6292 - TRAVEL/CONFERENCE</v>
      </c>
      <c r="C264" s="11"/>
      <c r="D264" s="6"/>
      <c r="E264" s="2"/>
      <c r="F264" s="7">
        <f t="shared" si="127"/>
        <v>0</v>
      </c>
      <c r="G264" s="2"/>
      <c r="H264" s="6">
        <v>57.95</v>
      </c>
      <c r="I264" s="2"/>
      <c r="J264" s="7">
        <f t="shared" si="128"/>
        <v>5.8106365974027094E-5</v>
      </c>
      <c r="K264" s="2"/>
      <c r="L264" s="6">
        <f t="shared" si="129"/>
        <v>-57.95</v>
      </c>
      <c r="M264" s="2"/>
      <c r="N264" s="7">
        <f t="shared" si="130"/>
        <v>-1</v>
      </c>
      <c r="O264" s="11"/>
      <c r="P264" s="6">
        <v>504.66</v>
      </c>
      <c r="Q264" s="2"/>
      <c r="R264" s="7">
        <f t="shared" si="131"/>
        <v>4.4301981513529098E-5</v>
      </c>
      <c r="S264" s="2"/>
      <c r="T264" s="6">
        <v>2461.46</v>
      </c>
      <c r="U264" s="2"/>
      <c r="V264" s="7">
        <f t="shared" si="132"/>
        <v>1.7323251096941703E-4</v>
      </c>
      <c r="W264" s="2"/>
      <c r="X264" s="6">
        <f t="shared" si="133"/>
        <v>-1956.8</v>
      </c>
      <c r="Y264" s="2"/>
      <c r="Z264" s="7">
        <f t="shared" si="134"/>
        <v>-0.7949753398389573</v>
      </c>
    </row>
    <row r="265" spans="1:26" s="24" customFormat="1" hidden="1" outlineLevel="2" x14ac:dyDescent="0.25">
      <c r="A265" s="26"/>
      <c r="B265" s="11" t="str">
        <f>CONCATENATE("          ", "6294", " - ", "TRAVEL OPERATIONAL")</f>
        <v xml:space="preserve">          6294 - TRAVEL OPERATIONAL</v>
      </c>
      <c r="C265" s="11"/>
      <c r="D265" s="6"/>
      <c r="E265" s="2"/>
      <c r="F265" s="7">
        <f t="shared" si="127"/>
        <v>0</v>
      </c>
      <c r="G265" s="2"/>
      <c r="H265" s="6"/>
      <c r="I265" s="2"/>
      <c r="J265" s="7">
        <f t="shared" si="128"/>
        <v>0</v>
      </c>
      <c r="K265" s="2"/>
      <c r="L265" s="6">
        <f t="shared" si="129"/>
        <v>0</v>
      </c>
      <c r="M265" s="2"/>
      <c r="N265" s="7">
        <f t="shared" si="130"/>
        <v>0</v>
      </c>
      <c r="O265" s="11"/>
      <c r="P265" s="6">
        <v>361.61</v>
      </c>
      <c r="Q265" s="2"/>
      <c r="R265" s="7">
        <f t="shared" si="131"/>
        <v>3.174422291266844E-5</v>
      </c>
      <c r="S265" s="2"/>
      <c r="T265" s="6">
        <v>579.4</v>
      </c>
      <c r="U265" s="2"/>
      <c r="V265" s="7">
        <f t="shared" si="132"/>
        <v>4.0776984739008642E-5</v>
      </c>
      <c r="W265" s="2"/>
      <c r="X265" s="6">
        <f t="shared" si="133"/>
        <v>-217.78999999999996</v>
      </c>
      <c r="Y265" s="2"/>
      <c r="Z265" s="7">
        <f t="shared" si="134"/>
        <v>-0.37588885053503618</v>
      </c>
    </row>
    <row r="266" spans="1:26" s="24" customFormat="1" hidden="1" outlineLevel="2" x14ac:dyDescent="0.25">
      <c r="A266" s="26"/>
      <c r="B266" s="11" t="str">
        <f>CONCATENATE("          ", "6298", " - ", "VEHICLE MILEAGE")</f>
        <v xml:space="preserve">          6298 - VEHICLE MILEAGE</v>
      </c>
      <c r="C266" s="11"/>
      <c r="D266" s="6"/>
      <c r="E266" s="2"/>
      <c r="F266" s="7">
        <f t="shared" si="127"/>
        <v>0</v>
      </c>
      <c r="G266" s="2"/>
      <c r="H266" s="6">
        <v>70.38</v>
      </c>
      <c r="I266" s="2"/>
      <c r="J266" s="7">
        <f t="shared" si="128"/>
        <v>7.0569905733425823E-5</v>
      </c>
      <c r="K266" s="2"/>
      <c r="L266" s="6">
        <f t="shared" si="129"/>
        <v>-70.38</v>
      </c>
      <c r="M266" s="2"/>
      <c r="N266" s="7">
        <f t="shared" si="130"/>
        <v>-1</v>
      </c>
      <c r="O266" s="11"/>
      <c r="P266" s="6">
        <v>517.52</v>
      </c>
      <c r="Q266" s="2"/>
      <c r="R266" s="7">
        <f t="shared" si="131"/>
        <v>4.543090689351559E-5</v>
      </c>
      <c r="S266" s="2"/>
      <c r="T266" s="6">
        <v>644.23</v>
      </c>
      <c r="U266" s="2"/>
      <c r="V266" s="7">
        <f t="shared" si="132"/>
        <v>4.5339587294462446E-5</v>
      </c>
      <c r="W266" s="2"/>
      <c r="X266" s="6">
        <f t="shared" si="133"/>
        <v>-126.71000000000004</v>
      </c>
      <c r="Y266" s="2"/>
      <c r="Z266" s="7">
        <f t="shared" si="134"/>
        <v>-0.1966844139515391</v>
      </c>
    </row>
    <row r="267" spans="1:26" s="27" customFormat="1" outlineLevel="1" collapsed="1" x14ac:dyDescent="0.25">
      <c r="A267" s="25"/>
      <c r="B267" s="13" t="str">
        <f>CONCATENATE("     ","Utilities                                         ")</f>
        <v xml:space="preserve">     Utilities                                         </v>
      </c>
      <c r="C267" s="13"/>
      <c r="D267" s="1">
        <f>SUM(OSRRefD22_25x_0)</f>
        <v>7268.43</v>
      </c>
      <c r="E267" s="1"/>
      <c r="F267" s="5">
        <f t="shared" ref="F267:F268" si="135">IF(D$12=0,0,D267/D$12)</f>
        <v>2.7567582759203881E-2</v>
      </c>
      <c r="G267" s="1"/>
      <c r="H267" s="1">
        <f>SUM(OSRRefH22_25x_0)</f>
        <v>6676.19</v>
      </c>
      <c r="I267" s="1"/>
      <c r="J267" s="5">
        <f t="shared" ref="J267:J268" si="136">IF(H$12=0,0,H267/H$12)</f>
        <v>6.6942043046098344E-3</v>
      </c>
      <c r="K267" s="1"/>
      <c r="L267" s="1">
        <f t="shared" ref="L267:L268" si="137">+D267-H267</f>
        <v>592.24000000000069</v>
      </c>
      <c r="M267" s="1"/>
      <c r="N267" s="5">
        <f t="shared" ref="N267:N268" si="138">IF(H267=0,0,L267/H267)</f>
        <v>8.8709278795241112E-2</v>
      </c>
      <c r="O267" s="13"/>
      <c r="P267" s="1">
        <f>SUM(OSRRefP22_25x_0)</f>
        <v>76968.51999999999</v>
      </c>
      <c r="Q267" s="1"/>
      <c r="R267" s="5">
        <f t="shared" ref="R267:R268" si="139">IF(P$12=0,0,P267/P$12)</f>
        <v>6.7567430550542823E-3</v>
      </c>
      <c r="S267" s="1"/>
      <c r="T267" s="1">
        <f>SUM(OSRRefT22_25x_0)</f>
        <v>61626.81</v>
      </c>
      <c r="U267" s="1"/>
      <c r="V267" s="5">
        <f t="shared" ref="V267:V268" si="140">IF(T$12=0,0,T267/T$12)</f>
        <v>4.3371686069792635E-3</v>
      </c>
      <c r="W267" s="1"/>
      <c r="X267" s="1">
        <f t="shared" ref="X267:X268" si="141">+P267-T267</f>
        <v>15341.709999999992</v>
      </c>
      <c r="Y267" s="1"/>
      <c r="Z267" s="5">
        <f t="shared" ref="Z267:Z268" si="142">IF(T267=0,0,X267/T267)</f>
        <v>0.24894538594485083</v>
      </c>
    </row>
    <row r="268" spans="1:26" s="24" customFormat="1" hidden="1" outlineLevel="2" x14ac:dyDescent="0.25">
      <c r="A268" s="26"/>
      <c r="B268" s="11" t="str">
        <f>CONCATENATE("          ", "6274", " - ", "UTILITIES")</f>
        <v xml:space="preserve">          6274 - UTILITIES</v>
      </c>
      <c r="C268" s="11"/>
      <c r="D268" s="6">
        <v>7268.43</v>
      </c>
      <c r="E268" s="2"/>
      <c r="F268" s="7">
        <f t="shared" si="135"/>
        <v>2.7567582759203881E-2</v>
      </c>
      <c r="G268" s="2"/>
      <c r="H268" s="6">
        <v>6676.19</v>
      </c>
      <c r="I268" s="2"/>
      <c r="J268" s="7">
        <f t="shared" si="136"/>
        <v>6.6942043046098344E-3</v>
      </c>
      <c r="K268" s="2"/>
      <c r="L268" s="6">
        <f t="shared" si="137"/>
        <v>592.24000000000069</v>
      </c>
      <c r="M268" s="2"/>
      <c r="N268" s="7">
        <f t="shared" si="138"/>
        <v>8.8709278795241112E-2</v>
      </c>
      <c r="O268" s="11"/>
      <c r="P268" s="6">
        <v>76968.51999999999</v>
      </c>
      <c r="Q268" s="2"/>
      <c r="R268" s="7">
        <f t="shared" si="139"/>
        <v>6.7567430550542823E-3</v>
      </c>
      <c r="S268" s="2"/>
      <c r="T268" s="6">
        <v>61626.81</v>
      </c>
      <c r="U268" s="2"/>
      <c r="V268" s="7">
        <f t="shared" si="140"/>
        <v>4.3371686069792635E-3</v>
      </c>
      <c r="W268" s="2"/>
      <c r="X268" s="6">
        <f t="shared" si="141"/>
        <v>15341.709999999992</v>
      </c>
      <c r="Y268" s="2"/>
      <c r="Z268" s="7">
        <f t="shared" si="142"/>
        <v>0.24894538594485083</v>
      </c>
    </row>
    <row r="269" spans="1:26" s="58" customFormat="1" x14ac:dyDescent="0.25">
      <c r="A269" s="37"/>
      <c r="B269" s="37"/>
      <c r="C269" s="37"/>
      <c r="D269" s="1"/>
      <c r="E269" s="1"/>
      <c r="F269" s="5"/>
      <c r="G269" s="1"/>
      <c r="H269" s="1"/>
      <c r="I269" s="1"/>
      <c r="J269" s="5"/>
      <c r="K269" s="1"/>
      <c r="L269" s="1"/>
      <c r="M269" s="1"/>
      <c r="N269" s="5"/>
      <c r="O269" s="37"/>
      <c r="P269" s="1"/>
      <c r="Q269" s="1"/>
      <c r="R269" s="5"/>
      <c r="S269" s="1"/>
      <c r="T269" s="1"/>
      <c r="U269" s="1"/>
      <c r="V269" s="5"/>
      <c r="W269" s="1"/>
      <c r="X269" s="1"/>
      <c r="Y269" s="1"/>
      <c r="Z269" s="5"/>
    </row>
    <row r="270" spans="1:26" s="23" customFormat="1" collapsed="1" x14ac:dyDescent="0.25">
      <c r="A270" s="10"/>
      <c r="B270" s="28" t="s">
        <v>0</v>
      </c>
      <c r="C270" s="10"/>
      <c r="D270" s="4">
        <f>SUM(OSRRefD25x_0)</f>
        <v>108077.11</v>
      </c>
      <c r="E270" s="4"/>
      <c r="F270" s="12">
        <f t="shared" ref="F270:F279" si="143">IF(D$12=0,0,D270/D$12)</f>
        <v>0.40991310011936294</v>
      </c>
      <c r="G270" s="4"/>
      <c r="H270" s="4">
        <f>SUM(OSRRefH25x_0)</f>
        <v>139380.63</v>
      </c>
      <c r="I270" s="4"/>
      <c r="J270" s="12">
        <f t="shared" ref="J270:J279" si="144">IF(H$12=0,0,H270/H$12)</f>
        <v>0.13975671952494323</v>
      </c>
      <c r="K270" s="4"/>
      <c r="L270" s="4">
        <f t="shared" ref="L270:L279" si="145">+D270-H270</f>
        <v>-31303.520000000004</v>
      </c>
      <c r="M270" s="4"/>
      <c r="N270" s="12">
        <f t="shared" ref="N270:N279" si="146">IF(H270=0,0,L270/H270)</f>
        <v>-0.22459017440228246</v>
      </c>
      <c r="O270" s="10"/>
      <c r="P270" s="4">
        <f>SUM(OSRRefP25x_0)</f>
        <v>1169105.1499999999</v>
      </c>
      <c r="Q270" s="4"/>
      <c r="R270" s="12">
        <f t="shared" ref="R270:R279" si="147">IF(P$12=0,0,P270/P$12)</f>
        <v>0.10263083014836059</v>
      </c>
      <c r="S270" s="4"/>
      <c r="T270" s="4">
        <f>SUM(OSRRefT25x_0)</f>
        <v>1202618.8599999999</v>
      </c>
      <c r="U270" s="4"/>
      <c r="V270" s="12">
        <f t="shared" ref="V270:V279" si="148">IF(T$12=0,0,T270/T$12)</f>
        <v>8.463785105464959E-2</v>
      </c>
      <c r="W270" s="4"/>
      <c r="X270" s="4">
        <f t="shared" ref="X270:X279" si="149">+P270-T270</f>
        <v>-33513.709999999963</v>
      </c>
      <c r="Y270" s="4"/>
      <c r="Z270" s="12">
        <f t="shared" ref="Z270:Z279" si="150">IF(T270=0,0,X270/T270)</f>
        <v>-2.78672745910537E-2</v>
      </c>
    </row>
    <row r="271" spans="1:26" s="24" customFormat="1" hidden="1" outlineLevel="1" x14ac:dyDescent="0.25">
      <c r="A271" s="44"/>
      <c r="B271" s="11" t="str">
        <f>CONCATENATE("          ", "4098", " - ", "TAXABLE SALES-GRAD RENTALS")</f>
        <v xml:space="preserve">          4098 - TAXABLE SALES-GRAD RENTALS</v>
      </c>
      <c r="C271" s="11"/>
      <c r="D271" s="2">
        <f>-152</f>
        <v>-152</v>
      </c>
      <c r="E271" s="2"/>
      <c r="F271" s="19">
        <f t="shared" si="143"/>
        <v>-5.7650312094895172E-4</v>
      </c>
      <c r="G271" s="2"/>
      <c r="H271" s="2">
        <f>--70358.28</f>
        <v>70358.28</v>
      </c>
      <c r="I271" s="2"/>
      <c r="J271" s="19">
        <f t="shared" si="144"/>
        <v>7.0548127126541335E-2</v>
      </c>
      <c r="K271" s="2"/>
      <c r="L271" s="2">
        <f t="shared" si="145"/>
        <v>-70510.28</v>
      </c>
      <c r="M271" s="2"/>
      <c r="N271" s="19">
        <f t="shared" si="146"/>
        <v>-1.0021603711745086</v>
      </c>
      <c r="O271" s="11"/>
      <c r="P271" s="2">
        <f>--1946.85</f>
        <v>1946.85</v>
      </c>
      <c r="Q271" s="2"/>
      <c r="R271" s="19">
        <f t="shared" si="147"/>
        <v>1.7090578351685118E-4</v>
      </c>
      <c r="S271" s="2"/>
      <c r="T271" s="2">
        <f>--77432.28</f>
        <v>77432.28</v>
      </c>
      <c r="U271" s="2"/>
      <c r="V271" s="19">
        <f t="shared" si="148"/>
        <v>5.449525198251026E-3</v>
      </c>
      <c r="W271" s="2"/>
      <c r="X271" s="2">
        <f t="shared" si="149"/>
        <v>-75485.429999999993</v>
      </c>
      <c r="Y271" s="2"/>
      <c r="Z271" s="19">
        <f t="shared" si="150"/>
        <v>-0.97485738505956421</v>
      </c>
    </row>
    <row r="272" spans="1:26" s="24" customFormat="1" hidden="1" outlineLevel="1" x14ac:dyDescent="0.25">
      <c r="A272" s="44"/>
      <c r="B272" s="11" t="str">
        <f>CONCATENATE("          ", "4197", " - ", "NON-TAXABLE SALES-RETURNED CHE")</f>
        <v xml:space="preserve">          4197 - NON-TAXABLE SALES-RETURNED CHE</v>
      </c>
      <c r="C272" s="11"/>
      <c r="D272" s="2">
        <f>0</f>
        <v>0</v>
      </c>
      <c r="E272" s="2"/>
      <c r="F272" s="19">
        <f t="shared" si="143"/>
        <v>0</v>
      </c>
      <c r="G272" s="2"/>
      <c r="H272" s="2">
        <f>0</f>
        <v>0</v>
      </c>
      <c r="I272" s="2"/>
      <c r="J272" s="19">
        <f t="shared" si="144"/>
        <v>0</v>
      </c>
      <c r="K272" s="2"/>
      <c r="L272" s="2">
        <f t="shared" si="145"/>
        <v>0</v>
      </c>
      <c r="M272" s="2"/>
      <c r="N272" s="19">
        <f t="shared" si="146"/>
        <v>0</v>
      </c>
      <c r="O272" s="11"/>
      <c r="P272" s="2">
        <f>--30</f>
        <v>30</v>
      </c>
      <c r="Q272" s="2"/>
      <c r="R272" s="19">
        <f t="shared" si="147"/>
        <v>2.6335739813059742E-6</v>
      </c>
      <c r="S272" s="2"/>
      <c r="T272" s="2">
        <f>--335</f>
        <v>335</v>
      </c>
      <c r="U272" s="2"/>
      <c r="V272" s="19">
        <f t="shared" si="148"/>
        <v>2.3576613544300823E-5</v>
      </c>
      <c r="W272" s="2"/>
      <c r="X272" s="2">
        <f t="shared" si="149"/>
        <v>-305</v>
      </c>
      <c r="Y272" s="2"/>
      <c r="Z272" s="19">
        <f t="shared" si="150"/>
        <v>-0.91044776119402981</v>
      </c>
    </row>
    <row r="273" spans="1:26" s="24" customFormat="1" hidden="1" outlineLevel="1" x14ac:dyDescent="0.25">
      <c r="A273" s="44"/>
      <c r="B273" s="11" t="str">
        <f>CONCATENATE("          ", "4198", " - ", "NON-TAXABLE SALES-GRAD RENTALS")</f>
        <v xml:space="preserve">          4198 - NON-TAXABLE SALES-GRAD RENTALS</v>
      </c>
      <c r="C273" s="11"/>
      <c r="D273" s="2">
        <f>-3469.7</f>
        <v>-3469.7</v>
      </c>
      <c r="E273" s="2"/>
      <c r="F273" s="19">
        <f t="shared" si="143"/>
        <v>-1.315982157076696E-2</v>
      </c>
      <c r="G273" s="2"/>
      <c r="H273" s="2">
        <f>--1245</f>
        <v>1245</v>
      </c>
      <c r="I273" s="2"/>
      <c r="J273" s="19">
        <f t="shared" si="144"/>
        <v>1.2483593725222386E-3</v>
      </c>
      <c r="K273" s="2"/>
      <c r="L273" s="2">
        <f t="shared" si="145"/>
        <v>-4714.7</v>
      </c>
      <c r="M273" s="2"/>
      <c r="N273" s="19">
        <f t="shared" si="146"/>
        <v>-3.7869076305220881</v>
      </c>
      <c r="O273" s="11"/>
      <c r="P273" s="2">
        <f>--163.76</f>
        <v>163.76</v>
      </c>
      <c r="Q273" s="2"/>
      <c r="R273" s="19">
        <f t="shared" si="147"/>
        <v>1.4375802505955542E-5</v>
      </c>
      <c r="S273" s="2"/>
      <c r="T273" s="2">
        <f>--385810.85</f>
        <v>385810.85</v>
      </c>
      <c r="U273" s="2"/>
      <c r="V273" s="19">
        <f t="shared" si="148"/>
        <v>2.7152577049696158E-2</v>
      </c>
      <c r="W273" s="2"/>
      <c r="X273" s="2">
        <f t="shared" si="149"/>
        <v>-385647.08999999997</v>
      </c>
      <c r="Y273" s="2"/>
      <c r="Z273" s="19">
        <f t="shared" si="150"/>
        <v>-0.99957554330055776</v>
      </c>
    </row>
    <row r="274" spans="1:26" s="24" customFormat="1" hidden="1" outlineLevel="1" x14ac:dyDescent="0.25">
      <c r="A274" s="44"/>
      <c r="B274" s="11" t="str">
        <f>CONCATENATE("          ", "9150", " - ", "MISC. INCOME")</f>
        <v xml:space="preserve">          9150 - MISC. INCOME</v>
      </c>
      <c r="C274" s="11"/>
      <c r="D274" s="2">
        <f>--48272.63</f>
        <v>48272.63</v>
      </c>
      <c r="E274" s="2"/>
      <c r="F274" s="19">
        <f t="shared" si="143"/>
        <v>0.18308764375930262</v>
      </c>
      <c r="G274" s="2"/>
      <c r="H274" s="2">
        <f>--34310.81</f>
        <v>34310.81</v>
      </c>
      <c r="I274" s="2"/>
      <c r="J274" s="19">
        <f t="shared" si="144"/>
        <v>3.4403390556088147E-2</v>
      </c>
      <c r="K274" s="2"/>
      <c r="L274" s="2">
        <f t="shared" si="145"/>
        <v>13961.82</v>
      </c>
      <c r="M274" s="2"/>
      <c r="N274" s="19">
        <f t="shared" si="146"/>
        <v>0.40692190012418827</v>
      </c>
      <c r="O274" s="11"/>
      <c r="P274" s="2">
        <f>--476038.11</f>
        <v>476038.11</v>
      </c>
      <c r="Q274" s="2"/>
      <c r="R274" s="19">
        <f t="shared" si="147"/>
        <v>4.1789386020202372E-2</v>
      </c>
      <c r="S274" s="2"/>
      <c r="T274" s="2">
        <f>--618792.08</f>
        <v>618792.07999999996</v>
      </c>
      <c r="U274" s="2"/>
      <c r="V274" s="19">
        <f t="shared" si="148"/>
        <v>4.3549318610250978E-2</v>
      </c>
      <c r="W274" s="2"/>
      <c r="X274" s="2">
        <f t="shared" si="149"/>
        <v>-142753.96999999997</v>
      </c>
      <c r="Y274" s="2"/>
      <c r="Z274" s="19">
        <f t="shared" si="150"/>
        <v>-0.23069779755422853</v>
      </c>
    </row>
    <row r="275" spans="1:26" s="24" customFormat="1" hidden="1" outlineLevel="1" x14ac:dyDescent="0.25">
      <c r="A275" s="44"/>
      <c r="B275" s="11" t="str">
        <f>CONCATENATE("          ", "9151", " - ", "MISC. INCOME")</f>
        <v xml:space="preserve">          9151 - MISC. INCOME</v>
      </c>
      <c r="C275" s="11"/>
      <c r="D275" s="2">
        <f>0</f>
        <v>0</v>
      </c>
      <c r="E275" s="2"/>
      <c r="F275" s="19">
        <f t="shared" si="143"/>
        <v>0</v>
      </c>
      <c r="G275" s="2"/>
      <c r="H275" s="2">
        <f>--33793.79</f>
        <v>33793.79</v>
      </c>
      <c r="I275" s="2"/>
      <c r="J275" s="19">
        <f t="shared" si="144"/>
        <v>3.3884975485580962E-2</v>
      </c>
      <c r="K275" s="2"/>
      <c r="L275" s="2">
        <f t="shared" si="145"/>
        <v>-33793.79</v>
      </c>
      <c r="M275" s="2"/>
      <c r="N275" s="19">
        <f t="shared" si="146"/>
        <v>-1</v>
      </c>
      <c r="O275" s="11"/>
      <c r="P275" s="2">
        <f>--169392.7</f>
        <v>169392.7</v>
      </c>
      <c r="Q275" s="2"/>
      <c r="R275" s="19">
        <f t="shared" si="147"/>
        <v>1.4870273578105617E-2</v>
      </c>
      <c r="S275" s="2"/>
      <c r="T275" s="2">
        <f>--498.26</f>
        <v>498.26</v>
      </c>
      <c r="U275" s="2"/>
      <c r="V275" s="19">
        <f t="shared" si="148"/>
        <v>3.5066517804726349E-5</v>
      </c>
      <c r="W275" s="2"/>
      <c r="X275" s="2">
        <f t="shared" si="149"/>
        <v>168894.44</v>
      </c>
      <c r="Y275" s="2"/>
      <c r="Z275" s="19">
        <f t="shared" si="150"/>
        <v>338.96849034640547</v>
      </c>
    </row>
    <row r="276" spans="1:26" s="24" customFormat="1" hidden="1" outlineLevel="1" x14ac:dyDescent="0.25">
      <c r="A276" s="44"/>
      <c r="B276" s="11" t="str">
        <f>CONCATENATE("          ", "9152", " - ", "MISC. INCOME")</f>
        <v xml:space="preserve">          9152 - MISC. INCOME</v>
      </c>
      <c r="C276" s="11"/>
      <c r="D276" s="2">
        <f>--5092.84</f>
        <v>5092.84</v>
      </c>
      <c r="E276" s="2"/>
      <c r="F276" s="19">
        <f t="shared" si="143"/>
        <v>1.9316040490089868E-2</v>
      </c>
      <c r="G276" s="2"/>
      <c r="H276" s="2">
        <f>--542.75</f>
        <v>542.75</v>
      </c>
      <c r="I276" s="2"/>
      <c r="J276" s="19">
        <f t="shared" si="144"/>
        <v>5.4421449753931325E-4</v>
      </c>
      <c r="K276" s="2"/>
      <c r="L276" s="2">
        <f t="shared" si="145"/>
        <v>4550.09</v>
      </c>
      <c r="M276" s="2"/>
      <c r="N276" s="19">
        <f t="shared" si="146"/>
        <v>8.3833993551358823</v>
      </c>
      <c r="O276" s="11"/>
      <c r="P276" s="2">
        <f>--9874.89</f>
        <v>9874.89</v>
      </c>
      <c r="Q276" s="2"/>
      <c r="R276" s="19">
        <f t="shared" si="147"/>
        <v>8.6687511240861824E-4</v>
      </c>
      <c r="S276" s="2"/>
      <c r="T276" s="2">
        <f>--11239.64</f>
        <v>11239.64</v>
      </c>
      <c r="U276" s="2"/>
      <c r="V276" s="19">
        <f t="shared" si="148"/>
        <v>7.9102283181213518E-4</v>
      </c>
      <c r="W276" s="2"/>
      <c r="X276" s="2">
        <f t="shared" si="149"/>
        <v>-1364.75</v>
      </c>
      <c r="Y276" s="2"/>
      <c r="Z276" s="19">
        <f t="shared" si="150"/>
        <v>-0.12142292813648836</v>
      </c>
    </row>
    <row r="277" spans="1:26" s="24" customFormat="1" hidden="1" outlineLevel="1" x14ac:dyDescent="0.25">
      <c r="A277" s="44"/>
      <c r="B277" s="11" t="str">
        <f>CONCATENATE("          ", "9153", " - ", "MISC. INCOME")</f>
        <v xml:space="preserve">          9153 - MISC. INCOME</v>
      </c>
      <c r="C277" s="11"/>
      <c r="D277" s="2">
        <f t="shared" ref="D277:D278" si="151">0</f>
        <v>0</v>
      </c>
      <c r="E277" s="2"/>
      <c r="F277" s="19">
        <f t="shared" si="143"/>
        <v>0</v>
      </c>
      <c r="G277" s="2"/>
      <c r="H277" s="2">
        <f>0</f>
        <v>0</v>
      </c>
      <c r="I277" s="2"/>
      <c r="J277" s="19">
        <f t="shared" si="144"/>
        <v>0</v>
      </c>
      <c r="K277" s="2"/>
      <c r="L277" s="2">
        <f t="shared" si="145"/>
        <v>0</v>
      </c>
      <c r="M277" s="2"/>
      <c r="N277" s="19">
        <f t="shared" si="146"/>
        <v>0</v>
      </c>
      <c r="O277" s="11"/>
      <c r="P277" s="2">
        <f>--450</f>
        <v>450</v>
      </c>
      <c r="Q277" s="2"/>
      <c r="R277" s="19">
        <f t="shared" si="147"/>
        <v>3.9503609719589607E-5</v>
      </c>
      <c r="S277" s="2"/>
      <c r="T277" s="2">
        <f>--180</f>
        <v>180</v>
      </c>
      <c r="U277" s="2"/>
      <c r="V277" s="19">
        <f t="shared" si="148"/>
        <v>1.2668031158131786E-5</v>
      </c>
      <c r="W277" s="2"/>
      <c r="X277" s="2">
        <f t="shared" si="149"/>
        <v>270</v>
      </c>
      <c r="Y277" s="2"/>
      <c r="Z277" s="19">
        <f t="shared" si="150"/>
        <v>1.5</v>
      </c>
    </row>
    <row r="278" spans="1:26" s="24" customFormat="1" hidden="1" outlineLevel="1" x14ac:dyDescent="0.25">
      <c r="A278" s="44"/>
      <c r="B278" s="11" t="str">
        <f>CONCATENATE("          ", "9160", " - ", "MISC. INCOME")</f>
        <v xml:space="preserve">          9160 - MISC. INCOME</v>
      </c>
      <c r="C278" s="11"/>
      <c r="D278" s="2">
        <f t="shared" si="151"/>
        <v>0</v>
      </c>
      <c r="E278" s="2"/>
      <c r="F278" s="19">
        <f t="shared" si="143"/>
        <v>0</v>
      </c>
      <c r="G278" s="2"/>
      <c r="H278" s="2">
        <f>-870</f>
        <v>-870</v>
      </c>
      <c r="I278" s="2"/>
      <c r="J278" s="19">
        <f t="shared" si="144"/>
        <v>-8.723475133287932E-4</v>
      </c>
      <c r="K278" s="2"/>
      <c r="L278" s="2">
        <f t="shared" si="145"/>
        <v>870</v>
      </c>
      <c r="M278" s="2"/>
      <c r="N278" s="19">
        <f t="shared" si="146"/>
        <v>-1</v>
      </c>
      <c r="O278" s="11"/>
      <c r="P278" s="2">
        <f>--22475</f>
        <v>22475</v>
      </c>
      <c r="Q278" s="2"/>
      <c r="R278" s="19">
        <f t="shared" si="147"/>
        <v>1.9729858409950588E-3</v>
      </c>
      <c r="S278" s="2"/>
      <c r="T278" s="2">
        <f>--40000</f>
        <v>40000</v>
      </c>
      <c r="U278" s="2"/>
      <c r="V278" s="19">
        <f t="shared" si="148"/>
        <v>2.8151180351403968E-3</v>
      </c>
      <c r="W278" s="2"/>
      <c r="X278" s="2">
        <f t="shared" si="149"/>
        <v>-17525</v>
      </c>
      <c r="Y278" s="2"/>
      <c r="Z278" s="19">
        <f t="shared" si="150"/>
        <v>-0.43812499999999999</v>
      </c>
    </row>
    <row r="279" spans="1:26" s="24" customFormat="1" hidden="1" outlineLevel="1" x14ac:dyDescent="0.25">
      <c r="A279" s="44"/>
      <c r="B279" s="11" t="str">
        <f>CONCATENATE("          ", "9163", " - ", "MISC. INCOME")</f>
        <v xml:space="preserve">          9163 - MISC. INCOME</v>
      </c>
      <c r="C279" s="11"/>
      <c r="D279" s="2">
        <f>--58333.34</f>
        <v>58333.34</v>
      </c>
      <c r="E279" s="2"/>
      <c r="F279" s="19">
        <f t="shared" si="143"/>
        <v>0.22124574056168633</v>
      </c>
      <c r="G279" s="2"/>
      <c r="H279" s="2">
        <f>0</f>
        <v>0</v>
      </c>
      <c r="I279" s="2"/>
      <c r="J279" s="19">
        <f t="shared" si="144"/>
        <v>0</v>
      </c>
      <c r="K279" s="2"/>
      <c r="L279" s="2">
        <f t="shared" si="145"/>
        <v>58333.34</v>
      </c>
      <c r="M279" s="2"/>
      <c r="N279" s="19">
        <f t="shared" si="146"/>
        <v>0</v>
      </c>
      <c r="O279" s="11"/>
      <c r="P279" s="2">
        <f>--488733.84</f>
        <v>488733.84</v>
      </c>
      <c r="Q279" s="2"/>
      <c r="R279" s="19">
        <f t="shared" si="147"/>
        <v>4.290389082692523E-2</v>
      </c>
      <c r="S279" s="2"/>
      <c r="T279" s="2">
        <f>--68330.75</f>
        <v>68330.75</v>
      </c>
      <c r="U279" s="2"/>
      <c r="V279" s="19">
        <f t="shared" si="148"/>
        <v>4.8089781669917418E-3</v>
      </c>
      <c r="W279" s="2"/>
      <c r="X279" s="2">
        <f t="shared" si="149"/>
        <v>420403.09</v>
      </c>
      <c r="Y279" s="2"/>
      <c r="Z279" s="19">
        <f t="shared" si="150"/>
        <v>6.152472934952419</v>
      </c>
    </row>
    <row r="280" spans="1:26" x14ac:dyDescent="0.25">
      <c r="A280" s="9"/>
      <c r="B280" s="10"/>
      <c r="C280" s="10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0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x14ac:dyDescent="0.25">
      <c r="A281" s="10"/>
      <c r="B281" s="29" t="s">
        <v>3</v>
      </c>
      <c r="C281" s="29"/>
      <c r="D281" s="21">
        <f>+D175-D177+D270</f>
        <v>-63025.120000000185</v>
      </c>
      <c r="E281" s="14"/>
      <c r="F281" s="20">
        <f>IF(D$12=0,0,D281/D$12)</f>
        <v>-0.23904064722488358</v>
      </c>
      <c r="G281" s="14"/>
      <c r="H281" s="21">
        <f>+H175-H177+H270</f>
        <v>145098.83999999985</v>
      </c>
      <c r="I281" s="14"/>
      <c r="J281" s="20">
        <f>IF(H$12=0,0,H281/H$12)</f>
        <v>0.14549035892056586</v>
      </c>
      <c r="K281" s="16"/>
      <c r="L281" s="21">
        <f>+D281-H281</f>
        <v>-208123.96000000002</v>
      </c>
      <c r="M281" s="16"/>
      <c r="N281" s="20">
        <f>IF(H281=0,0,L281/H281)</f>
        <v>-1.4343599163163554</v>
      </c>
      <c r="O281" s="28"/>
      <c r="P281" s="21">
        <f>+P175-P177+P270</f>
        <v>1154378.2800000054</v>
      </c>
      <c r="Q281" s="14"/>
      <c r="R281" s="20">
        <f>IF(P$12=0,0,P281/P$12)</f>
        <v>0.10133802009309188</v>
      </c>
      <c r="S281" s="14"/>
      <c r="T281" s="21">
        <f>+T175-T177+T270</f>
        <v>2077655.3900000076</v>
      </c>
      <c r="U281" s="14"/>
      <c r="V281" s="20">
        <f>IF(T$12=0,0,T281/T$12)</f>
        <v>0.1462211289798919</v>
      </c>
      <c r="W281" s="16"/>
      <c r="X281" s="21">
        <f>+P281-T281</f>
        <v>-923277.1100000022</v>
      </c>
      <c r="Y281" s="16"/>
      <c r="Z281" s="20">
        <f>IF(T281=0,0,X281/T281)</f>
        <v>-0.44438414303153462</v>
      </c>
    </row>
    <row r="282" spans="1:26" x14ac:dyDescent="0.25">
      <c r="A282" s="9"/>
      <c r="B282" s="10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x14ac:dyDescent="0.25">
      <c r="A283" s="51"/>
      <c r="B283" s="10" t="s">
        <v>13</v>
      </c>
      <c r="C283" s="10"/>
      <c r="D283" s="4">
        <v>85444.11</v>
      </c>
      <c r="E283" s="4"/>
      <c r="F283" s="12">
        <f>IF(D$12=0,0,D283/D$12)</f>
        <v>0.32407102685332589</v>
      </c>
      <c r="G283" s="4"/>
      <c r="H283" s="4">
        <v>104474.84000000001</v>
      </c>
      <c r="I283" s="4"/>
      <c r="J283" s="12">
        <f>IF(H$12=0,0,H283/H$12)</f>
        <v>0.10475674353956729</v>
      </c>
      <c r="K283" s="4"/>
      <c r="L283" s="4">
        <f>+D283-H283</f>
        <v>-19030.73000000001</v>
      </c>
      <c r="M283" s="4"/>
      <c r="N283" s="12">
        <f>IF(H283=0,0,L283/H283)</f>
        <v>-0.18215610571885066</v>
      </c>
      <c r="O283" s="10"/>
      <c r="P283" s="4">
        <v>1348915.42</v>
      </c>
      <c r="Q283" s="4"/>
      <c r="R283" s="12">
        <f>IF(P$12=0,0,P283/P$12)</f>
        <v>0.11841561843648066</v>
      </c>
      <c r="S283" s="4"/>
      <c r="T283" s="4">
        <v>1477942.65</v>
      </c>
      <c r="U283" s="4"/>
      <c r="V283" s="12">
        <f>IF(T$12=0,0,T283/T$12)</f>
        <v>0.10401457522295476</v>
      </c>
      <c r="W283" s="4"/>
      <c r="X283" s="4">
        <f>+P283-T283</f>
        <v>-129027.22999999998</v>
      </c>
      <c r="Y283" s="4"/>
      <c r="Z283" s="12">
        <f>IF(T283=0,0,X283/T283)</f>
        <v>-8.7301919326842614E-2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9" t="s">
        <v>4</v>
      </c>
      <c r="C285" s="29"/>
      <c r="D285" s="35">
        <f>+D281-D283</f>
        <v>-148469.23000000019</v>
      </c>
      <c r="E285" s="14"/>
      <c r="F285" s="32">
        <f>IF(D$12=0,0,D285/D$12)</f>
        <v>-0.5631116740782095</v>
      </c>
      <c r="G285" s="14"/>
      <c r="H285" s="35">
        <f>+H281-H283</f>
        <v>40623.99999999984</v>
      </c>
      <c r="I285" s="14"/>
      <c r="J285" s="32">
        <f>IF(H$12=0,0,H285/H$12)</f>
        <v>4.0733615380998567E-2</v>
      </c>
      <c r="K285" s="16"/>
      <c r="L285" s="35">
        <f>D285-H285</f>
        <v>-189093.23000000004</v>
      </c>
      <c r="M285" s="16"/>
      <c r="N285" s="32">
        <f>IF(H285=0,0,L285/H285)</f>
        <v>-4.6547171622686294</v>
      </c>
      <c r="O285" s="28"/>
      <c r="P285" s="35">
        <f>+P281-P283</f>
        <v>-194537.13999999454</v>
      </c>
      <c r="Q285" s="14"/>
      <c r="R285" s="32">
        <f>IF(P$12=0,0,P285/P$12)</f>
        <v>-1.7077598343388775E-2</v>
      </c>
      <c r="S285" s="14"/>
      <c r="T285" s="35">
        <f>+T281-T283</f>
        <v>599712.74000000767</v>
      </c>
      <c r="U285" s="14"/>
      <c r="V285" s="32">
        <f>IF(T$12=0,0,T285/T$12)</f>
        <v>4.2206553756937132E-2</v>
      </c>
      <c r="W285" s="16"/>
      <c r="X285" s="35">
        <f>P285-T285</f>
        <v>-794249.88000000222</v>
      </c>
      <c r="Y285" s="16"/>
      <c r="Z285" s="32">
        <f>IF(T285=0,0,X285/T285)</f>
        <v>-1.3243838708512212</v>
      </c>
    </row>
    <row r="286" spans="1:26" ht="15.75" thickTop="1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x14ac:dyDescent="0.25">
      <c r="A287" s="9"/>
      <c r="B287" s="9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ht="15.75" thickBot="1" x14ac:dyDescent="0.3">
      <c r="A288" s="10"/>
      <c r="B288" s="29" t="s">
        <v>5</v>
      </c>
      <c r="C288" s="29"/>
      <c r="D288" s="36">
        <f>SUM(D285:D287)</f>
        <v>-148469.23000000019</v>
      </c>
      <c r="E288" s="14"/>
      <c r="F288" s="33">
        <f>IF(D$12=0,0,D288/D$12)</f>
        <v>-0.5631116740782095</v>
      </c>
      <c r="G288" s="14"/>
      <c r="H288" s="36">
        <f>SUM(H285:H287)</f>
        <v>40623.99999999984</v>
      </c>
      <c r="I288" s="14"/>
      <c r="J288" s="33">
        <f>IF(H$12=0,0,H288/H$12)</f>
        <v>4.0733615380998567E-2</v>
      </c>
      <c r="K288" s="16"/>
      <c r="L288" s="36">
        <f>+D288-H288</f>
        <v>-189093.23000000004</v>
      </c>
      <c r="M288" s="16"/>
      <c r="N288" s="33">
        <f>IF(H288=0,0,L288/H288)</f>
        <v>-4.6547171622686294</v>
      </c>
      <c r="O288" s="28"/>
      <c r="P288" s="36">
        <f>SUM(P285:P287)</f>
        <v>-194537.13999999454</v>
      </c>
      <c r="Q288" s="14"/>
      <c r="R288" s="33">
        <f>IF(P$12=0,0,P288/P$12)</f>
        <v>-1.7077598343388775E-2</v>
      </c>
      <c r="S288" s="14"/>
      <c r="T288" s="36">
        <f>SUM(T285:T287)</f>
        <v>599712.74000000767</v>
      </c>
      <c r="U288" s="14"/>
      <c r="V288" s="33">
        <f>IF(T$12=0,0,T288/T$12)</f>
        <v>4.2206553756937132E-2</v>
      </c>
      <c r="W288" s="16"/>
      <c r="X288" s="36">
        <f>+P288-T288</f>
        <v>-794249.88000000222</v>
      </c>
      <c r="Y288" s="16"/>
      <c r="Z288" s="33">
        <f>IF(T288=0,0,X288/T288)</f>
        <v>-1.3243838708512212</v>
      </c>
    </row>
    <row r="289" spans="1:24" ht="15.75" thickTop="1" x14ac:dyDescent="0.25">
      <c r="A289" s="9"/>
      <c r="C289" s="9"/>
      <c r="D289" s="17"/>
      <c r="E289" s="17"/>
      <c r="G289" s="17"/>
      <c r="H289" s="17"/>
      <c r="I289" s="17"/>
      <c r="J289" s="42"/>
      <c r="K289" s="17"/>
      <c r="L289" s="17"/>
      <c r="M289" s="17"/>
      <c r="P289" s="17"/>
      <c r="Q289" s="17"/>
      <c r="R289" s="42"/>
      <c r="S289" s="17"/>
      <c r="T289" s="17"/>
      <c r="U289" s="17"/>
      <c r="V289" s="42"/>
      <c r="W289" s="17"/>
      <c r="X289" s="17"/>
    </row>
    <row r="290" spans="1:24" x14ac:dyDescent="0.25">
      <c r="A290" s="9"/>
      <c r="B290" s="55">
        <v>43992.374740474537</v>
      </c>
      <c r="D290" s="17"/>
      <c r="E290" s="17"/>
      <c r="G290" s="17"/>
      <c r="H290" s="17"/>
      <c r="I290" s="17"/>
      <c r="J290" s="42"/>
      <c r="K290" s="17"/>
      <c r="L290" s="17"/>
      <c r="M290" s="17"/>
      <c r="P290" s="17"/>
      <c r="Q290" s="17"/>
      <c r="R290" s="42"/>
      <c r="S290" s="17"/>
      <c r="T290" s="17"/>
      <c r="U290" s="17"/>
      <c r="V290" s="42"/>
      <c r="W290" s="17"/>
      <c r="X290" s="17"/>
    </row>
    <row r="291" spans="1:24" x14ac:dyDescent="0.25">
      <c r="A291" s="9"/>
      <c r="B291" s="62" t="s">
        <v>313</v>
      </c>
      <c r="D291" s="17"/>
      <c r="E291" s="17"/>
      <c r="G291" s="17"/>
      <c r="H291" s="17"/>
      <c r="I291" s="17"/>
      <c r="J291" s="42"/>
      <c r="K291" s="17"/>
      <c r="L291" s="17"/>
      <c r="M291" s="17"/>
      <c r="P291" s="17"/>
      <c r="Q291" s="17"/>
      <c r="R291" s="42"/>
      <c r="S291" s="17"/>
      <c r="T291" s="17"/>
      <c r="U291" s="17"/>
      <c r="V291" s="42"/>
      <c r="W291" s="17"/>
      <c r="X291" s="17"/>
    </row>
    <row r="292" spans="1:24" x14ac:dyDescent="0.25">
      <c r="A292" s="9"/>
      <c r="B292" s="53"/>
      <c r="D292" s="17"/>
      <c r="E292" s="17"/>
      <c r="G292" s="17"/>
      <c r="H292" s="17"/>
      <c r="I292" s="17"/>
      <c r="J292" s="42"/>
      <c r="K292" s="17"/>
      <c r="L292" s="17"/>
      <c r="M292" s="17"/>
      <c r="P292" s="17"/>
      <c r="Q292" s="17"/>
      <c r="R292" s="42"/>
      <c r="S292" s="17"/>
      <c r="T292" s="17"/>
      <c r="U292" s="17"/>
      <c r="V292" s="42"/>
      <c r="W292" s="17"/>
      <c r="X292" s="17"/>
    </row>
    <row r="293" spans="1:24" x14ac:dyDescent="0.25">
      <c r="D293" s="17"/>
      <c r="E293" s="17"/>
      <c r="G293" s="17"/>
      <c r="H293" s="17"/>
      <c r="I293" s="17"/>
      <c r="J293" s="42"/>
      <c r="K293" s="17"/>
      <c r="L293" s="17"/>
      <c r="M293" s="17"/>
      <c r="P293" s="17"/>
      <c r="Q293" s="17"/>
      <c r="R293" s="42"/>
      <c r="S293" s="17"/>
      <c r="T293" s="17"/>
      <c r="U293" s="17"/>
      <c r="V293" s="42"/>
      <c r="W293" s="17"/>
      <c r="X293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263630.22999999986</v>
      </c>
      <c r="E12" s="4"/>
      <c r="F12" s="12"/>
      <c r="G12" s="4"/>
      <c r="H12" s="4">
        <f>SUM(OSRRefH13x_0)</f>
        <v>787272.20999999973</v>
      </c>
      <c r="I12" s="4"/>
      <c r="J12" s="12"/>
      <c r="K12" s="4"/>
      <c r="L12" s="4">
        <f t="shared" ref="L12:L115" si="0">+D12-H12</f>
        <v>-523641.97999999986</v>
      </c>
      <c r="M12" s="4"/>
      <c r="N12" s="12">
        <f t="shared" ref="N12:N115" si="1">IF(H12=0,0,L12/H12)</f>
        <v>-0.66513459175702394</v>
      </c>
      <c r="O12" s="10"/>
      <c r="P12" s="4">
        <f>SUM(OSRRefP13x_0)</f>
        <v>9026754.8100000061</v>
      </c>
      <c r="Q12" s="4"/>
      <c r="R12" s="12"/>
      <c r="S12" s="4"/>
      <c r="T12" s="4">
        <f>SUM(OSRRefT13x_0)</f>
        <v>11226563.730000006</v>
      </c>
      <c r="U12" s="4"/>
      <c r="V12" s="12"/>
      <c r="W12" s="4"/>
      <c r="X12" s="4">
        <f t="shared" ref="X12:X115" si="2">+P12-T12</f>
        <v>-2199808.92</v>
      </c>
      <c r="Y12" s="4"/>
      <c r="Z12" s="12">
        <f t="shared" ref="Z12:Z115" si="3">IF(T12=0,0,X12/T12)</f>
        <v>-0.19594677168416152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>
        <f>--41883.59</f>
        <v>41883.589999999997</v>
      </c>
      <c r="I14" s="2"/>
      <c r="J14" s="19"/>
      <c r="K14" s="2"/>
      <c r="L14" s="2">
        <f t="shared" si="0"/>
        <v>-4601.679999999993</v>
      </c>
      <c r="M14" s="2"/>
      <c r="N14" s="19">
        <f t="shared" si="1"/>
        <v>-0.1098683279059888</v>
      </c>
      <c r="O14" s="11"/>
      <c r="P14" s="2">
        <f>--2435259.64</f>
        <v>2435259.64</v>
      </c>
      <c r="Q14" s="2"/>
      <c r="R14" s="19"/>
      <c r="S14" s="2"/>
      <c r="T14" s="2">
        <f>--3103237.76</f>
        <v>3103237.76</v>
      </c>
      <c r="U14" s="2"/>
      <c r="V14" s="19"/>
      <c r="W14" s="2"/>
      <c r="X14" s="2">
        <f t="shared" si="2"/>
        <v>-667978.11999999965</v>
      </c>
      <c r="Y14" s="2"/>
      <c r="Z14" s="19">
        <f t="shared" si="3"/>
        <v>-0.21525199538690831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>
        <f>--30305.16</f>
        <v>30305.16</v>
      </c>
      <c r="I15" s="2"/>
      <c r="J15" s="19"/>
      <c r="K15" s="2"/>
      <c r="L15" s="2">
        <f t="shared" si="0"/>
        <v>-18795.61</v>
      </c>
      <c r="M15" s="2"/>
      <c r="N15" s="19">
        <f t="shared" si="1"/>
        <v>-0.62021154153286107</v>
      </c>
      <c r="O15" s="11"/>
      <c r="P15" s="2">
        <f>--1256426.74</f>
        <v>1256426.74</v>
      </c>
      <c r="Q15" s="2"/>
      <c r="R15" s="19"/>
      <c r="S15" s="2"/>
      <c r="T15" s="2">
        <f>--1393961.55</f>
        <v>1393961.55</v>
      </c>
      <c r="U15" s="2"/>
      <c r="V15" s="19"/>
      <c r="W15" s="2"/>
      <c r="X15" s="2">
        <f t="shared" si="2"/>
        <v>-137534.81000000006</v>
      </c>
      <c r="Y15" s="2"/>
      <c r="Z15" s="19">
        <f t="shared" si="3"/>
        <v>-9.8664708506486454E-2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>
        <f>--107</f>
        <v>107</v>
      </c>
      <c r="I16" s="2"/>
      <c r="J16" s="19"/>
      <c r="K16" s="2"/>
      <c r="L16" s="2">
        <f t="shared" si="0"/>
        <v>-37.010000000000005</v>
      </c>
      <c r="M16" s="2"/>
      <c r="N16" s="19">
        <f t="shared" si="1"/>
        <v>-0.34588785046728976</v>
      </c>
      <c r="O16" s="11"/>
      <c r="P16" s="2">
        <f>--33764.88</f>
        <v>33764.879999999997</v>
      </c>
      <c r="Q16" s="2"/>
      <c r="R16" s="19"/>
      <c r="S16" s="2"/>
      <c r="T16" s="2">
        <f>--15254.65</f>
        <v>15254.65</v>
      </c>
      <c r="U16" s="2"/>
      <c r="V16" s="19"/>
      <c r="W16" s="2"/>
      <c r="X16" s="2">
        <f t="shared" si="2"/>
        <v>18510.229999999996</v>
      </c>
      <c r="Y16" s="2"/>
      <c r="Z16" s="19">
        <f t="shared" si="3"/>
        <v>1.2134155814784342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>
        <f>--227.95</f>
        <v>227.95</v>
      </c>
      <c r="I17" s="2"/>
      <c r="J17" s="19"/>
      <c r="K17" s="2"/>
      <c r="L17" s="2">
        <f t="shared" si="0"/>
        <v>-227.95</v>
      </c>
      <c r="M17" s="2"/>
      <c r="N17" s="19">
        <f t="shared" si="1"/>
        <v>-1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--483.81</f>
        <v>483.81</v>
      </c>
      <c r="I19" s="2"/>
      <c r="J19" s="19"/>
      <c r="K19" s="2"/>
      <c r="L19" s="2">
        <f t="shared" si="0"/>
        <v>-483.81</v>
      </c>
      <c r="M19" s="2"/>
      <c r="N19" s="19">
        <f t="shared" si="1"/>
        <v>-1</v>
      </c>
      <c r="O19" s="11"/>
      <c r="P19" s="2">
        <f>--2713.36</f>
        <v>2713.36</v>
      </c>
      <c r="Q19" s="2"/>
      <c r="R19" s="19"/>
      <c r="S19" s="2"/>
      <c r="T19" s="2">
        <f>--6824.23</f>
        <v>6824.23</v>
      </c>
      <c r="U19" s="2"/>
      <c r="V19" s="19"/>
      <c r="W19" s="2"/>
      <c r="X19" s="2">
        <f t="shared" si="2"/>
        <v>-4110.869999999999</v>
      </c>
      <c r="Y19" s="2"/>
      <c r="Z19" s="19">
        <f t="shared" si="3"/>
        <v>-0.602393237039197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>
        <f>--95.48</f>
        <v>95.48</v>
      </c>
      <c r="I20" s="2"/>
      <c r="J20" s="19"/>
      <c r="K20" s="2"/>
      <c r="L20" s="2">
        <f t="shared" si="0"/>
        <v>-94.68</v>
      </c>
      <c r="M20" s="2"/>
      <c r="N20" s="19">
        <f t="shared" si="1"/>
        <v>-0.99162128194386256</v>
      </c>
      <c r="O20" s="11"/>
      <c r="P20" s="2">
        <f>--1219.98</f>
        <v>1219.98</v>
      </c>
      <c r="Q20" s="2"/>
      <c r="R20" s="19"/>
      <c r="S20" s="2"/>
      <c r="T20" s="2">
        <f>--2127.75</f>
        <v>2127.75</v>
      </c>
      <c r="U20" s="2"/>
      <c r="V20" s="19"/>
      <c r="W20" s="2"/>
      <c r="X20" s="2">
        <f t="shared" si="2"/>
        <v>-907.77</v>
      </c>
      <c r="Y20" s="2"/>
      <c r="Z20" s="19">
        <f t="shared" si="3"/>
        <v>-0.42663376806485726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--44.93</f>
        <v>44.93</v>
      </c>
      <c r="I21" s="2"/>
      <c r="J21" s="19"/>
      <c r="K21" s="2"/>
      <c r="L21" s="2">
        <f t="shared" si="0"/>
        <v>-44.93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--762.54</f>
        <v>762.54</v>
      </c>
      <c r="U21" s="2"/>
      <c r="V21" s="19"/>
      <c r="W21" s="2"/>
      <c r="X21" s="2">
        <f t="shared" si="2"/>
        <v>-415.02</v>
      </c>
      <c r="Y21" s="2"/>
      <c r="Z21" s="19">
        <f t="shared" si="3"/>
        <v>-0.54425997324730502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>
        <f>--308.38</f>
        <v>308.38</v>
      </c>
      <c r="I22" s="2"/>
      <c r="J22" s="19"/>
      <c r="K22" s="2"/>
      <c r="L22" s="2">
        <f t="shared" si="0"/>
        <v>-283.39</v>
      </c>
      <c r="M22" s="2"/>
      <c r="N22" s="19">
        <f t="shared" si="1"/>
        <v>-0.91896361631753032</v>
      </c>
      <c r="O22" s="11"/>
      <c r="P22" s="2">
        <f>--4179.3</f>
        <v>4179.3</v>
      </c>
      <c r="Q22" s="2"/>
      <c r="R22" s="19"/>
      <c r="S22" s="2"/>
      <c r="T22" s="2">
        <f>--6383.46</f>
        <v>6383.46</v>
      </c>
      <c r="U22" s="2"/>
      <c r="V22" s="19"/>
      <c r="W22" s="2"/>
      <c r="X22" s="2">
        <f t="shared" si="2"/>
        <v>-2204.16</v>
      </c>
      <c r="Y22" s="2"/>
      <c r="Z22" s="19">
        <f t="shared" si="3"/>
        <v>-0.34529236495568233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>
        <f>--3554.35</f>
        <v>3554.35</v>
      </c>
      <c r="I24" s="2"/>
      <c r="J24" s="19"/>
      <c r="K24" s="2"/>
      <c r="L24" s="2">
        <f t="shared" si="0"/>
        <v>-3537.1</v>
      </c>
      <c r="M24" s="2"/>
      <c r="N24" s="19">
        <f t="shared" si="1"/>
        <v>-0.99514679195914868</v>
      </c>
      <c r="O24" s="11"/>
      <c r="P24" s="2">
        <f>--54720.11</f>
        <v>54720.11</v>
      </c>
      <c r="Q24" s="2"/>
      <c r="R24" s="19"/>
      <c r="S24" s="2"/>
      <c r="T24" s="2">
        <f>--60173.02</f>
        <v>60173.02</v>
      </c>
      <c r="U24" s="2"/>
      <c r="V24" s="19"/>
      <c r="W24" s="2"/>
      <c r="X24" s="2">
        <f t="shared" si="2"/>
        <v>-5452.9099999999962</v>
      </c>
      <c r="Y24" s="2"/>
      <c r="Z24" s="19">
        <f t="shared" si="3"/>
        <v>-9.0620513977859127E-2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>
        <f>--6532.22</f>
        <v>6532.22</v>
      </c>
      <c r="I25" s="2"/>
      <c r="J25" s="19"/>
      <c r="K25" s="2"/>
      <c r="L25" s="2">
        <f t="shared" si="0"/>
        <v>-5672.4400000000005</v>
      </c>
      <c r="M25" s="2"/>
      <c r="N25" s="19">
        <f t="shared" si="1"/>
        <v>-0.86837859104561699</v>
      </c>
      <c r="O25" s="11"/>
      <c r="P25" s="2">
        <f>--80809.49</f>
        <v>80809.490000000005</v>
      </c>
      <c r="Q25" s="2"/>
      <c r="R25" s="19"/>
      <c r="S25" s="2"/>
      <c r="T25" s="2">
        <f>--81471</f>
        <v>81471</v>
      </c>
      <c r="U25" s="2"/>
      <c r="V25" s="19"/>
      <c r="W25" s="2"/>
      <c r="X25" s="2">
        <f t="shared" si="2"/>
        <v>-661.50999999999476</v>
      </c>
      <c r="Y25" s="2"/>
      <c r="Z25" s="19">
        <f t="shared" si="3"/>
        <v>-8.1195762909500903E-3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>
        <f>--14816.86</f>
        <v>14816.86</v>
      </c>
      <c r="I26" s="2"/>
      <c r="J26" s="19"/>
      <c r="K26" s="2"/>
      <c r="L26" s="2">
        <f t="shared" si="0"/>
        <v>-9286.35</v>
      </c>
      <c r="M26" s="2"/>
      <c r="N26" s="19">
        <f t="shared" si="1"/>
        <v>-0.62674210325264601</v>
      </c>
      <c r="O26" s="11"/>
      <c r="P26" s="2">
        <f>--276777.07</f>
        <v>276777.07</v>
      </c>
      <c r="Q26" s="2"/>
      <c r="R26" s="19"/>
      <c r="S26" s="2"/>
      <c r="T26" s="2">
        <f>--291520.85</f>
        <v>291520.84999999998</v>
      </c>
      <c r="U26" s="2"/>
      <c r="V26" s="19"/>
      <c r="W26" s="2"/>
      <c r="X26" s="2">
        <f t="shared" si="2"/>
        <v>-14743.77999999997</v>
      </c>
      <c r="Y26" s="2"/>
      <c r="Z26" s="19">
        <f t="shared" si="3"/>
        <v>-5.0575387660951078E-2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>
        <f>--11322.32</f>
        <v>11322.32</v>
      </c>
      <c r="I27" s="2"/>
      <c r="J27" s="19"/>
      <c r="K27" s="2"/>
      <c r="L27" s="2">
        <f t="shared" si="0"/>
        <v>-10897.14</v>
      </c>
      <c r="M27" s="2"/>
      <c r="N27" s="19">
        <f t="shared" si="1"/>
        <v>-0.96244762557497043</v>
      </c>
      <c r="O27" s="11"/>
      <c r="P27" s="2">
        <f>--293191.05</f>
        <v>293191.05</v>
      </c>
      <c r="Q27" s="2"/>
      <c r="R27" s="19"/>
      <c r="S27" s="2"/>
      <c r="T27" s="2">
        <f>--345370.44</f>
        <v>345370.44</v>
      </c>
      <c r="U27" s="2"/>
      <c r="V27" s="19"/>
      <c r="W27" s="2"/>
      <c r="X27" s="2">
        <f t="shared" si="2"/>
        <v>-52179.390000000014</v>
      </c>
      <c r="Y27" s="2"/>
      <c r="Z27" s="19">
        <f t="shared" si="3"/>
        <v>-0.15108238562628584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>
        <f>--35.13</f>
        <v>35.130000000000003</v>
      </c>
      <c r="I28" s="2"/>
      <c r="J28" s="19"/>
      <c r="K28" s="2"/>
      <c r="L28" s="2">
        <f t="shared" si="0"/>
        <v>-35.130000000000003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--693.83</f>
        <v>693.83</v>
      </c>
      <c r="U28" s="2"/>
      <c r="V28" s="19"/>
      <c r="W28" s="2"/>
      <c r="X28" s="2">
        <f t="shared" si="2"/>
        <v>-207.49000000000007</v>
      </c>
      <c r="Y28" s="2"/>
      <c r="Z28" s="19">
        <f t="shared" si="3"/>
        <v>-0.29905019961662088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>
        <f>--29.05</f>
        <v>29.05</v>
      </c>
      <c r="I29" s="2"/>
      <c r="J29" s="19"/>
      <c r="K29" s="2"/>
      <c r="L29" s="2">
        <f t="shared" si="0"/>
        <v>-29.05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--498.5</f>
        <v>498.5</v>
      </c>
      <c r="U29" s="2"/>
      <c r="V29" s="19"/>
      <c r="W29" s="2"/>
      <c r="X29" s="2">
        <f t="shared" si="2"/>
        <v>1406.56</v>
      </c>
      <c r="Y29" s="2"/>
      <c r="Z29" s="19">
        <f t="shared" si="3"/>
        <v>2.8215847542627883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>
        <f>--19.79</f>
        <v>19.79</v>
      </c>
      <c r="I30" s="2"/>
      <c r="J30" s="19"/>
      <c r="K30" s="2"/>
      <c r="L30" s="2">
        <f t="shared" si="0"/>
        <v>-19.79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--263.85</f>
        <v>263.85000000000002</v>
      </c>
      <c r="U30" s="2"/>
      <c r="V30" s="19"/>
      <c r="W30" s="2"/>
      <c r="X30" s="2">
        <f t="shared" si="2"/>
        <v>-58.320000000000022</v>
      </c>
      <c r="Y30" s="2"/>
      <c r="Z30" s="19">
        <f t="shared" si="3"/>
        <v>-0.22103467879476982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>
        <f>--602.13</f>
        <v>602.13</v>
      </c>
      <c r="I31" s="2"/>
      <c r="J31" s="19"/>
      <c r="K31" s="2"/>
      <c r="L31" s="2">
        <f t="shared" si="0"/>
        <v>-602.13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--8877.31</f>
        <v>8877.31</v>
      </c>
      <c r="U31" s="2"/>
      <c r="V31" s="19"/>
      <c r="W31" s="2"/>
      <c r="X31" s="2">
        <f t="shared" si="2"/>
        <v>-1073.7999999999993</v>
      </c>
      <c r="Y31" s="2"/>
      <c r="Z31" s="19">
        <f t="shared" si="3"/>
        <v>-0.12096006560545923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>
        <f>--103.35</f>
        <v>103.35</v>
      </c>
      <c r="I32" s="2"/>
      <c r="J32" s="19"/>
      <c r="K32" s="2"/>
      <c r="L32" s="2">
        <f t="shared" si="0"/>
        <v>-103.35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--2670.09</f>
        <v>2670.09</v>
      </c>
      <c r="U32" s="2"/>
      <c r="V32" s="19"/>
      <c r="W32" s="2"/>
      <c r="X32" s="2">
        <f t="shared" si="2"/>
        <v>-688.25000000000023</v>
      </c>
      <c r="Y32" s="2"/>
      <c r="Z32" s="19">
        <f t="shared" si="3"/>
        <v>-0.2577628469452341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>
        <f>--64.16</f>
        <v>64.16</v>
      </c>
      <c r="I33" s="2"/>
      <c r="J33" s="19"/>
      <c r="K33" s="2"/>
      <c r="L33" s="2">
        <f t="shared" si="0"/>
        <v>-64.16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--870.15</f>
        <v>870.15</v>
      </c>
      <c r="U33" s="2"/>
      <c r="V33" s="19"/>
      <c r="W33" s="2"/>
      <c r="X33" s="2">
        <f t="shared" si="2"/>
        <v>-356.64</v>
      </c>
      <c r="Y33" s="2"/>
      <c r="Z33" s="19">
        <f t="shared" si="3"/>
        <v>-0.40986036890191346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>
        <f>--251041.75</f>
        <v>251041.75</v>
      </c>
      <c r="I34" s="2"/>
      <c r="J34" s="19"/>
      <c r="K34" s="2"/>
      <c r="L34" s="2">
        <f t="shared" si="0"/>
        <v>-200235.03</v>
      </c>
      <c r="M34" s="2"/>
      <c r="N34" s="19">
        <f t="shared" si="1"/>
        <v>-0.79761645224350131</v>
      </c>
      <c r="O34" s="11"/>
      <c r="P34" s="2">
        <f>--1894910.12</f>
        <v>1894910.12</v>
      </c>
      <c r="Q34" s="2"/>
      <c r="R34" s="19"/>
      <c r="S34" s="2"/>
      <c r="T34" s="2">
        <f>--2379452.63</f>
        <v>2379452.63</v>
      </c>
      <c r="U34" s="2"/>
      <c r="V34" s="19"/>
      <c r="W34" s="2"/>
      <c r="X34" s="2">
        <f t="shared" si="2"/>
        <v>-484542.50999999978</v>
      </c>
      <c r="Y34" s="2"/>
      <c r="Z34" s="19">
        <f t="shared" si="3"/>
        <v>-0.20363612365756564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>
        <f>--165501.05</f>
        <v>165501.04999999999</v>
      </c>
      <c r="I35" s="2"/>
      <c r="J35" s="19"/>
      <c r="K35" s="2"/>
      <c r="L35" s="2">
        <f t="shared" si="0"/>
        <v>-120001.78</v>
      </c>
      <c r="M35" s="2"/>
      <c r="N35" s="19">
        <f t="shared" si="1"/>
        <v>-0.72508168377179483</v>
      </c>
      <c r="O35" s="11"/>
      <c r="P35" s="2">
        <f>--526632.56</f>
        <v>526632.56000000006</v>
      </c>
      <c r="Q35" s="2"/>
      <c r="R35" s="19"/>
      <c r="S35" s="2"/>
      <c r="T35" s="2">
        <f>--829135.79</f>
        <v>829135.79</v>
      </c>
      <c r="U35" s="2"/>
      <c r="V35" s="19"/>
      <c r="W35" s="2"/>
      <c r="X35" s="2">
        <f t="shared" si="2"/>
        <v>-302503.23</v>
      </c>
      <c r="Y35" s="2"/>
      <c r="Z35" s="19">
        <f t="shared" si="3"/>
        <v>-0.36484160212165001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>
        <f>--39206.06</f>
        <v>39206.06</v>
      </c>
      <c r="I36" s="2"/>
      <c r="J36" s="19"/>
      <c r="K36" s="2"/>
      <c r="L36" s="2">
        <f t="shared" si="0"/>
        <v>-35787.040000000001</v>
      </c>
      <c r="M36" s="2"/>
      <c r="N36" s="19">
        <f t="shared" si="1"/>
        <v>-0.91279358344092731</v>
      </c>
      <c r="O36" s="11"/>
      <c r="P36" s="2">
        <f>--282721.2</f>
        <v>282721.2</v>
      </c>
      <c r="Q36" s="2"/>
      <c r="R36" s="19"/>
      <c r="S36" s="2"/>
      <c r="T36" s="2">
        <f>--324686.18</f>
        <v>324686.18</v>
      </c>
      <c r="U36" s="2"/>
      <c r="V36" s="19"/>
      <c r="W36" s="2"/>
      <c r="X36" s="2">
        <f t="shared" si="2"/>
        <v>-41964.979999999981</v>
      </c>
      <c r="Y36" s="2"/>
      <c r="Z36" s="19">
        <f t="shared" si="3"/>
        <v>-0.12924781707678468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>
        <f>--1230.23</f>
        <v>1230.23</v>
      </c>
      <c r="I37" s="2"/>
      <c r="J37" s="19"/>
      <c r="K37" s="2"/>
      <c r="L37" s="2">
        <f t="shared" si="0"/>
        <v>-1180.28</v>
      </c>
      <c r="M37" s="2"/>
      <c r="N37" s="19">
        <f t="shared" si="1"/>
        <v>-0.95939783617697505</v>
      </c>
      <c r="O37" s="11"/>
      <c r="P37" s="2">
        <f>--77269.18</f>
        <v>77269.179999999993</v>
      </c>
      <c r="Q37" s="2"/>
      <c r="R37" s="19"/>
      <c r="S37" s="2"/>
      <c r="T37" s="2">
        <f>--4783.61</f>
        <v>4783.6099999999997</v>
      </c>
      <c r="U37" s="2"/>
      <c r="V37" s="19"/>
      <c r="W37" s="2"/>
      <c r="X37" s="2">
        <f t="shared" si="2"/>
        <v>72485.569999999992</v>
      </c>
      <c r="Y37" s="2"/>
      <c r="Z37" s="19">
        <f t="shared" si="3"/>
        <v>15.152901260763315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>
        <f>--5486.9</f>
        <v>5486.9</v>
      </c>
      <c r="I38" s="2"/>
      <c r="J38" s="19"/>
      <c r="K38" s="2"/>
      <c r="L38" s="2">
        <f t="shared" si="0"/>
        <v>-1571.6599999999999</v>
      </c>
      <c r="M38" s="2"/>
      <c r="N38" s="19">
        <f t="shared" si="1"/>
        <v>-0.28643860832163881</v>
      </c>
      <c r="O38" s="11"/>
      <c r="P38" s="2">
        <f>--71255.76</f>
        <v>71255.759999999995</v>
      </c>
      <c r="Q38" s="2"/>
      <c r="R38" s="19"/>
      <c r="S38" s="2"/>
      <c r="T38" s="2">
        <f>--85687.27</f>
        <v>85687.27</v>
      </c>
      <c r="U38" s="2"/>
      <c r="V38" s="19"/>
      <c r="W38" s="2"/>
      <c r="X38" s="2">
        <f t="shared" si="2"/>
        <v>-14431.510000000009</v>
      </c>
      <c r="Y38" s="2"/>
      <c r="Z38" s="19">
        <f t="shared" si="3"/>
        <v>-0.16842070006431537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>
        <f>--61115.47</f>
        <v>61115.47</v>
      </c>
      <c r="I39" s="2"/>
      <c r="J39" s="19"/>
      <c r="K39" s="2"/>
      <c r="L39" s="2">
        <f t="shared" si="0"/>
        <v>-47589.880000000005</v>
      </c>
      <c r="M39" s="2"/>
      <c r="N39" s="19">
        <f t="shared" si="1"/>
        <v>-0.77868794922136741</v>
      </c>
      <c r="O39" s="11"/>
      <c r="P39" s="2">
        <f>--96839.56</f>
        <v>96839.56</v>
      </c>
      <c r="Q39" s="2"/>
      <c r="R39" s="19"/>
      <c r="S39" s="2"/>
      <c r="T39" s="2">
        <f>--193484.96</f>
        <v>193484.96</v>
      </c>
      <c r="U39" s="2"/>
      <c r="V39" s="19"/>
      <c r="W39" s="2"/>
      <c r="X39" s="2">
        <f t="shared" si="2"/>
        <v>-96645.4</v>
      </c>
      <c r="Y39" s="2"/>
      <c r="Z39" s="19">
        <f t="shared" si="3"/>
        <v>-0.49949825557500693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6">0</f>
        <v>0</v>
      </c>
      <c r="E40" s="2"/>
      <c r="F40" s="19"/>
      <c r="G40" s="2"/>
      <c r="H40" s="2">
        <f>--963.97</f>
        <v>963.97</v>
      </c>
      <c r="I40" s="2"/>
      <c r="J40" s="19"/>
      <c r="K40" s="2"/>
      <c r="L40" s="2">
        <f t="shared" si="0"/>
        <v>-963.97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--5572.63</f>
        <v>5572.63</v>
      </c>
      <c r="U40" s="2"/>
      <c r="V40" s="19"/>
      <c r="W40" s="2"/>
      <c r="X40" s="2">
        <f t="shared" si="2"/>
        <v>-2896.4900000000002</v>
      </c>
      <c r="Y40" s="2"/>
      <c r="Z40" s="19">
        <f t="shared" si="3"/>
        <v>-0.51977073661807804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6"/>
        <v>0</v>
      </c>
      <c r="E41" s="2"/>
      <c r="F41" s="19"/>
      <c r="G41" s="2"/>
      <c r="H41" s="2">
        <f>--188.85</f>
        <v>188.85</v>
      </c>
      <c r="I41" s="2"/>
      <c r="J41" s="19"/>
      <c r="K41" s="2"/>
      <c r="L41" s="2">
        <f t="shared" si="0"/>
        <v>-188.85</v>
      </c>
      <c r="M41" s="2"/>
      <c r="N41" s="19">
        <f t="shared" si="1"/>
        <v>-1</v>
      </c>
      <c r="O41" s="11"/>
      <c r="P41" s="2">
        <f>--3174.93</f>
        <v>3174.93</v>
      </c>
      <c r="Q41" s="2"/>
      <c r="R41" s="19"/>
      <c r="S41" s="2"/>
      <c r="T41" s="2">
        <f>--4403.54</f>
        <v>4403.54</v>
      </c>
      <c r="U41" s="2"/>
      <c r="V41" s="19"/>
      <c r="W41" s="2"/>
      <c r="X41" s="2">
        <f t="shared" si="2"/>
        <v>-1228.6100000000001</v>
      </c>
      <c r="Y41" s="2"/>
      <c r="Z41" s="19">
        <f t="shared" si="3"/>
        <v>-0.27900507319111445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6"/>
        <v>0</v>
      </c>
      <c r="E42" s="2"/>
      <c r="F42" s="19"/>
      <c r="G42" s="2"/>
      <c r="H42" s="2">
        <f>--145</f>
        <v>145</v>
      </c>
      <c r="I42" s="2"/>
      <c r="J42" s="19"/>
      <c r="K42" s="2"/>
      <c r="L42" s="2">
        <f t="shared" si="0"/>
        <v>-145</v>
      </c>
      <c r="M42" s="2"/>
      <c r="N42" s="19">
        <f t="shared" si="1"/>
        <v>-1</v>
      </c>
      <c r="O42" s="11"/>
      <c r="P42" s="2">
        <f>--363.94</f>
        <v>363.94</v>
      </c>
      <c r="Q42" s="2"/>
      <c r="R42" s="19"/>
      <c r="S42" s="2"/>
      <c r="T42" s="2">
        <f>--1650</f>
        <v>1650</v>
      </c>
      <c r="U42" s="2"/>
      <c r="V42" s="19"/>
      <c r="W42" s="2"/>
      <c r="X42" s="2">
        <f t="shared" si="2"/>
        <v>-1286.06</v>
      </c>
      <c r="Y42" s="2"/>
      <c r="Z42" s="19">
        <f t="shared" si="3"/>
        <v>-0.77943030303030303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6"/>
        <v>0</v>
      </c>
      <c r="E43" s="2"/>
      <c r="F43" s="19"/>
      <c r="G43" s="2"/>
      <c r="H43" s="2">
        <f>--119.89</f>
        <v>119.89</v>
      </c>
      <c r="I43" s="2"/>
      <c r="J43" s="19"/>
      <c r="K43" s="2"/>
      <c r="L43" s="2">
        <f t="shared" si="0"/>
        <v>-119.89</v>
      </c>
      <c r="M43" s="2"/>
      <c r="N43" s="19">
        <f t="shared" si="1"/>
        <v>-1</v>
      </c>
      <c r="O43" s="11"/>
      <c r="P43" s="2">
        <f>--914.33</f>
        <v>914.33</v>
      </c>
      <c r="Q43" s="2"/>
      <c r="R43" s="19"/>
      <c r="S43" s="2"/>
      <c r="T43" s="2">
        <f>--1403.83</f>
        <v>1403.83</v>
      </c>
      <c r="U43" s="2"/>
      <c r="V43" s="19"/>
      <c r="W43" s="2"/>
      <c r="X43" s="2">
        <f t="shared" si="2"/>
        <v>-489.49999999999989</v>
      </c>
      <c r="Y43" s="2"/>
      <c r="Z43" s="19">
        <f t="shared" si="3"/>
        <v>-0.3486889438179836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6"/>
        <v>0</v>
      </c>
      <c r="E44" s="2"/>
      <c r="F44" s="19"/>
      <c r="G44" s="2"/>
      <c r="H44" s="2">
        <f>--29.98</f>
        <v>29.98</v>
      </c>
      <c r="I44" s="2"/>
      <c r="J44" s="19"/>
      <c r="K44" s="2"/>
      <c r="L44" s="2">
        <f t="shared" si="0"/>
        <v>-29.98</v>
      </c>
      <c r="M44" s="2"/>
      <c r="N44" s="19">
        <f t="shared" si="1"/>
        <v>-1</v>
      </c>
      <c r="O44" s="11"/>
      <c r="P44" s="2">
        <f>--813.74</f>
        <v>813.74</v>
      </c>
      <c r="Q44" s="2"/>
      <c r="R44" s="19"/>
      <c r="S44" s="2"/>
      <c r="T44" s="2">
        <f>--2115.11</f>
        <v>2115.11</v>
      </c>
      <c r="U44" s="2"/>
      <c r="V44" s="19"/>
      <c r="W44" s="2"/>
      <c r="X44" s="2">
        <f t="shared" si="2"/>
        <v>-1301.3700000000001</v>
      </c>
      <c r="Y44" s="2"/>
      <c r="Z44" s="19">
        <f t="shared" si="3"/>
        <v>-0.61527296452666769</v>
      </c>
    </row>
    <row r="45" spans="1:26" s="24" customFormat="1" hidden="1" outlineLevel="1" x14ac:dyDescent="0.25">
      <c r="A45" s="44"/>
      <c r="B45" s="11" t="str">
        <f>CONCATENATE("          ", "4091", " - ", "TAXABLE SALES-GRAD ANNOUNCEMEN")</f>
        <v xml:space="preserve">          4091 - TAXABLE SALES-GRAD ANNOUNCEMEN</v>
      </c>
      <c r="C45" s="11"/>
      <c r="D45" s="2">
        <f t="shared" si="6"/>
        <v>0</v>
      </c>
      <c r="E45" s="2"/>
      <c r="F45" s="19"/>
      <c r="G45" s="2"/>
      <c r="H45" s="2">
        <f>-471.6</f>
        <v>-471.6</v>
      </c>
      <c r="I45" s="2"/>
      <c r="J45" s="19"/>
      <c r="K45" s="2"/>
      <c r="L45" s="2">
        <f t="shared" si="0"/>
        <v>471.6</v>
      </c>
      <c r="M45" s="2"/>
      <c r="N45" s="19">
        <f t="shared" si="1"/>
        <v>-1</v>
      </c>
      <c r="O45" s="11"/>
      <c r="P45" s="2">
        <f>0</f>
        <v>0</v>
      </c>
      <c r="Q45" s="2"/>
      <c r="R45" s="19"/>
      <c r="S45" s="2"/>
      <c r="T45" s="2">
        <f>0</f>
        <v>0</v>
      </c>
      <c r="U45" s="2"/>
      <c r="V45" s="19"/>
      <c r="W45" s="2"/>
      <c r="X45" s="2">
        <f t="shared" si="2"/>
        <v>0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--13527.29</f>
        <v>13527.29</v>
      </c>
      <c r="E46" s="2"/>
      <c r="F46" s="19"/>
      <c r="G46" s="2"/>
      <c r="H46" s="2">
        <f>--99813.43</f>
        <v>99813.43</v>
      </c>
      <c r="I46" s="2"/>
      <c r="J46" s="19"/>
      <c r="K46" s="2"/>
      <c r="L46" s="2">
        <f t="shared" si="0"/>
        <v>-86286.139999999985</v>
      </c>
      <c r="M46" s="2"/>
      <c r="N46" s="19">
        <f t="shared" si="1"/>
        <v>-0.86447424960749264</v>
      </c>
      <c r="O46" s="11"/>
      <c r="P46" s="2">
        <f>--35353.71</f>
        <v>35353.71</v>
      </c>
      <c r="Q46" s="2"/>
      <c r="R46" s="19"/>
      <c r="S46" s="2"/>
      <c r="T46" s="2">
        <f>--222837.42</f>
        <v>222837.42</v>
      </c>
      <c r="U46" s="2"/>
      <c r="V46" s="19"/>
      <c r="W46" s="2"/>
      <c r="X46" s="2">
        <f t="shared" si="2"/>
        <v>-187483.71000000002</v>
      </c>
      <c r="Y46" s="2"/>
      <c r="Z46" s="19">
        <f t="shared" si="3"/>
        <v>-0.84134751694755761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>
        <f>--172.26</f>
        <v>172.26</v>
      </c>
      <c r="I47" s="2"/>
      <c r="J47" s="19"/>
      <c r="K47" s="2"/>
      <c r="L47" s="2">
        <f t="shared" si="0"/>
        <v>-172.26</v>
      </c>
      <c r="M47" s="2"/>
      <c r="N47" s="19">
        <f t="shared" si="1"/>
        <v>-1</v>
      </c>
      <c r="O47" s="11"/>
      <c r="P47" s="2">
        <f>--309.26</f>
        <v>309.26</v>
      </c>
      <c r="Q47" s="2"/>
      <c r="R47" s="19"/>
      <c r="S47" s="2"/>
      <c r="T47" s="2">
        <f>--2217.3</f>
        <v>2217.3000000000002</v>
      </c>
      <c r="U47" s="2"/>
      <c r="V47" s="19"/>
      <c r="W47" s="2"/>
      <c r="X47" s="2">
        <f t="shared" si="2"/>
        <v>-1908.0400000000002</v>
      </c>
      <c r="Y47" s="2"/>
      <c r="Z47" s="19">
        <f t="shared" si="3"/>
        <v>-0.86052406079466015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--5210.55</f>
        <v>5210.55</v>
      </c>
      <c r="E48" s="2"/>
      <c r="F48" s="19"/>
      <c r="G48" s="2"/>
      <c r="H48" s="2">
        <f>--10164.71</f>
        <v>10164.709999999999</v>
      </c>
      <c r="I48" s="2"/>
      <c r="J48" s="19"/>
      <c r="K48" s="2"/>
      <c r="L48" s="2">
        <f t="shared" si="0"/>
        <v>-4954.1599999999989</v>
      </c>
      <c r="M48" s="2"/>
      <c r="N48" s="19">
        <f t="shared" si="1"/>
        <v>-0.48738822848856478</v>
      </c>
      <c r="O48" s="11"/>
      <c r="P48" s="2">
        <f>--607447.02</f>
        <v>607447.02</v>
      </c>
      <c r="Q48" s="2"/>
      <c r="R48" s="19"/>
      <c r="S48" s="2"/>
      <c r="T48" s="2">
        <f>--789574.6</f>
        <v>789574.6</v>
      </c>
      <c r="U48" s="2"/>
      <c r="V48" s="19"/>
      <c r="W48" s="2"/>
      <c r="X48" s="2">
        <f t="shared" si="2"/>
        <v>-182127.57999999996</v>
      </c>
      <c r="Y48" s="2"/>
      <c r="Z48" s="19">
        <f t="shared" si="3"/>
        <v>-0.23066544947114556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--7118.9</f>
        <v>7118.9</v>
      </c>
      <c r="E49" s="2"/>
      <c r="F49" s="19"/>
      <c r="G49" s="2"/>
      <c r="H49" s="2">
        <f>--14829.63</f>
        <v>14829.63</v>
      </c>
      <c r="I49" s="2"/>
      <c r="J49" s="19"/>
      <c r="K49" s="2"/>
      <c r="L49" s="2">
        <f t="shared" si="0"/>
        <v>-7710.73</v>
      </c>
      <c r="M49" s="2"/>
      <c r="N49" s="19">
        <f t="shared" si="1"/>
        <v>-0.51995430769344886</v>
      </c>
      <c r="O49" s="11"/>
      <c r="P49" s="2">
        <f>--151282.34</f>
        <v>151282.34</v>
      </c>
      <c r="Q49" s="2"/>
      <c r="R49" s="19"/>
      <c r="S49" s="2"/>
      <c r="T49" s="2">
        <f>--280944.1</f>
        <v>280944.09999999998</v>
      </c>
      <c r="U49" s="2"/>
      <c r="V49" s="19"/>
      <c r="W49" s="2"/>
      <c r="X49" s="2">
        <f t="shared" si="2"/>
        <v>-129661.75999999998</v>
      </c>
      <c r="Y49" s="2"/>
      <c r="Z49" s="19">
        <f t="shared" si="3"/>
        <v>-0.4615215624745278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--565.56</f>
        <v>565.55999999999995</v>
      </c>
      <c r="E50" s="2"/>
      <c r="F50" s="19"/>
      <c r="G50" s="2"/>
      <c r="H50" s="2">
        <f>--3752.48</f>
        <v>3752.48</v>
      </c>
      <c r="I50" s="2"/>
      <c r="J50" s="19"/>
      <c r="K50" s="2"/>
      <c r="L50" s="2">
        <f t="shared" si="0"/>
        <v>-3186.92</v>
      </c>
      <c r="M50" s="2"/>
      <c r="N50" s="19">
        <f t="shared" si="1"/>
        <v>-0.84928367373043967</v>
      </c>
      <c r="O50" s="11"/>
      <c r="P50" s="2">
        <f>--70225.46</f>
        <v>70225.460000000006</v>
      </c>
      <c r="Q50" s="2"/>
      <c r="R50" s="19"/>
      <c r="S50" s="2"/>
      <c r="T50" s="2">
        <f>--96349.95</f>
        <v>96349.95</v>
      </c>
      <c r="U50" s="2"/>
      <c r="V50" s="19"/>
      <c r="W50" s="2"/>
      <c r="X50" s="2">
        <f t="shared" si="2"/>
        <v>-26124.489999999991</v>
      </c>
      <c r="Y50" s="2"/>
      <c r="Z50" s="19">
        <f t="shared" si="3"/>
        <v>-0.27114170790955255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--321</f>
        <v>321</v>
      </c>
      <c r="I51" s="2"/>
      <c r="J51" s="19"/>
      <c r="K51" s="2"/>
      <c r="L51" s="2">
        <f t="shared" si="0"/>
        <v>-321</v>
      </c>
      <c r="M51" s="2"/>
      <c r="N51" s="19">
        <f t="shared" si="1"/>
        <v>-1</v>
      </c>
      <c r="O51" s="11"/>
      <c r="P51" s="2">
        <f>--664.97</f>
        <v>664.97</v>
      </c>
      <c r="Q51" s="2"/>
      <c r="R51" s="19"/>
      <c r="S51" s="2"/>
      <c r="T51" s="2">
        <f>--830.85</f>
        <v>830.85</v>
      </c>
      <c r="U51" s="2"/>
      <c r="V51" s="19"/>
      <c r="W51" s="2"/>
      <c r="X51" s="2">
        <f t="shared" si="2"/>
        <v>-165.88</v>
      </c>
      <c r="Y51" s="2"/>
      <c r="Z51" s="19">
        <f t="shared" si="3"/>
        <v>-0.19965095986038392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--4949.29</f>
        <v>4949.29</v>
      </c>
      <c r="E52" s="2"/>
      <c r="F52" s="19"/>
      <c r="G52" s="2"/>
      <c r="H52" s="2">
        <f>--4706.96</f>
        <v>4706.96</v>
      </c>
      <c r="I52" s="2"/>
      <c r="J52" s="19"/>
      <c r="K52" s="2"/>
      <c r="L52" s="2">
        <f t="shared" si="0"/>
        <v>242.32999999999993</v>
      </c>
      <c r="M52" s="2"/>
      <c r="N52" s="19">
        <f t="shared" si="1"/>
        <v>5.1483335316212568E-2</v>
      </c>
      <c r="O52" s="11"/>
      <c r="P52" s="2">
        <f>--531803.38</f>
        <v>531803.38</v>
      </c>
      <c r="Q52" s="2"/>
      <c r="R52" s="19"/>
      <c r="S52" s="2"/>
      <c r="T52" s="2">
        <f>--533442.25</f>
        <v>533442.25</v>
      </c>
      <c r="U52" s="2"/>
      <c r="V52" s="19"/>
      <c r="W52" s="2"/>
      <c r="X52" s="2">
        <f t="shared" si="2"/>
        <v>-1638.8699999999953</v>
      </c>
      <c r="Y52" s="2"/>
      <c r="Z52" s="19">
        <f t="shared" si="3"/>
        <v>-3.0722538381614791E-3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--340.46</f>
        <v>340.46</v>
      </c>
      <c r="E53" s="2"/>
      <c r="F53" s="19"/>
      <c r="G53" s="2"/>
      <c r="H53" s="2">
        <f>--2277.54</f>
        <v>2277.54</v>
      </c>
      <c r="I53" s="2"/>
      <c r="J53" s="19"/>
      <c r="K53" s="2"/>
      <c r="L53" s="2">
        <f t="shared" si="0"/>
        <v>-1937.08</v>
      </c>
      <c r="M53" s="2"/>
      <c r="N53" s="19">
        <f t="shared" si="1"/>
        <v>-0.85051415123334828</v>
      </c>
      <c r="O53" s="11"/>
      <c r="P53" s="2">
        <f>--15663.46</f>
        <v>15663.46</v>
      </c>
      <c r="Q53" s="2"/>
      <c r="R53" s="19"/>
      <c r="S53" s="2"/>
      <c r="T53" s="2">
        <f>--21891.78</f>
        <v>21891.78</v>
      </c>
      <c r="U53" s="2"/>
      <c r="V53" s="19"/>
      <c r="W53" s="2"/>
      <c r="X53" s="2">
        <f t="shared" si="2"/>
        <v>-6228.32</v>
      </c>
      <c r="Y53" s="2"/>
      <c r="Z53" s="19">
        <f t="shared" si="3"/>
        <v>-0.28450496030930333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--24.24</f>
        <v>24.24</v>
      </c>
      <c r="E54" s="2"/>
      <c r="F54" s="19"/>
      <c r="G54" s="2"/>
      <c r="H54" s="2">
        <f t="shared" ref="H54:H56" si="7">0</f>
        <v>0</v>
      </c>
      <c r="I54" s="2"/>
      <c r="J54" s="19"/>
      <c r="K54" s="2"/>
      <c r="L54" s="2">
        <f t="shared" si="0"/>
        <v>24.24</v>
      </c>
      <c r="M54" s="2"/>
      <c r="N54" s="19">
        <f t="shared" si="1"/>
        <v>0</v>
      </c>
      <c r="O54" s="11"/>
      <c r="P54" s="2">
        <f>--8266.16</f>
        <v>8266.16</v>
      </c>
      <c r="Q54" s="2"/>
      <c r="R54" s="19"/>
      <c r="S54" s="2"/>
      <c r="T54" s="2">
        <f>--3773</f>
        <v>3773</v>
      </c>
      <c r="U54" s="2"/>
      <c r="V54" s="19"/>
      <c r="W54" s="2"/>
      <c r="X54" s="2">
        <f t="shared" si="2"/>
        <v>4493.16</v>
      </c>
      <c r="Y54" s="2"/>
      <c r="Z54" s="19">
        <f t="shared" si="3"/>
        <v>1.1908719851576994</v>
      </c>
    </row>
    <row r="55" spans="1:26" s="24" customFormat="1" hidden="1" outlineLevel="1" x14ac:dyDescent="0.25">
      <c r="A55" s="44"/>
      <c r="B55" s="11" t="str">
        <f>CONCATENATE("          ", "4114", " - ", "NON-TAXABLE SALES-REMAINDERS")</f>
        <v xml:space="preserve">          4114 - NON-TAXABLE SALES-REMAINDERS</v>
      </c>
      <c r="C55" s="11"/>
      <c r="D55" s="2">
        <f>--3.19</f>
        <v>3.19</v>
      </c>
      <c r="E55" s="2"/>
      <c r="F55" s="19"/>
      <c r="G55" s="2"/>
      <c r="H55" s="2">
        <f t="shared" si="7"/>
        <v>0</v>
      </c>
      <c r="I55" s="2"/>
      <c r="J55" s="19"/>
      <c r="K55" s="2"/>
      <c r="L55" s="2">
        <f t="shared" si="0"/>
        <v>3.19</v>
      </c>
      <c r="M55" s="2"/>
      <c r="N55" s="19">
        <f t="shared" si="1"/>
        <v>0</v>
      </c>
      <c r="O55" s="11"/>
      <c r="P55" s="2">
        <f>--3.19</f>
        <v>3.19</v>
      </c>
      <c r="Q55" s="2"/>
      <c r="R55" s="19"/>
      <c r="S55" s="2"/>
      <c r="T55" s="2">
        <f>0</f>
        <v>0</v>
      </c>
      <c r="U55" s="2"/>
      <c r="V55" s="19"/>
      <c r="W55" s="2"/>
      <c r="X55" s="2">
        <f t="shared" si="2"/>
        <v>3.19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--40</f>
        <v>40</v>
      </c>
      <c r="E56" s="2"/>
      <c r="F56" s="19"/>
      <c r="G56" s="2"/>
      <c r="H56" s="2">
        <f t="shared" si="7"/>
        <v>0</v>
      </c>
      <c r="I56" s="2"/>
      <c r="J56" s="19"/>
      <c r="K56" s="2"/>
      <c r="L56" s="2">
        <f t="shared" si="0"/>
        <v>40</v>
      </c>
      <c r="M56" s="2"/>
      <c r="N56" s="19">
        <f t="shared" si="1"/>
        <v>0</v>
      </c>
      <c r="O56" s="11"/>
      <c r="P56" s="2">
        <f>--115.94</f>
        <v>115.94</v>
      </c>
      <c r="Q56" s="2"/>
      <c r="R56" s="19"/>
      <c r="S56" s="2"/>
      <c r="T56" s="2">
        <f>--266.48</f>
        <v>266.48</v>
      </c>
      <c r="U56" s="2"/>
      <c r="V56" s="19"/>
      <c r="W56" s="2"/>
      <c r="X56" s="2">
        <f t="shared" si="2"/>
        <v>-150.54000000000002</v>
      </c>
      <c r="Y56" s="2"/>
      <c r="Z56" s="19">
        <f t="shared" si="3"/>
        <v>-0.56492044431101773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0</f>
        <v>0</v>
      </c>
      <c r="E57" s="2"/>
      <c r="F57" s="19"/>
      <c r="G57" s="2"/>
      <c r="H57" s="2">
        <f>--13.02</f>
        <v>13.02</v>
      </c>
      <c r="I57" s="2"/>
      <c r="J57" s="19"/>
      <c r="K57" s="2"/>
      <c r="L57" s="2">
        <f t="shared" si="0"/>
        <v>-13.02</v>
      </c>
      <c r="M57" s="2"/>
      <c r="N57" s="19">
        <f t="shared" si="1"/>
        <v>-1</v>
      </c>
      <c r="O57" s="11"/>
      <c r="P57" s="2">
        <f>--267.61</f>
        <v>267.61</v>
      </c>
      <c r="Q57" s="2"/>
      <c r="R57" s="19"/>
      <c r="S57" s="2"/>
      <c r="T57" s="2">
        <f>--318.21</f>
        <v>318.20999999999998</v>
      </c>
      <c r="U57" s="2"/>
      <c r="V57" s="19"/>
      <c r="W57" s="2"/>
      <c r="X57" s="2">
        <f t="shared" si="2"/>
        <v>-50.599999999999966</v>
      </c>
      <c r="Y57" s="2"/>
      <c r="Z57" s="19">
        <f t="shared" si="3"/>
        <v>-0.15901448728826867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--110.56</f>
        <v>110.56</v>
      </c>
      <c r="E58" s="2"/>
      <c r="F58" s="19"/>
      <c r="G58" s="2"/>
      <c r="H58" s="2">
        <f>--352.38</f>
        <v>352.38</v>
      </c>
      <c r="I58" s="2"/>
      <c r="J58" s="19"/>
      <c r="K58" s="2"/>
      <c r="L58" s="2">
        <f t="shared" si="0"/>
        <v>-241.82</v>
      </c>
      <c r="M58" s="2"/>
      <c r="N58" s="19">
        <f t="shared" si="1"/>
        <v>-0.68624780066973157</v>
      </c>
      <c r="O58" s="11"/>
      <c r="P58" s="2">
        <f>--3133.42</f>
        <v>3133.42</v>
      </c>
      <c r="Q58" s="2"/>
      <c r="R58" s="19"/>
      <c r="S58" s="2"/>
      <c r="T58" s="2">
        <f>--4011.52</f>
        <v>4011.52</v>
      </c>
      <c r="U58" s="2"/>
      <c r="V58" s="19"/>
      <c r="W58" s="2"/>
      <c r="X58" s="2">
        <f t="shared" si="2"/>
        <v>-878.09999999999991</v>
      </c>
      <c r="Y58" s="2"/>
      <c r="Z58" s="19">
        <f t="shared" si="3"/>
        <v>-0.21889458359923419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--226.84</f>
        <v>226.84</v>
      </c>
      <c r="E59" s="2"/>
      <c r="F59" s="19"/>
      <c r="G59" s="2"/>
      <c r="H59" s="2">
        <f>--213.9</f>
        <v>213.9</v>
      </c>
      <c r="I59" s="2"/>
      <c r="J59" s="19"/>
      <c r="K59" s="2"/>
      <c r="L59" s="2">
        <f t="shared" si="0"/>
        <v>12.939999999999998</v>
      </c>
      <c r="M59" s="2"/>
      <c r="N59" s="19">
        <f t="shared" si="1"/>
        <v>6.0495558672276753E-2</v>
      </c>
      <c r="O59" s="11"/>
      <c r="P59" s="2">
        <f>--6373.71</f>
        <v>6373.71</v>
      </c>
      <c r="Q59" s="2"/>
      <c r="R59" s="19"/>
      <c r="S59" s="2"/>
      <c r="T59" s="2">
        <f>--12544.26</f>
        <v>12544.26</v>
      </c>
      <c r="U59" s="2"/>
      <c r="V59" s="19"/>
      <c r="W59" s="2"/>
      <c r="X59" s="2">
        <f t="shared" si="2"/>
        <v>-6170.55</v>
      </c>
      <c r="Y59" s="2"/>
      <c r="Z59" s="19">
        <f t="shared" si="3"/>
        <v>-0.49190227243376655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0</f>
        <v>0</v>
      </c>
      <c r="E60" s="2"/>
      <c r="F60" s="19"/>
      <c r="G60" s="2"/>
      <c r="H60" s="2">
        <f>--25.14</f>
        <v>25.14</v>
      </c>
      <c r="I60" s="2"/>
      <c r="J60" s="19"/>
      <c r="K60" s="2"/>
      <c r="L60" s="2">
        <f t="shared" si="0"/>
        <v>-25.14</v>
      </c>
      <c r="M60" s="2"/>
      <c r="N60" s="19">
        <f t="shared" si="1"/>
        <v>-1</v>
      </c>
      <c r="O60" s="11"/>
      <c r="P60" s="2">
        <f>--730.62</f>
        <v>730.62</v>
      </c>
      <c r="Q60" s="2"/>
      <c r="R60" s="19"/>
      <c r="S60" s="2"/>
      <c r="T60" s="2">
        <f>--877.96</f>
        <v>877.96</v>
      </c>
      <c r="U60" s="2"/>
      <c r="V60" s="19"/>
      <c r="W60" s="2"/>
      <c r="X60" s="2">
        <f t="shared" si="2"/>
        <v>-147.34000000000003</v>
      </c>
      <c r="Y60" s="2"/>
      <c r="Z60" s="19">
        <f t="shared" si="3"/>
        <v>-0.16782085744225253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--6.16</f>
        <v>6.16</v>
      </c>
      <c r="E61" s="2"/>
      <c r="F61" s="19"/>
      <c r="G61" s="2"/>
      <c r="H61" s="2">
        <f>--2994.45</f>
        <v>2994.45</v>
      </c>
      <c r="I61" s="2"/>
      <c r="J61" s="19"/>
      <c r="K61" s="2"/>
      <c r="L61" s="2">
        <f t="shared" si="0"/>
        <v>-2988.29</v>
      </c>
      <c r="M61" s="2"/>
      <c r="N61" s="19">
        <f t="shared" si="1"/>
        <v>-0.99794286095944174</v>
      </c>
      <c r="O61" s="11"/>
      <c r="P61" s="2">
        <f>--57893.7</f>
        <v>57893.7</v>
      </c>
      <c r="Q61" s="2"/>
      <c r="R61" s="19"/>
      <c r="S61" s="2"/>
      <c r="T61" s="2">
        <f>--74040.33</f>
        <v>74040.33</v>
      </c>
      <c r="U61" s="2"/>
      <c r="V61" s="19"/>
      <c r="W61" s="2"/>
      <c r="X61" s="2">
        <f t="shared" si="2"/>
        <v>-16146.630000000005</v>
      </c>
      <c r="Y61" s="2"/>
      <c r="Z61" s="19">
        <f t="shared" si="3"/>
        <v>-0.21807884972960012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0</f>
        <v>0</v>
      </c>
      <c r="E62" s="2"/>
      <c r="F62" s="19"/>
      <c r="G62" s="2"/>
      <c r="H62" s="2">
        <f>--869.38</f>
        <v>869.38</v>
      </c>
      <c r="I62" s="2"/>
      <c r="J62" s="19"/>
      <c r="K62" s="2"/>
      <c r="L62" s="2">
        <f t="shared" si="0"/>
        <v>-869.38</v>
      </c>
      <c r="M62" s="2"/>
      <c r="N62" s="19">
        <f t="shared" si="1"/>
        <v>-1</v>
      </c>
      <c r="O62" s="11"/>
      <c r="P62" s="2">
        <f>--16199.63</f>
        <v>16199.63</v>
      </c>
      <c r="Q62" s="2"/>
      <c r="R62" s="19"/>
      <c r="S62" s="2"/>
      <c r="T62" s="2">
        <f>--18257.24</f>
        <v>18257.240000000002</v>
      </c>
      <c r="U62" s="2"/>
      <c r="V62" s="19"/>
      <c r="W62" s="2"/>
      <c r="X62" s="2">
        <f t="shared" si="2"/>
        <v>-2057.6100000000024</v>
      </c>
      <c r="Y62" s="2"/>
      <c r="Z62" s="19">
        <f t="shared" si="3"/>
        <v>-0.1127010435312239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--48.27</f>
        <v>48.27</v>
      </c>
      <c r="E63" s="2"/>
      <c r="F63" s="19"/>
      <c r="G63" s="2"/>
      <c r="H63" s="2">
        <f>--3514.86</f>
        <v>3514.86</v>
      </c>
      <c r="I63" s="2"/>
      <c r="J63" s="19"/>
      <c r="K63" s="2"/>
      <c r="L63" s="2">
        <f t="shared" si="0"/>
        <v>-3466.59</v>
      </c>
      <c r="M63" s="2"/>
      <c r="N63" s="19">
        <f t="shared" si="1"/>
        <v>-0.9862668783393933</v>
      </c>
      <c r="O63" s="11"/>
      <c r="P63" s="2">
        <f>--18136.73</f>
        <v>18136.73</v>
      </c>
      <c r="Q63" s="2"/>
      <c r="R63" s="19"/>
      <c r="S63" s="2"/>
      <c r="T63" s="2">
        <f>--23474.32</f>
        <v>23474.32</v>
      </c>
      <c r="U63" s="2"/>
      <c r="V63" s="19"/>
      <c r="W63" s="2"/>
      <c r="X63" s="2">
        <f t="shared" si="2"/>
        <v>-5337.59</v>
      </c>
      <c r="Y63" s="2"/>
      <c r="Z63" s="19">
        <f t="shared" si="3"/>
        <v>-0.22737996244406655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 t="shared" ref="D64:D66" si="8"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--1.89</f>
        <v>1.89</v>
      </c>
      <c r="Q64" s="2"/>
      <c r="R64" s="19"/>
      <c r="S64" s="2"/>
      <c r="T64" s="2">
        <f>--111.36</f>
        <v>111.36</v>
      </c>
      <c r="U64" s="2"/>
      <c r="V64" s="19"/>
      <c r="W64" s="2"/>
      <c r="X64" s="2">
        <f t="shared" si="2"/>
        <v>-109.47</v>
      </c>
      <c r="Y64" s="2"/>
      <c r="Z64" s="19">
        <f t="shared" si="3"/>
        <v>-0.98302801724137934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 t="shared" si="8"/>
        <v>0</v>
      </c>
      <c r="E65" s="2"/>
      <c r="F65" s="19"/>
      <c r="G65" s="2"/>
      <c r="H65" s="2">
        <f>--13.28</f>
        <v>13.28</v>
      </c>
      <c r="I65" s="2"/>
      <c r="J65" s="19"/>
      <c r="K65" s="2"/>
      <c r="L65" s="2">
        <f t="shared" si="0"/>
        <v>-13.28</v>
      </c>
      <c r="M65" s="2"/>
      <c r="N65" s="19">
        <f t="shared" si="1"/>
        <v>-1</v>
      </c>
      <c r="O65" s="11"/>
      <c r="P65" s="2">
        <f>--161.4</f>
        <v>161.4</v>
      </c>
      <c r="Q65" s="2"/>
      <c r="R65" s="19"/>
      <c r="S65" s="2"/>
      <c r="T65" s="2">
        <f>--383.81</f>
        <v>383.81</v>
      </c>
      <c r="U65" s="2"/>
      <c r="V65" s="19"/>
      <c r="W65" s="2"/>
      <c r="X65" s="2">
        <f t="shared" si="2"/>
        <v>-222.41</v>
      </c>
      <c r="Y65" s="2"/>
      <c r="Z65" s="19">
        <f t="shared" si="3"/>
        <v>-0.57947942992626555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 t="shared" si="8"/>
        <v>0</v>
      </c>
      <c r="E66" s="2"/>
      <c r="F66" s="19"/>
      <c r="G66" s="2"/>
      <c r="H66" s="2">
        <f>--448.65</f>
        <v>448.65</v>
      </c>
      <c r="I66" s="2"/>
      <c r="J66" s="19"/>
      <c r="K66" s="2"/>
      <c r="L66" s="2">
        <f t="shared" si="0"/>
        <v>-448.65</v>
      </c>
      <c r="M66" s="2"/>
      <c r="N66" s="19">
        <f t="shared" si="1"/>
        <v>-1</v>
      </c>
      <c r="O66" s="11"/>
      <c r="P66" s="2">
        <f>--8519.06</f>
        <v>8519.06</v>
      </c>
      <c r="Q66" s="2"/>
      <c r="R66" s="19"/>
      <c r="S66" s="2"/>
      <c r="T66" s="2">
        <f>--10143.39</f>
        <v>10143.39</v>
      </c>
      <c r="U66" s="2"/>
      <c r="V66" s="19"/>
      <c r="W66" s="2"/>
      <c r="X66" s="2">
        <f t="shared" si="2"/>
        <v>-1624.33</v>
      </c>
      <c r="Y66" s="2"/>
      <c r="Z66" s="19">
        <f t="shared" si="3"/>
        <v>-0.16013679844706749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--56556.05</f>
        <v>56556.05</v>
      </c>
      <c r="E67" s="2"/>
      <c r="F67" s="19"/>
      <c r="G67" s="2"/>
      <c r="H67" s="2">
        <f>--8734.95</f>
        <v>8734.9500000000007</v>
      </c>
      <c r="I67" s="2"/>
      <c r="J67" s="19"/>
      <c r="K67" s="2"/>
      <c r="L67" s="2">
        <f t="shared" si="0"/>
        <v>47821.100000000006</v>
      </c>
      <c r="M67" s="2"/>
      <c r="N67" s="19">
        <f t="shared" si="1"/>
        <v>5.4746850296796206</v>
      </c>
      <c r="O67" s="11"/>
      <c r="P67" s="2">
        <f>--135480.76</f>
        <v>135480.76</v>
      </c>
      <c r="Q67" s="2"/>
      <c r="R67" s="19"/>
      <c r="S67" s="2"/>
      <c r="T67" s="2">
        <f>--55990.72</f>
        <v>55990.720000000001</v>
      </c>
      <c r="U67" s="2"/>
      <c r="V67" s="19"/>
      <c r="W67" s="2"/>
      <c r="X67" s="2">
        <f t="shared" si="2"/>
        <v>79490.040000000008</v>
      </c>
      <c r="Y67" s="2"/>
      <c r="Z67" s="19">
        <f t="shared" si="3"/>
        <v>1.4197002646152792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--4184.98</f>
        <v>4184.9799999999996</v>
      </c>
      <c r="E68" s="2"/>
      <c r="F68" s="19"/>
      <c r="G68" s="2"/>
      <c r="H68" s="2">
        <f>--460.45</f>
        <v>460.45</v>
      </c>
      <c r="I68" s="2"/>
      <c r="J68" s="19"/>
      <c r="K68" s="2"/>
      <c r="L68" s="2">
        <f t="shared" si="0"/>
        <v>3724.5299999999997</v>
      </c>
      <c r="M68" s="2"/>
      <c r="N68" s="19">
        <f t="shared" si="1"/>
        <v>8.0888913019871858</v>
      </c>
      <c r="O68" s="11"/>
      <c r="P68" s="2">
        <f>--16960.31</f>
        <v>16960.310000000001</v>
      </c>
      <c r="Q68" s="2"/>
      <c r="R68" s="19"/>
      <c r="S68" s="2"/>
      <c r="T68" s="2">
        <f>--6463.78</f>
        <v>6463.78</v>
      </c>
      <c r="U68" s="2"/>
      <c r="V68" s="19"/>
      <c r="W68" s="2"/>
      <c r="X68" s="2">
        <f t="shared" si="2"/>
        <v>10496.530000000002</v>
      </c>
      <c r="Y68" s="2"/>
      <c r="Z68" s="19">
        <f t="shared" si="3"/>
        <v>1.6238996376733124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--1204.14</f>
        <v>1204.1400000000001</v>
      </c>
      <c r="E69" s="2"/>
      <c r="F69" s="19"/>
      <c r="G69" s="2"/>
      <c r="H69" s="2">
        <f>--1539.69</f>
        <v>1539.69</v>
      </c>
      <c r="I69" s="2"/>
      <c r="J69" s="19"/>
      <c r="K69" s="2"/>
      <c r="L69" s="2">
        <f t="shared" si="0"/>
        <v>-335.54999999999995</v>
      </c>
      <c r="M69" s="2"/>
      <c r="N69" s="19">
        <f t="shared" si="1"/>
        <v>-0.21793348011612723</v>
      </c>
      <c r="O69" s="11"/>
      <c r="P69" s="2">
        <f>--15332.22</f>
        <v>15332.22</v>
      </c>
      <c r="Q69" s="2"/>
      <c r="R69" s="19"/>
      <c r="S69" s="2"/>
      <c r="T69" s="2">
        <f>--21108.88</f>
        <v>21108.880000000001</v>
      </c>
      <c r="U69" s="2"/>
      <c r="V69" s="19"/>
      <c r="W69" s="2"/>
      <c r="X69" s="2">
        <f t="shared" si="2"/>
        <v>-5776.6600000000017</v>
      </c>
      <c r="Y69" s="2"/>
      <c r="Z69" s="19">
        <f t="shared" si="3"/>
        <v>-0.27366018471846926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--19.98</f>
        <v>19.98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19.98</v>
      </c>
      <c r="M70" s="2"/>
      <c r="N70" s="19">
        <f t="shared" si="1"/>
        <v>0</v>
      </c>
      <c r="O70" s="11"/>
      <c r="P70" s="2">
        <f>--19.98</f>
        <v>19.98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19.98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--984.35</f>
        <v>984.35</v>
      </c>
      <c r="E71" s="2"/>
      <c r="F71" s="19"/>
      <c r="G71" s="2"/>
      <c r="H71" s="2">
        <f>--59.85</f>
        <v>59.85</v>
      </c>
      <c r="I71" s="2"/>
      <c r="J71" s="19"/>
      <c r="K71" s="2"/>
      <c r="L71" s="2">
        <f t="shared" si="0"/>
        <v>924.5</v>
      </c>
      <c r="M71" s="2"/>
      <c r="N71" s="19">
        <f t="shared" si="1"/>
        <v>15.446950710108604</v>
      </c>
      <c r="O71" s="11"/>
      <c r="P71" s="2">
        <f>--3324.02</f>
        <v>3324.02</v>
      </c>
      <c r="Q71" s="2"/>
      <c r="R71" s="19"/>
      <c r="S71" s="2"/>
      <c r="T71" s="2">
        <f>--639.89</f>
        <v>639.89</v>
      </c>
      <c r="U71" s="2"/>
      <c r="V71" s="19"/>
      <c r="W71" s="2"/>
      <c r="X71" s="2">
        <f t="shared" si="2"/>
        <v>2684.13</v>
      </c>
      <c r="Y71" s="2"/>
      <c r="Z71" s="19">
        <f t="shared" si="3"/>
        <v>4.1946740846082919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--7688.68</f>
        <v>7688.68</v>
      </c>
      <c r="E72" s="2"/>
      <c r="F72" s="19"/>
      <c r="G72" s="2"/>
      <c r="H72" s="2">
        <f>--431.9</f>
        <v>431.9</v>
      </c>
      <c r="I72" s="2"/>
      <c r="J72" s="19"/>
      <c r="K72" s="2"/>
      <c r="L72" s="2">
        <f t="shared" si="0"/>
        <v>7256.7800000000007</v>
      </c>
      <c r="M72" s="2"/>
      <c r="N72" s="19">
        <f t="shared" si="1"/>
        <v>16.801991201667054</v>
      </c>
      <c r="O72" s="11"/>
      <c r="P72" s="2">
        <f>--7828.68</f>
        <v>7828.68</v>
      </c>
      <c r="Q72" s="2"/>
      <c r="R72" s="19"/>
      <c r="S72" s="2"/>
      <c r="T72" s="2">
        <f>--2382.85</f>
        <v>2382.85</v>
      </c>
      <c r="U72" s="2"/>
      <c r="V72" s="19"/>
      <c r="W72" s="2"/>
      <c r="X72" s="2">
        <f t="shared" si="2"/>
        <v>5445.83</v>
      </c>
      <c r="Y72" s="2"/>
      <c r="Z72" s="19">
        <f t="shared" si="3"/>
        <v>2.2854271145896723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0</f>
        <v>0</v>
      </c>
      <c r="E73" s="2"/>
      <c r="F73" s="19"/>
      <c r="G73" s="2"/>
      <c r="H73" s="2">
        <f>--25396.3</f>
        <v>25396.3</v>
      </c>
      <c r="I73" s="2"/>
      <c r="J73" s="19"/>
      <c r="K73" s="2"/>
      <c r="L73" s="2">
        <f t="shared" si="0"/>
        <v>-25396.3</v>
      </c>
      <c r="M73" s="2"/>
      <c r="N73" s="19">
        <f t="shared" si="1"/>
        <v>-1</v>
      </c>
      <c r="O73" s="11"/>
      <c r="P73" s="2">
        <f>--205908.65</f>
        <v>205908.65</v>
      </c>
      <c r="Q73" s="2"/>
      <c r="R73" s="19"/>
      <c r="S73" s="2"/>
      <c r="T73" s="2">
        <f>--285954.84</f>
        <v>285954.84000000003</v>
      </c>
      <c r="U73" s="2"/>
      <c r="V73" s="19"/>
      <c r="W73" s="2"/>
      <c r="X73" s="2">
        <f t="shared" si="2"/>
        <v>-80046.190000000031</v>
      </c>
      <c r="Y73" s="2"/>
      <c r="Z73" s="19">
        <f t="shared" si="3"/>
        <v>-0.2799259841169327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--10</f>
        <v>10</v>
      </c>
      <c r="E74" s="2"/>
      <c r="F74" s="19"/>
      <c r="G74" s="2"/>
      <c r="H74" s="2">
        <f>--30.5</f>
        <v>30.5</v>
      </c>
      <c r="I74" s="2"/>
      <c r="J74" s="19"/>
      <c r="K74" s="2"/>
      <c r="L74" s="2">
        <f t="shared" si="0"/>
        <v>-20.5</v>
      </c>
      <c r="M74" s="2"/>
      <c r="N74" s="19">
        <f t="shared" si="1"/>
        <v>-0.67213114754098358</v>
      </c>
      <c r="O74" s="11"/>
      <c r="P74" s="2">
        <f>--3446.37</f>
        <v>3446.37</v>
      </c>
      <c r="Q74" s="2"/>
      <c r="R74" s="19"/>
      <c r="S74" s="2"/>
      <c r="T74" s="2">
        <f>--928.73</f>
        <v>928.73</v>
      </c>
      <c r="U74" s="2"/>
      <c r="V74" s="19"/>
      <c r="W74" s="2"/>
      <c r="X74" s="2">
        <f t="shared" si="2"/>
        <v>2517.64</v>
      </c>
      <c r="Y74" s="2"/>
      <c r="Z74" s="19">
        <f t="shared" si="3"/>
        <v>2.710841687034983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>
        <f>-174.68</f>
        <v>-174.68</v>
      </c>
      <c r="U75" s="2"/>
      <c r="V75" s="19"/>
      <c r="W75" s="2"/>
      <c r="X75" s="2">
        <f t="shared" si="2"/>
        <v>143.71</v>
      </c>
      <c r="Y75" s="2"/>
      <c r="Z75" s="19">
        <f t="shared" si="3"/>
        <v>-0.82270437371193039</v>
      </c>
    </row>
    <row r="76" spans="1:26" s="24" customFormat="1" hidden="1" outlineLevel="1" x14ac:dyDescent="0.25">
      <c r="A76" s="44"/>
      <c r="B76" s="11" t="str">
        <f>CONCATENATE("          ", "4192", " - ", "NON-TAXABLE SALES-GRAD MERCH")</f>
        <v xml:space="preserve">          4192 - NON-TAXABLE SALES-GRAD MERCH</v>
      </c>
      <c r="C76" s="11"/>
      <c r="D76" s="2">
        <f>--119.4</f>
        <v>119.4</v>
      </c>
      <c r="E76" s="2"/>
      <c r="F76" s="19"/>
      <c r="G76" s="2"/>
      <c r="H76" s="2">
        <f>-0.75</f>
        <v>-0.75</v>
      </c>
      <c r="I76" s="2"/>
      <c r="J76" s="19"/>
      <c r="K76" s="2"/>
      <c r="L76" s="2">
        <f t="shared" si="0"/>
        <v>120.15</v>
      </c>
      <c r="M76" s="2"/>
      <c r="N76" s="19">
        <f t="shared" si="1"/>
        <v>-160.20000000000002</v>
      </c>
      <c r="O76" s="11"/>
      <c r="P76" s="2">
        <f>--119.4</f>
        <v>119.4</v>
      </c>
      <c r="Q76" s="2"/>
      <c r="R76" s="19"/>
      <c r="S76" s="2"/>
      <c r="T76" s="2">
        <f>--531.25</f>
        <v>531.25</v>
      </c>
      <c r="U76" s="2"/>
      <c r="V76" s="19"/>
      <c r="W76" s="2"/>
      <c r="X76" s="2">
        <f t="shared" si="2"/>
        <v>-411.85</v>
      </c>
      <c r="Y76" s="2"/>
      <c r="Z76" s="19">
        <f t="shared" si="3"/>
        <v>-0.7752470588235294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-228.6</f>
        <v>-228.6</v>
      </c>
      <c r="E77" s="2"/>
      <c r="F77" s="19"/>
      <c r="G77" s="2"/>
      <c r="H77" s="2">
        <f>-3052.25</f>
        <v>-3052.25</v>
      </c>
      <c r="I77" s="2"/>
      <c r="J77" s="19"/>
      <c r="K77" s="2"/>
      <c r="L77" s="2">
        <f t="shared" si="0"/>
        <v>2823.65</v>
      </c>
      <c r="M77" s="2"/>
      <c r="N77" s="19">
        <f t="shared" si="1"/>
        <v>-0.92510443115734298</v>
      </c>
      <c r="O77" s="11"/>
      <c r="P77" s="2">
        <f>-121451.61</f>
        <v>-121451.61</v>
      </c>
      <c r="Q77" s="2"/>
      <c r="R77" s="19"/>
      <c r="S77" s="2"/>
      <c r="T77" s="2">
        <f>-178747.85</f>
        <v>-178747.85</v>
      </c>
      <c r="U77" s="2"/>
      <c r="V77" s="19"/>
      <c r="W77" s="2"/>
      <c r="X77" s="2">
        <f t="shared" si="2"/>
        <v>57296.240000000005</v>
      </c>
      <c r="Y77" s="2"/>
      <c r="Z77" s="19">
        <f t="shared" si="3"/>
        <v>-0.32054226106775552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-60.4</f>
        <v>-60.4</v>
      </c>
      <c r="E78" s="2"/>
      <c r="F78" s="19"/>
      <c r="G78" s="2"/>
      <c r="H78" s="2">
        <f>-1655.5</f>
        <v>-1655.5</v>
      </c>
      <c r="I78" s="2"/>
      <c r="J78" s="19"/>
      <c r="K78" s="2"/>
      <c r="L78" s="2">
        <f t="shared" si="0"/>
        <v>1595.1</v>
      </c>
      <c r="M78" s="2"/>
      <c r="N78" s="19">
        <f t="shared" si="1"/>
        <v>-0.96351555421322854</v>
      </c>
      <c r="O78" s="11"/>
      <c r="P78" s="2">
        <f>-45613.11</f>
        <v>-45613.11</v>
      </c>
      <c r="Q78" s="2"/>
      <c r="R78" s="19"/>
      <c r="S78" s="2"/>
      <c r="T78" s="2">
        <f>-47295.45</f>
        <v>-47295.45</v>
      </c>
      <c r="U78" s="2"/>
      <c r="V78" s="19"/>
      <c r="W78" s="2"/>
      <c r="X78" s="2">
        <f t="shared" si="2"/>
        <v>1682.3399999999965</v>
      </c>
      <c r="Y78" s="2"/>
      <c r="Z78" s="19">
        <f t="shared" si="3"/>
        <v>-3.5570863582014688E-2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4" si="9"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>
        <f>-1699.5</f>
        <v>-1699.5</v>
      </c>
      <c r="U79" s="2"/>
      <c r="V79" s="19"/>
      <c r="W79" s="2"/>
      <c r="X79" s="2">
        <f t="shared" si="2"/>
        <v>1554.51</v>
      </c>
      <c r="Y79" s="2"/>
      <c r="Z79" s="19">
        <f t="shared" si="3"/>
        <v>-0.9146866725507502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9"/>
        <v>0</v>
      </c>
      <c r="E80" s="2"/>
      <c r="F80" s="19"/>
      <c r="G80" s="2"/>
      <c r="H80" s="2">
        <f>-43.25</f>
        <v>-43.25</v>
      </c>
      <c r="I80" s="2"/>
      <c r="J80" s="19"/>
      <c r="K80" s="2"/>
      <c r="L80" s="2">
        <f t="shared" si="0"/>
        <v>43.25</v>
      </c>
      <c r="M80" s="2"/>
      <c r="N80" s="19">
        <f t="shared" si="1"/>
        <v>-1</v>
      </c>
      <c r="O80" s="11"/>
      <c r="P80" s="2">
        <f>-17255.33</f>
        <v>-17255.330000000002</v>
      </c>
      <c r="Q80" s="2"/>
      <c r="R80" s="19"/>
      <c r="S80" s="2"/>
      <c r="T80" s="2">
        <f>-27102.9</f>
        <v>-27102.9</v>
      </c>
      <c r="U80" s="2"/>
      <c r="V80" s="19"/>
      <c r="W80" s="2"/>
      <c r="X80" s="2">
        <f t="shared" si="2"/>
        <v>9847.57</v>
      </c>
      <c r="Y80" s="2"/>
      <c r="Z80" s="19">
        <f t="shared" si="3"/>
        <v>-0.36334008537831741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 t="shared" si="9"/>
        <v>0</v>
      </c>
      <c r="E81" s="2"/>
      <c r="F81" s="19"/>
      <c r="G81" s="2"/>
      <c r="H81" s="2">
        <f t="shared" ref="H81:H82" si="10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-2768.67</f>
        <v>-2768.67</v>
      </c>
      <c r="Q81" s="2"/>
      <c r="R81" s="19"/>
      <c r="S81" s="2"/>
      <c r="T81" s="2">
        <f>-1548.35</f>
        <v>-1548.35</v>
      </c>
      <c r="U81" s="2"/>
      <c r="V81" s="19"/>
      <c r="W81" s="2"/>
      <c r="X81" s="2">
        <f t="shared" si="2"/>
        <v>-1220.3200000000002</v>
      </c>
      <c r="Y81" s="2"/>
      <c r="Z81" s="19">
        <f t="shared" si="3"/>
        <v>0.7881422159072563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si="9"/>
        <v>0</v>
      </c>
      <c r="E82" s="2"/>
      <c r="F82" s="19"/>
      <c r="G82" s="2"/>
      <c r="H82" s="2">
        <f t="shared" si="10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-11.94</f>
        <v>-11.94</v>
      </c>
      <c r="Q82" s="2"/>
      <c r="R82" s="19"/>
      <c r="S82" s="2"/>
      <c r="T82" s="2">
        <f>-19.84</f>
        <v>-19.84</v>
      </c>
      <c r="U82" s="2"/>
      <c r="V82" s="19"/>
      <c r="W82" s="2"/>
      <c r="X82" s="2">
        <f t="shared" si="2"/>
        <v>7.9</v>
      </c>
      <c r="Y82" s="2"/>
      <c r="Z82" s="19">
        <f t="shared" si="3"/>
        <v>-0.39818548387096775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9"/>
        <v>0</v>
      </c>
      <c r="E83" s="2"/>
      <c r="F83" s="19"/>
      <c r="G83" s="2"/>
      <c r="H83" s="2">
        <f>-1.49</f>
        <v>-1.49</v>
      </c>
      <c r="I83" s="2"/>
      <c r="J83" s="19"/>
      <c r="K83" s="2"/>
      <c r="L83" s="2">
        <f t="shared" si="0"/>
        <v>1.49</v>
      </c>
      <c r="M83" s="2"/>
      <c r="N83" s="19">
        <f t="shared" si="1"/>
        <v>-1</v>
      </c>
      <c r="O83" s="11"/>
      <c r="P83" s="2">
        <f>-2.98</f>
        <v>-2.98</v>
      </c>
      <c r="Q83" s="2"/>
      <c r="R83" s="19"/>
      <c r="S83" s="2"/>
      <c r="T83" s="2">
        <f>-2.99</f>
        <v>-2.99</v>
      </c>
      <c r="U83" s="2"/>
      <c r="V83" s="19"/>
      <c r="W83" s="2"/>
      <c r="X83" s="2">
        <f t="shared" si="2"/>
        <v>1.0000000000000231E-2</v>
      </c>
      <c r="Y83" s="2"/>
      <c r="Z83" s="19">
        <f t="shared" si="3"/>
        <v>-3.3444816053512477E-3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9"/>
        <v>0</v>
      </c>
      <c r="E84" s="2"/>
      <c r="F84" s="19"/>
      <c r="G84" s="2"/>
      <c r="H84" s="2">
        <f t="shared" ref="H84:H85" si="11"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-39.25</f>
        <v>-39.25</v>
      </c>
      <c r="Q84" s="2"/>
      <c r="R84" s="19"/>
      <c r="S84" s="2"/>
      <c r="T84" s="2">
        <f>-67.6</f>
        <v>-67.599999999999994</v>
      </c>
      <c r="U84" s="2"/>
      <c r="V84" s="19"/>
      <c r="W84" s="2"/>
      <c r="X84" s="2">
        <f t="shared" si="2"/>
        <v>28.349999999999994</v>
      </c>
      <c r="Y84" s="2"/>
      <c r="Z84" s="19">
        <f t="shared" si="3"/>
        <v>-0.41937869822485202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>-29.5</f>
        <v>-29.5</v>
      </c>
      <c r="E85" s="2"/>
      <c r="F85" s="19"/>
      <c r="G85" s="2"/>
      <c r="H85" s="2">
        <f t="shared" si="11"/>
        <v>0</v>
      </c>
      <c r="I85" s="2"/>
      <c r="J85" s="19"/>
      <c r="K85" s="2"/>
      <c r="L85" s="2">
        <f t="shared" si="0"/>
        <v>-29.5</v>
      </c>
      <c r="M85" s="2"/>
      <c r="N85" s="19">
        <f t="shared" si="1"/>
        <v>0</v>
      </c>
      <c r="O85" s="11"/>
      <c r="P85" s="2">
        <f>-205.91</f>
        <v>-205.91</v>
      </c>
      <c r="Q85" s="2"/>
      <c r="R85" s="19"/>
      <c r="S85" s="2"/>
      <c r="T85" s="2">
        <f>-187.82</f>
        <v>-187.82</v>
      </c>
      <c r="U85" s="2"/>
      <c r="V85" s="19"/>
      <c r="W85" s="2"/>
      <c r="X85" s="2">
        <f t="shared" si="2"/>
        <v>-18.090000000000003</v>
      </c>
      <c r="Y85" s="2"/>
      <c r="Z85" s="19">
        <f t="shared" si="3"/>
        <v>9.6315621339580465E-2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>-159.4</f>
        <v>-159.4</v>
      </c>
      <c r="E86" s="2"/>
      <c r="F86" s="19"/>
      <c r="G86" s="2"/>
      <c r="H86" s="2">
        <f>-51.46</f>
        <v>-51.46</v>
      </c>
      <c r="I86" s="2"/>
      <c r="J86" s="19"/>
      <c r="K86" s="2"/>
      <c r="L86" s="2">
        <f t="shared" si="0"/>
        <v>-107.94</v>
      </c>
      <c r="M86" s="2"/>
      <c r="N86" s="19">
        <f t="shared" si="1"/>
        <v>2.0975514963078119</v>
      </c>
      <c r="O86" s="11"/>
      <c r="P86" s="2">
        <f>-924.44</f>
        <v>-924.44</v>
      </c>
      <c r="Q86" s="2"/>
      <c r="R86" s="19"/>
      <c r="S86" s="2"/>
      <c r="T86" s="2">
        <f>-721.91</f>
        <v>-721.91</v>
      </c>
      <c r="U86" s="2"/>
      <c r="V86" s="19"/>
      <c r="W86" s="2"/>
      <c r="X86" s="2">
        <f t="shared" si="2"/>
        <v>-202.53000000000009</v>
      </c>
      <c r="Y86" s="2"/>
      <c r="Z86" s="19">
        <f t="shared" si="3"/>
        <v>0.28054743666107979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-53.42</f>
        <v>-53.42</v>
      </c>
      <c r="E87" s="2"/>
      <c r="F87" s="19"/>
      <c r="G87" s="2"/>
      <c r="H87" s="2">
        <f>-315.64</f>
        <v>-315.64</v>
      </c>
      <c r="I87" s="2"/>
      <c r="J87" s="19"/>
      <c r="K87" s="2"/>
      <c r="L87" s="2">
        <f t="shared" si="0"/>
        <v>262.21999999999997</v>
      </c>
      <c r="M87" s="2"/>
      <c r="N87" s="19">
        <f t="shared" si="1"/>
        <v>-0.83075655810416926</v>
      </c>
      <c r="O87" s="11"/>
      <c r="P87" s="2">
        <f>-8647.03</f>
        <v>-8647.0300000000007</v>
      </c>
      <c r="Q87" s="2"/>
      <c r="R87" s="19"/>
      <c r="S87" s="2"/>
      <c r="T87" s="2">
        <f>-6807.47</f>
        <v>-6807.47</v>
      </c>
      <c r="U87" s="2"/>
      <c r="V87" s="19"/>
      <c r="W87" s="2"/>
      <c r="X87" s="2">
        <f t="shared" si="2"/>
        <v>-1839.5600000000004</v>
      </c>
      <c r="Y87" s="2"/>
      <c r="Z87" s="19">
        <f t="shared" si="3"/>
        <v>0.27022667745873286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 t="shared" ref="D88:D90" si="12">0</f>
        <v>0</v>
      </c>
      <c r="E88" s="2"/>
      <c r="F88" s="19"/>
      <c r="G88" s="2"/>
      <c r="H88" s="2">
        <f>-267.27</f>
        <v>-267.27</v>
      </c>
      <c r="I88" s="2"/>
      <c r="J88" s="19"/>
      <c r="K88" s="2"/>
      <c r="L88" s="2">
        <f t="shared" si="0"/>
        <v>267.27</v>
      </c>
      <c r="M88" s="2"/>
      <c r="N88" s="19">
        <f t="shared" si="1"/>
        <v>-1</v>
      </c>
      <c r="O88" s="11"/>
      <c r="P88" s="2">
        <f>-4739.1</f>
        <v>-4739.1000000000004</v>
      </c>
      <c r="Q88" s="2"/>
      <c r="R88" s="19"/>
      <c r="S88" s="2"/>
      <c r="T88" s="2">
        <f>-8325.28</f>
        <v>-8325.2800000000007</v>
      </c>
      <c r="U88" s="2"/>
      <c r="V88" s="19"/>
      <c r="W88" s="2"/>
      <c r="X88" s="2">
        <f t="shared" si="2"/>
        <v>3586.1800000000003</v>
      </c>
      <c r="Y88" s="2"/>
      <c r="Z88" s="19">
        <f t="shared" si="3"/>
        <v>-0.43075788441950302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 t="shared" si="12"/>
        <v>0</v>
      </c>
      <c r="E89" s="2"/>
      <c r="F89" s="19"/>
      <c r="G89" s="2"/>
      <c r="H89" s="2">
        <f t="shared" ref="H89:H90" si="13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-8.25</f>
        <v>-8.25</v>
      </c>
      <c r="Q89" s="2"/>
      <c r="R89" s="19"/>
      <c r="S89" s="2"/>
      <c r="T89" s="2">
        <f>-3.58</f>
        <v>-3.58</v>
      </c>
      <c r="U89" s="2"/>
      <c r="V89" s="19"/>
      <c r="W89" s="2"/>
      <c r="X89" s="2">
        <f t="shared" si="2"/>
        <v>-4.67</v>
      </c>
      <c r="Y89" s="2"/>
      <c r="Z89" s="19">
        <f t="shared" si="3"/>
        <v>1.3044692737430168</v>
      </c>
    </row>
    <row r="90" spans="1:26" s="24" customFormat="1" hidden="1" outlineLevel="1" x14ac:dyDescent="0.25">
      <c r="A90" s="44"/>
      <c r="B90" s="11" t="str">
        <f>CONCATENATE("          ", "4234", " - ", "SALES RETURN TAXABLE-SODA")</f>
        <v xml:space="preserve">          4234 - SALES RETURN TAXABLE-SODA</v>
      </c>
      <c r="C90" s="11"/>
      <c r="D90" s="2">
        <f t="shared" si="12"/>
        <v>0</v>
      </c>
      <c r="E90" s="2"/>
      <c r="F90" s="19"/>
      <c r="G90" s="2"/>
      <c r="H90" s="2">
        <f t="shared" si="13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0</f>
        <v>0</v>
      </c>
      <c r="Q90" s="2"/>
      <c r="R90" s="19"/>
      <c r="S90" s="2"/>
      <c r="T90" s="2">
        <f>-5.28</f>
        <v>-5.28</v>
      </c>
      <c r="U90" s="2"/>
      <c r="V90" s="19"/>
      <c r="W90" s="2"/>
      <c r="X90" s="2">
        <f t="shared" si="2"/>
        <v>5.28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"4240", " - ", "SALES RETURN TAXABLE-LOGO CLOT")</f>
        <v xml:space="preserve">          4240 - SALES RETURN TAXABLE-LOGO CLOT</v>
      </c>
      <c r="C91" s="11"/>
      <c r="D91" s="2">
        <f>-3229.58</f>
        <v>-3229.58</v>
      </c>
      <c r="E91" s="2"/>
      <c r="F91" s="19"/>
      <c r="G91" s="2"/>
      <c r="H91" s="2">
        <f>-9632.91</f>
        <v>-9632.91</v>
      </c>
      <c r="I91" s="2"/>
      <c r="J91" s="19"/>
      <c r="K91" s="2"/>
      <c r="L91" s="2">
        <f t="shared" si="0"/>
        <v>6403.33</v>
      </c>
      <c r="M91" s="2"/>
      <c r="N91" s="19">
        <f t="shared" si="1"/>
        <v>-0.66473474785916198</v>
      </c>
      <c r="O91" s="11"/>
      <c r="P91" s="2">
        <f>-77684.77</f>
        <v>-77684.77</v>
      </c>
      <c r="Q91" s="2"/>
      <c r="R91" s="19"/>
      <c r="S91" s="2"/>
      <c r="T91" s="2">
        <f>-93504.03</f>
        <v>-93504.03</v>
      </c>
      <c r="U91" s="2"/>
      <c r="V91" s="19"/>
      <c r="W91" s="2"/>
      <c r="X91" s="2">
        <f t="shared" si="2"/>
        <v>15819.259999999995</v>
      </c>
      <c r="Y91" s="2"/>
      <c r="Z91" s="19">
        <f t="shared" si="3"/>
        <v>-0.16918265448024</v>
      </c>
    </row>
    <row r="92" spans="1:26" s="24" customFormat="1" hidden="1" outlineLevel="1" x14ac:dyDescent="0.25">
      <c r="A92" s="44"/>
      <c r="B92" s="11" t="str">
        <f>CONCATENATE("          ", "4241", " - ", "SALES RETURN TAXABLE-LOGO GIFT")</f>
        <v xml:space="preserve">          4241 - SALES RETURN TAXABLE-LOGO GIFT</v>
      </c>
      <c r="C92" s="11"/>
      <c r="D92" s="2">
        <f>-1133.39</f>
        <v>-1133.3900000000001</v>
      </c>
      <c r="E92" s="2"/>
      <c r="F92" s="19"/>
      <c r="G92" s="2"/>
      <c r="H92" s="2">
        <f>-4520.99</f>
        <v>-4520.99</v>
      </c>
      <c r="I92" s="2"/>
      <c r="J92" s="19"/>
      <c r="K92" s="2"/>
      <c r="L92" s="2">
        <f t="shared" si="0"/>
        <v>3387.5999999999995</v>
      </c>
      <c r="M92" s="2"/>
      <c r="N92" s="19">
        <f t="shared" si="1"/>
        <v>-0.74930490888057699</v>
      </c>
      <c r="O92" s="11"/>
      <c r="P92" s="2">
        <f>-7465.27</f>
        <v>-7465.27</v>
      </c>
      <c r="Q92" s="2"/>
      <c r="R92" s="19"/>
      <c r="S92" s="2"/>
      <c r="T92" s="2">
        <f>-15308.04</f>
        <v>-15308.04</v>
      </c>
      <c r="U92" s="2"/>
      <c r="V92" s="19"/>
      <c r="W92" s="2"/>
      <c r="X92" s="2">
        <f t="shared" si="2"/>
        <v>7842.77</v>
      </c>
      <c r="Y92" s="2"/>
      <c r="Z92" s="19">
        <f t="shared" si="3"/>
        <v>-0.51233012194898886</v>
      </c>
    </row>
    <row r="93" spans="1:26" s="24" customFormat="1" hidden="1" outlineLevel="1" x14ac:dyDescent="0.25">
      <c r="A93" s="44"/>
      <c r="B93" s="11" t="str">
        <f>CONCATENATE("          ", "4242", " - ", "SALES RETURN TAXABLE-EVERYDAY")</f>
        <v xml:space="preserve">          4242 - SALES RETURN TAXABLE-EVERYDAY</v>
      </c>
      <c r="C93" s="11"/>
      <c r="D93" s="2">
        <f t="shared" ref="D93:D94" si="14">0</f>
        <v>0</v>
      </c>
      <c r="E93" s="2"/>
      <c r="F93" s="19"/>
      <c r="G93" s="2"/>
      <c r="H93" s="2">
        <f>-769.19</f>
        <v>-769.19</v>
      </c>
      <c r="I93" s="2"/>
      <c r="J93" s="19"/>
      <c r="K93" s="2"/>
      <c r="L93" s="2">
        <f t="shared" si="0"/>
        <v>769.19</v>
      </c>
      <c r="M93" s="2"/>
      <c r="N93" s="19">
        <f t="shared" si="1"/>
        <v>-1</v>
      </c>
      <c r="O93" s="11"/>
      <c r="P93" s="2">
        <f>-4181.41</f>
        <v>-4181.41</v>
      </c>
      <c r="Q93" s="2"/>
      <c r="R93" s="19"/>
      <c r="S93" s="2"/>
      <c r="T93" s="2">
        <f>-5008.37</f>
        <v>-5008.37</v>
      </c>
      <c r="U93" s="2"/>
      <c r="V93" s="19"/>
      <c r="W93" s="2"/>
      <c r="X93" s="2">
        <f t="shared" si="2"/>
        <v>826.96</v>
      </c>
      <c r="Y93" s="2"/>
      <c r="Z93" s="19">
        <f t="shared" si="3"/>
        <v>-0.16511559649147328</v>
      </c>
    </row>
    <row r="94" spans="1:26" s="24" customFormat="1" hidden="1" outlineLevel="1" x14ac:dyDescent="0.25">
      <c r="A94" s="44"/>
      <c r="B94" s="11" t="str">
        <f>CONCATENATE("          ", "4243", " - ", "SALES RETURN TAXABLE-CARDS")</f>
        <v xml:space="preserve">          4243 - SALES RETURN TAXABLE-CARDS</v>
      </c>
      <c r="C94" s="11"/>
      <c r="D94" s="2">
        <f t="shared" si="14"/>
        <v>0</v>
      </c>
      <c r="E94" s="2"/>
      <c r="F94" s="19"/>
      <c r="G94" s="2"/>
      <c r="H94" s="2">
        <f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-3006.31</f>
        <v>-3006.31</v>
      </c>
      <c r="Q94" s="2"/>
      <c r="R94" s="19"/>
      <c r="S94" s="2"/>
      <c r="T94" s="2">
        <f>-25.94</f>
        <v>-25.94</v>
      </c>
      <c r="U94" s="2"/>
      <c r="V94" s="19"/>
      <c r="W94" s="2"/>
      <c r="X94" s="2">
        <f t="shared" si="2"/>
        <v>-2980.37</v>
      </c>
      <c r="Y94" s="2"/>
      <c r="Z94" s="19">
        <f t="shared" si="3"/>
        <v>114.89475713184271</v>
      </c>
    </row>
    <row r="95" spans="1:26" s="24" customFormat="1" hidden="1" outlineLevel="1" x14ac:dyDescent="0.25">
      <c r="A95" s="44"/>
      <c r="B95" s="11" t="str">
        <f>CONCATENATE("          ", "4244", " - ", "SALES RETURN TAXABLE-ACCESSORI")</f>
        <v xml:space="preserve">          4244 - SALES RETURN TAXABLE-ACCESSORI</v>
      </c>
      <c r="C95" s="11"/>
      <c r="D95" s="2">
        <f>-255.71</f>
        <v>-255.71</v>
      </c>
      <c r="E95" s="2"/>
      <c r="F95" s="19"/>
      <c r="G95" s="2"/>
      <c r="H95" s="2">
        <f>-146.8</f>
        <v>-146.80000000000001</v>
      </c>
      <c r="I95" s="2"/>
      <c r="J95" s="19"/>
      <c r="K95" s="2"/>
      <c r="L95" s="2">
        <f t="shared" si="0"/>
        <v>-108.91</v>
      </c>
      <c r="M95" s="2"/>
      <c r="N95" s="19">
        <f t="shared" si="1"/>
        <v>0.74189373297002714</v>
      </c>
      <c r="O95" s="11"/>
      <c r="P95" s="2">
        <f>-2726.41</f>
        <v>-2726.41</v>
      </c>
      <c r="Q95" s="2"/>
      <c r="R95" s="19"/>
      <c r="S95" s="2"/>
      <c r="T95" s="2">
        <f>-3976.02</f>
        <v>-3976.02</v>
      </c>
      <c r="U95" s="2"/>
      <c r="V95" s="19"/>
      <c r="W95" s="2"/>
      <c r="X95" s="2">
        <f t="shared" si="2"/>
        <v>1249.6100000000001</v>
      </c>
      <c r="Y95" s="2"/>
      <c r="Z95" s="19">
        <f t="shared" si="3"/>
        <v>-0.31428664845750276</v>
      </c>
    </row>
    <row r="96" spans="1:26" s="24" customFormat="1" hidden="1" outlineLevel="1" x14ac:dyDescent="0.25">
      <c r="A96" s="44"/>
      <c r="B96" s="11" t="str">
        <f>CONCATENATE("          ", "4245", " - ", "SALES RETURN TAXABLE-SPECIAL O")</f>
        <v xml:space="preserve">          4245 - SALES RETURN TAXABLE-SPECIAL O</v>
      </c>
      <c r="C96" s="11"/>
      <c r="D96" s="2">
        <f>-175</f>
        <v>-175</v>
      </c>
      <c r="E96" s="2"/>
      <c r="F96" s="19"/>
      <c r="G96" s="2"/>
      <c r="H96" s="2">
        <f>-1158.8</f>
        <v>-1158.8</v>
      </c>
      <c r="I96" s="2"/>
      <c r="J96" s="19"/>
      <c r="K96" s="2"/>
      <c r="L96" s="2">
        <f t="shared" si="0"/>
        <v>983.8</v>
      </c>
      <c r="M96" s="2"/>
      <c r="N96" s="19">
        <f t="shared" si="1"/>
        <v>-0.84898170521228855</v>
      </c>
      <c r="O96" s="11"/>
      <c r="P96" s="2">
        <f>-1910.03</f>
        <v>-1910.03</v>
      </c>
      <c r="Q96" s="2"/>
      <c r="R96" s="19"/>
      <c r="S96" s="2"/>
      <c r="T96" s="2">
        <f>-1910.72</f>
        <v>-1910.72</v>
      </c>
      <c r="U96" s="2"/>
      <c r="V96" s="19"/>
      <c r="W96" s="2"/>
      <c r="X96" s="2">
        <f t="shared" si="2"/>
        <v>0.69000000000005457</v>
      </c>
      <c r="Y96" s="2"/>
      <c r="Z96" s="19">
        <f t="shared" si="3"/>
        <v>-3.6112041534084249E-4</v>
      </c>
    </row>
    <row r="97" spans="1:26" s="24" customFormat="1" hidden="1" outlineLevel="1" x14ac:dyDescent="0.25">
      <c r="A97" s="44"/>
      <c r="B97" s="11" t="str">
        <f>CONCATENATE("          ", "4281", " - ", "SALES RETURN TAXABLE-ELECTRONI")</f>
        <v xml:space="preserve">          4281 - SALES RETURN TAXABLE-ELECTRONI</v>
      </c>
      <c r="C97" s="11"/>
      <c r="D97" s="2">
        <f>0</f>
        <v>0</v>
      </c>
      <c r="E97" s="2"/>
      <c r="F97" s="19"/>
      <c r="G97" s="2"/>
      <c r="H97" s="2">
        <f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-54.97</f>
        <v>-54.97</v>
      </c>
      <c r="Q97" s="2"/>
      <c r="R97" s="19"/>
      <c r="S97" s="2"/>
      <c r="T97" s="2">
        <f>-64.95</f>
        <v>-64.95</v>
      </c>
      <c r="U97" s="2"/>
      <c r="V97" s="19"/>
      <c r="W97" s="2"/>
      <c r="X97" s="2">
        <f t="shared" si="2"/>
        <v>9.980000000000004</v>
      </c>
      <c r="Y97" s="2"/>
      <c r="Z97" s="19">
        <f t="shared" si="3"/>
        <v>-0.1536566589684373</v>
      </c>
    </row>
    <row r="98" spans="1:26" s="24" customFormat="1" hidden="1" outlineLevel="1" x14ac:dyDescent="0.25">
      <c r="A98" s="44"/>
      <c r="B98" s="11" t="str">
        <f>CONCATENATE("          ", "4292", " - ", "SALES RETURN TAXABLE-GRAD MERC")</f>
        <v xml:space="preserve">          4292 - SALES RETURN TAXABLE-GRAD MERC</v>
      </c>
      <c r="C98" s="11"/>
      <c r="D98" s="2">
        <f>-64.89</f>
        <v>-64.89</v>
      </c>
      <c r="E98" s="2"/>
      <c r="F98" s="19"/>
      <c r="G98" s="2"/>
      <c r="H98" s="2">
        <f>-4549.35</f>
        <v>-4549.3500000000004</v>
      </c>
      <c r="I98" s="2"/>
      <c r="J98" s="19"/>
      <c r="K98" s="2"/>
      <c r="L98" s="2">
        <f t="shared" si="0"/>
        <v>4484.46</v>
      </c>
      <c r="M98" s="2"/>
      <c r="N98" s="19">
        <f t="shared" si="1"/>
        <v>-0.98573642388473071</v>
      </c>
      <c r="O98" s="11"/>
      <c r="P98" s="2">
        <f>-578.84</f>
        <v>-578.84</v>
      </c>
      <c r="Q98" s="2"/>
      <c r="R98" s="19"/>
      <c r="S98" s="2"/>
      <c r="T98" s="2">
        <f>-8512.31</f>
        <v>-8512.31</v>
      </c>
      <c r="U98" s="2"/>
      <c r="V98" s="19"/>
      <c r="W98" s="2"/>
      <c r="X98" s="2">
        <f t="shared" si="2"/>
        <v>7933.4699999999993</v>
      </c>
      <c r="Y98" s="2"/>
      <c r="Z98" s="19">
        <f t="shared" si="3"/>
        <v>-0.93199965696738019</v>
      </c>
    </row>
    <row r="99" spans="1:26" s="24" customFormat="1" hidden="1" outlineLevel="1" x14ac:dyDescent="0.25">
      <c r="A99" s="44"/>
      <c r="B99" s="11" t="str">
        <f>CONCATENATE("          ", "4295", " - ", "SALES RETURN TAXABLE-CUSTOMER")</f>
        <v xml:space="preserve">          4295 - SALES RETURN TAXABLE-CUSTOMER</v>
      </c>
      <c r="C99" s="11"/>
      <c r="D99" s="2">
        <f>0</f>
        <v>0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--0.99</f>
        <v>0.99</v>
      </c>
      <c r="Q99" s="2"/>
      <c r="R99" s="19"/>
      <c r="S99" s="2"/>
      <c r="T99" s="2">
        <f>-126.72</f>
        <v>-126.72</v>
      </c>
      <c r="U99" s="2"/>
      <c r="V99" s="19"/>
      <c r="W99" s="2"/>
      <c r="X99" s="2">
        <f t="shared" si="2"/>
        <v>127.71</v>
      </c>
      <c r="Y99" s="2"/>
      <c r="Z99" s="19">
        <f t="shared" si="3"/>
        <v>-1.0078125</v>
      </c>
    </row>
    <row r="100" spans="1:26" s="24" customFormat="1" hidden="1" outlineLevel="1" x14ac:dyDescent="0.25">
      <c r="A100" s="44"/>
      <c r="B100" s="11" t="str">
        <f>CONCATENATE("          ", "4301", " - ", "SALES RETURN NON TAXABLE-NEW T")</f>
        <v xml:space="preserve">          4301 - SALES RETURN NON TAXABLE-NEW T</v>
      </c>
      <c r="C100" s="11"/>
      <c r="D100" s="2">
        <f>-5710.44</f>
        <v>-5710.44</v>
      </c>
      <c r="E100" s="2"/>
      <c r="F100" s="19"/>
      <c r="G100" s="2"/>
      <c r="H100" s="2">
        <f>-1917.11</f>
        <v>-1917.11</v>
      </c>
      <c r="I100" s="2"/>
      <c r="J100" s="19"/>
      <c r="K100" s="2"/>
      <c r="L100" s="2">
        <f t="shared" si="0"/>
        <v>-3793.33</v>
      </c>
      <c r="M100" s="2"/>
      <c r="N100" s="19">
        <f t="shared" si="1"/>
        <v>1.9786710204422282</v>
      </c>
      <c r="O100" s="11"/>
      <c r="P100" s="2">
        <f>-21289.87</f>
        <v>-21289.87</v>
      </c>
      <c r="Q100" s="2"/>
      <c r="R100" s="19"/>
      <c r="S100" s="2"/>
      <c r="T100" s="2">
        <f>-51488.2</f>
        <v>-51488.2</v>
      </c>
      <c r="U100" s="2"/>
      <c r="V100" s="19"/>
      <c r="W100" s="2"/>
      <c r="X100" s="2">
        <f t="shared" si="2"/>
        <v>30198.329999999998</v>
      </c>
      <c r="Y100" s="2"/>
      <c r="Z100" s="19">
        <f t="shared" si="3"/>
        <v>-0.58650972455824835</v>
      </c>
    </row>
    <row r="101" spans="1:26" s="24" customFormat="1" hidden="1" outlineLevel="1" x14ac:dyDescent="0.25">
      <c r="A101" s="44"/>
      <c r="B101" s="11" t="str">
        <f>CONCATENATE("          ", "4302", " - ", "SALES RETURN NON TAXABLE-TEXT")</f>
        <v xml:space="preserve">          4302 - SALES RETURN NON TAXABLE-TEXT</v>
      </c>
      <c r="C101" s="11"/>
      <c r="D101" s="2">
        <f>-67.5</f>
        <v>-67.5</v>
      </c>
      <c r="E101" s="2"/>
      <c r="F101" s="19"/>
      <c r="G101" s="2"/>
      <c r="H101" s="2">
        <f>-1539.55</f>
        <v>-1539.55</v>
      </c>
      <c r="I101" s="2"/>
      <c r="J101" s="19"/>
      <c r="K101" s="2"/>
      <c r="L101" s="2">
        <f t="shared" si="0"/>
        <v>1472.05</v>
      </c>
      <c r="M101" s="2"/>
      <c r="N101" s="19">
        <f t="shared" si="1"/>
        <v>-0.95615601961612162</v>
      </c>
      <c r="O101" s="11"/>
      <c r="P101" s="2">
        <f>-1379.87</f>
        <v>-1379.87</v>
      </c>
      <c r="Q101" s="2"/>
      <c r="R101" s="19"/>
      <c r="S101" s="2"/>
      <c r="T101" s="2">
        <f>-6328.25</f>
        <v>-6328.25</v>
      </c>
      <c r="U101" s="2"/>
      <c r="V101" s="19"/>
      <c r="W101" s="2"/>
      <c r="X101" s="2">
        <f t="shared" si="2"/>
        <v>4948.38</v>
      </c>
      <c r="Y101" s="2"/>
      <c r="Z101" s="19">
        <f t="shared" si="3"/>
        <v>-0.78195077628096232</v>
      </c>
    </row>
    <row r="102" spans="1:26" s="24" customFormat="1" hidden="1" outlineLevel="1" x14ac:dyDescent="0.25">
      <c r="A102" s="44"/>
      <c r="B102" s="11" t="str">
        <f>CONCATENATE("          ", "4303", " - ", "SALES RETURN NON-TAXABLE-RENTA")</f>
        <v xml:space="preserve">          4303 - SALES RETURN NON-TAXABLE-RENTA</v>
      </c>
      <c r="C102" s="11"/>
      <c r="D102" s="2">
        <f>0</f>
        <v>0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-184.99</f>
        <v>-184.99</v>
      </c>
      <c r="Q102" s="2"/>
      <c r="R102" s="19"/>
      <c r="S102" s="2"/>
      <c r="T102" s="2">
        <f>-509.85</f>
        <v>-509.85</v>
      </c>
      <c r="U102" s="2"/>
      <c r="V102" s="19"/>
      <c r="W102" s="2"/>
      <c r="X102" s="2">
        <f t="shared" si="2"/>
        <v>324.86</v>
      </c>
      <c r="Y102" s="2"/>
      <c r="Z102" s="19">
        <f t="shared" si="3"/>
        <v>-0.63716779444934779</v>
      </c>
    </row>
    <row r="103" spans="1:26" s="24" customFormat="1" hidden="1" outlineLevel="1" x14ac:dyDescent="0.25">
      <c r="A103" s="44"/>
      <c r="B103" s="11" t="str">
        <f>CONCATENATE("          ", "4304", " - ", "SALES RETURN NON TAXABLE-DIGIT")</f>
        <v xml:space="preserve">          4304 - SALES RETURN NON TAXABLE-DIGIT</v>
      </c>
      <c r="C103" s="11"/>
      <c r="D103" s="2">
        <f>-438.2</f>
        <v>-438.2</v>
      </c>
      <c r="E103" s="2"/>
      <c r="F103" s="19"/>
      <c r="G103" s="2"/>
      <c r="H103" s="2">
        <f>-379.96</f>
        <v>-379.96</v>
      </c>
      <c r="I103" s="2"/>
      <c r="J103" s="19"/>
      <c r="K103" s="2"/>
      <c r="L103" s="2">
        <f t="shared" si="0"/>
        <v>-58.240000000000009</v>
      </c>
      <c r="M103" s="2"/>
      <c r="N103" s="19">
        <f t="shared" si="1"/>
        <v>0.15327929255711131</v>
      </c>
      <c r="O103" s="11"/>
      <c r="P103" s="2">
        <f>-19474.33</f>
        <v>-19474.330000000002</v>
      </c>
      <c r="Q103" s="2"/>
      <c r="R103" s="19"/>
      <c r="S103" s="2"/>
      <c r="T103" s="2">
        <f>-6047.96</f>
        <v>-6047.96</v>
      </c>
      <c r="U103" s="2"/>
      <c r="V103" s="19"/>
      <c r="W103" s="2"/>
      <c r="X103" s="2">
        <f t="shared" si="2"/>
        <v>-13426.370000000003</v>
      </c>
      <c r="Y103" s="2"/>
      <c r="Z103" s="19">
        <f t="shared" si="3"/>
        <v>2.2199832670851003</v>
      </c>
    </row>
    <row r="104" spans="1:26" s="24" customFormat="1" hidden="1" outlineLevel="1" x14ac:dyDescent="0.25">
      <c r="A104" s="44"/>
      <c r="B104" s="11" t="str">
        <f>CONCATENATE("          ", "4311", " - ", "SALES RETURN NON TAXABLE-NO VA")</f>
        <v xml:space="preserve">          4311 - SALES RETURN NON TAXABLE-NO VA</v>
      </c>
      <c r="C104" s="11"/>
      <c r="D104" s="2">
        <f t="shared" ref="D104:D110" si="15">0</f>
        <v>0</v>
      </c>
      <c r="E104" s="2"/>
      <c r="F104" s="19"/>
      <c r="G104" s="2"/>
      <c r="H104" s="2">
        <f>-361.71</f>
        <v>-361.71</v>
      </c>
      <c r="I104" s="2"/>
      <c r="J104" s="19"/>
      <c r="K104" s="2"/>
      <c r="L104" s="2">
        <f t="shared" si="0"/>
        <v>361.71</v>
      </c>
      <c r="M104" s="2"/>
      <c r="N104" s="19">
        <f t="shared" si="1"/>
        <v>-1</v>
      </c>
      <c r="O104" s="11"/>
      <c r="P104" s="2">
        <f>-941.28</f>
        <v>-941.28</v>
      </c>
      <c r="Q104" s="2"/>
      <c r="R104" s="19"/>
      <c r="S104" s="2"/>
      <c r="T104" s="2">
        <f>-2110.54</f>
        <v>-2110.54</v>
      </c>
      <c r="U104" s="2"/>
      <c r="V104" s="19"/>
      <c r="W104" s="2"/>
      <c r="X104" s="2">
        <f t="shared" si="2"/>
        <v>1169.26</v>
      </c>
      <c r="Y104" s="2"/>
      <c r="Z104" s="19">
        <f t="shared" si="3"/>
        <v>-0.55400987425019188</v>
      </c>
    </row>
    <row r="105" spans="1:26" s="24" customFormat="1" hidden="1" outlineLevel="1" x14ac:dyDescent="0.25">
      <c r="A105" s="44"/>
      <c r="B105" s="11" t="str">
        <f>CONCATENATE("          ", "4313", " - ", "SALES RETURN NON TAXABLE-TRADE")</f>
        <v xml:space="preserve">          4313 - SALES RETURN NON TAXABLE-TRADE</v>
      </c>
      <c r="C105" s="11"/>
      <c r="D105" s="2">
        <f t="shared" si="15"/>
        <v>0</v>
      </c>
      <c r="E105" s="2"/>
      <c r="F105" s="19"/>
      <c r="G105" s="2"/>
      <c r="H105" s="2">
        <f t="shared" ref="H105:H106" si="16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-2481.44</f>
        <v>-2481.44</v>
      </c>
      <c r="Q105" s="2"/>
      <c r="R105" s="19"/>
      <c r="S105" s="2"/>
      <c r="T105" s="2">
        <f>0</f>
        <v>0</v>
      </c>
      <c r="U105" s="2"/>
      <c r="V105" s="19"/>
      <c r="W105" s="2"/>
      <c r="X105" s="2">
        <f t="shared" si="2"/>
        <v>-2481.44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"4318", " - ", "SALES RETURN NON TAXABLE-STUDY")</f>
        <v xml:space="preserve">          4318 - SALES RETURN NON TAXABLE-STUDY</v>
      </c>
      <c r="C106" s="11"/>
      <c r="D106" s="2">
        <f t="shared" si="15"/>
        <v>0</v>
      </c>
      <c r="E106" s="2"/>
      <c r="F106" s="19"/>
      <c r="G106" s="2"/>
      <c r="H106" s="2">
        <f t="shared" si="16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 t="shared" ref="P106:P107" si="17">0</f>
        <v>0</v>
      </c>
      <c r="Q106" s="2"/>
      <c r="R106" s="19"/>
      <c r="S106" s="2"/>
      <c r="T106" s="2">
        <f>-5.04</f>
        <v>-5.04</v>
      </c>
      <c r="U106" s="2"/>
      <c r="V106" s="19"/>
      <c r="W106" s="2"/>
      <c r="X106" s="2">
        <f t="shared" si="2"/>
        <v>5.04</v>
      </c>
      <c r="Y106" s="2"/>
      <c r="Z106" s="19">
        <f t="shared" si="3"/>
        <v>-1</v>
      </c>
    </row>
    <row r="107" spans="1:26" s="24" customFormat="1" hidden="1" outlineLevel="1" x14ac:dyDescent="0.25">
      <c r="A107" s="44"/>
      <c r="B107" s="11" t="str">
        <f>CONCATENATE("          ", "4326", " - ", "SALES RETURN NON TAXABLE-WRITI")</f>
        <v xml:space="preserve">          4326 - SALES RETURN NON TAXABLE-WRITI</v>
      </c>
      <c r="C107" s="11"/>
      <c r="D107" s="2">
        <f t="shared" si="15"/>
        <v>0</v>
      </c>
      <c r="E107" s="2"/>
      <c r="F107" s="19"/>
      <c r="G107" s="2"/>
      <c r="H107" s="2">
        <f>-9.68</f>
        <v>-9.68</v>
      </c>
      <c r="I107" s="2"/>
      <c r="J107" s="19"/>
      <c r="K107" s="2"/>
      <c r="L107" s="2">
        <f t="shared" si="0"/>
        <v>9.68</v>
      </c>
      <c r="M107" s="2"/>
      <c r="N107" s="19">
        <f t="shared" si="1"/>
        <v>-1</v>
      </c>
      <c r="O107" s="11"/>
      <c r="P107" s="2">
        <f t="shared" si="17"/>
        <v>0</v>
      </c>
      <c r="Q107" s="2"/>
      <c r="R107" s="19"/>
      <c r="S107" s="2"/>
      <c r="T107" s="2">
        <f>-28.23</f>
        <v>-28.23</v>
      </c>
      <c r="U107" s="2"/>
      <c r="V107" s="19"/>
      <c r="W107" s="2"/>
      <c r="X107" s="2">
        <f t="shared" si="2"/>
        <v>28.23</v>
      </c>
      <c r="Y107" s="2"/>
      <c r="Z107" s="19">
        <f t="shared" si="3"/>
        <v>-1</v>
      </c>
    </row>
    <row r="108" spans="1:26" s="24" customFormat="1" hidden="1" outlineLevel="1" x14ac:dyDescent="0.25">
      <c r="A108" s="44"/>
      <c r="B108" s="11" t="str">
        <f>CONCATENATE("          ", "4327", " - ", "SALES RETURN NON TAXABLE-SCHOO")</f>
        <v xml:space="preserve">          4327 - SALES RETURN NON TAXABLE-SCHOO</v>
      </c>
      <c r="C108" s="11"/>
      <c r="D108" s="2">
        <f t="shared" si="15"/>
        <v>0</v>
      </c>
      <c r="E108" s="2"/>
      <c r="F108" s="19"/>
      <c r="G108" s="2"/>
      <c r="H108" s="2">
        <f t="shared" ref="H108:H110" si="18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-21.87</f>
        <v>-21.87</v>
      </c>
      <c r="Q108" s="2"/>
      <c r="R108" s="19"/>
      <c r="S108" s="2"/>
      <c r="T108" s="2">
        <f>-4.99</f>
        <v>-4.99</v>
      </c>
      <c r="U108" s="2"/>
      <c r="V108" s="19"/>
      <c r="W108" s="2"/>
      <c r="X108" s="2">
        <f t="shared" si="2"/>
        <v>-16.880000000000003</v>
      </c>
      <c r="Y108" s="2"/>
      <c r="Z108" s="19">
        <f t="shared" si="3"/>
        <v>3.3827655310621245</v>
      </c>
    </row>
    <row r="109" spans="1:26" s="24" customFormat="1" hidden="1" outlineLevel="1" x14ac:dyDescent="0.25">
      <c r="A109" s="44"/>
      <c r="B109" s="11" t="str">
        <f>CONCATENATE("          ", "4331", " - ", "SALES RETURN NON TAXABLE-FOOD")</f>
        <v xml:space="preserve">          4331 - SALES RETURN NON TAXABLE-FOOD</v>
      </c>
      <c r="C109" s="11"/>
      <c r="D109" s="2">
        <f t="shared" si="15"/>
        <v>0</v>
      </c>
      <c r="E109" s="2"/>
      <c r="F109" s="19"/>
      <c r="G109" s="2"/>
      <c r="H109" s="2">
        <f t="shared" si="18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-12.57</f>
        <v>-12.57</v>
      </c>
      <c r="Q109" s="2"/>
      <c r="R109" s="19"/>
      <c r="S109" s="2"/>
      <c r="T109" s="2">
        <f t="shared" ref="T109:T110" si="19">0</f>
        <v>0</v>
      </c>
      <c r="U109" s="2"/>
      <c r="V109" s="19"/>
      <c r="W109" s="2"/>
      <c r="X109" s="2">
        <f t="shared" si="2"/>
        <v>-12.57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"4332", " - ", "SALES RETURN NON TAXABLE-JUICE")</f>
        <v xml:space="preserve">          4332 - SALES RETURN NON TAXABLE-JUICE</v>
      </c>
      <c r="C110" s="11"/>
      <c r="D110" s="2">
        <f t="shared" si="15"/>
        <v>0</v>
      </c>
      <c r="E110" s="2"/>
      <c r="F110" s="19"/>
      <c r="G110" s="2"/>
      <c r="H110" s="2">
        <f t="shared" si="18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-2.79</f>
        <v>-2.79</v>
      </c>
      <c r="Q110" s="2"/>
      <c r="R110" s="19"/>
      <c r="S110" s="2"/>
      <c r="T110" s="2">
        <f t="shared" si="19"/>
        <v>0</v>
      </c>
      <c r="U110" s="2"/>
      <c r="V110" s="19"/>
      <c r="W110" s="2"/>
      <c r="X110" s="2">
        <f t="shared" si="2"/>
        <v>-2.79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"4340", " - ", "SALES RETURN NON TAXABLE-LOGO")</f>
        <v xml:space="preserve">          4340 - SALES RETURN NON TAXABLE-LOGO</v>
      </c>
      <c r="C111" s="11"/>
      <c r="D111" s="2">
        <f>-598.43</f>
        <v>-598.42999999999995</v>
      </c>
      <c r="E111" s="2"/>
      <c r="F111" s="19"/>
      <c r="G111" s="2"/>
      <c r="H111" s="2">
        <f>-96.85</f>
        <v>-96.85</v>
      </c>
      <c r="I111" s="2"/>
      <c r="J111" s="19"/>
      <c r="K111" s="2"/>
      <c r="L111" s="2">
        <f t="shared" si="0"/>
        <v>-501.57999999999993</v>
      </c>
      <c r="M111" s="2"/>
      <c r="N111" s="19">
        <f t="shared" si="1"/>
        <v>5.1789364997418685</v>
      </c>
      <c r="O111" s="11"/>
      <c r="P111" s="2">
        <f>-1618.83</f>
        <v>-1618.83</v>
      </c>
      <c r="Q111" s="2"/>
      <c r="R111" s="19"/>
      <c r="S111" s="2"/>
      <c r="T111" s="2">
        <f>-1035.87</f>
        <v>-1035.8699999999999</v>
      </c>
      <c r="U111" s="2"/>
      <c r="V111" s="19"/>
      <c r="W111" s="2"/>
      <c r="X111" s="2">
        <f t="shared" si="2"/>
        <v>-582.96</v>
      </c>
      <c r="Y111" s="2"/>
      <c r="Z111" s="19">
        <f t="shared" si="3"/>
        <v>0.56277332097657051</v>
      </c>
    </row>
    <row r="112" spans="1:26" s="24" customFormat="1" hidden="1" outlineLevel="1" x14ac:dyDescent="0.25">
      <c r="A112" s="44"/>
      <c r="B112" s="11" t="str">
        <f>CONCATENATE("          ", "4341", " - ", "SALES RETURN NON TAXABLE-LOGO")</f>
        <v xml:space="preserve">          4341 - SALES RETURN NON TAXABLE-LOGO</v>
      </c>
      <c r="C112" s="11"/>
      <c r="D112" s="2">
        <f>-39.95</f>
        <v>-39.950000000000003</v>
      </c>
      <c r="E112" s="2"/>
      <c r="F112" s="19"/>
      <c r="G112" s="2"/>
      <c r="H112" s="2">
        <f>-34.9</f>
        <v>-34.9</v>
      </c>
      <c r="I112" s="2"/>
      <c r="J112" s="19"/>
      <c r="K112" s="2"/>
      <c r="L112" s="2">
        <f t="shared" si="0"/>
        <v>-5.0500000000000043</v>
      </c>
      <c r="M112" s="2"/>
      <c r="N112" s="19">
        <f t="shared" si="1"/>
        <v>0.14469914040114626</v>
      </c>
      <c r="O112" s="11"/>
      <c r="P112" s="2">
        <f>-285.45</f>
        <v>-285.45</v>
      </c>
      <c r="Q112" s="2"/>
      <c r="R112" s="19"/>
      <c r="S112" s="2"/>
      <c r="T112" s="2">
        <f>-292.85</f>
        <v>-292.85000000000002</v>
      </c>
      <c r="U112" s="2"/>
      <c r="V112" s="19"/>
      <c r="W112" s="2"/>
      <c r="X112" s="2">
        <f t="shared" si="2"/>
        <v>7.4000000000000341</v>
      </c>
      <c r="Y112" s="2"/>
      <c r="Z112" s="19">
        <f t="shared" si="3"/>
        <v>-2.5268908997780549E-2</v>
      </c>
    </row>
    <row r="113" spans="1:26" s="24" customFormat="1" hidden="1" outlineLevel="1" x14ac:dyDescent="0.25">
      <c r="A113" s="44"/>
      <c r="B113" s="11" t="str">
        <f>CONCATENATE("          ", "4342", " - ", "SALES RETURN NON TAXABLE-EVERY")</f>
        <v xml:space="preserve">          4342 - SALES RETURN NON TAXABLE-EVERY</v>
      </c>
      <c r="C113" s="11"/>
      <c r="D113" s="2">
        <f t="shared" ref="D113:D115" si="20">0</f>
        <v>0</v>
      </c>
      <c r="E113" s="2"/>
      <c r="F113" s="19"/>
      <c r="G113" s="2"/>
      <c r="H113" s="2">
        <f t="shared" ref="H113:H115" si="21"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-149.22</f>
        <v>-149.22</v>
      </c>
      <c r="Q113" s="2"/>
      <c r="R113" s="19"/>
      <c r="S113" s="2"/>
      <c r="T113" s="2">
        <f>-103.6</f>
        <v>-103.6</v>
      </c>
      <c r="U113" s="2"/>
      <c r="V113" s="19"/>
      <c r="W113" s="2"/>
      <c r="X113" s="2">
        <f t="shared" si="2"/>
        <v>-45.620000000000005</v>
      </c>
      <c r="Y113" s="2"/>
      <c r="Z113" s="19">
        <f t="shared" si="3"/>
        <v>0.44034749034749043</v>
      </c>
    </row>
    <row r="114" spans="1:26" s="24" customFormat="1" hidden="1" outlineLevel="1" x14ac:dyDescent="0.25">
      <c r="A114" s="44"/>
      <c r="B114" s="11" t="str">
        <f>CONCATENATE("          ", "4346", " - ", "SALES RETURN NON TAXABLE-COIN-")</f>
        <v xml:space="preserve">          4346 - SALES RETURN NON TAXABLE-COIN-</v>
      </c>
      <c r="C114" s="11"/>
      <c r="D114" s="2">
        <f t="shared" si="20"/>
        <v>0</v>
      </c>
      <c r="E114" s="2"/>
      <c r="F114" s="19"/>
      <c r="G114" s="2"/>
      <c r="H114" s="2">
        <f t="shared" si="21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-8.15</f>
        <v>-8.15</v>
      </c>
      <c r="Q114" s="2"/>
      <c r="R114" s="19"/>
      <c r="S114" s="2"/>
      <c r="T114" s="2">
        <f t="shared" ref="T114:T115" si="22">0</f>
        <v>0</v>
      </c>
      <c r="U114" s="2"/>
      <c r="V114" s="19"/>
      <c r="W114" s="2"/>
      <c r="X114" s="2">
        <f t="shared" si="2"/>
        <v>-8.15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"4347", " - ", "SALES RETURN NON TAXABLE-MISC")</f>
        <v xml:space="preserve">          4347 - SALES RETURN NON TAXABLE-MISC</v>
      </c>
      <c r="C115" s="11"/>
      <c r="D115" s="2">
        <f t="shared" si="20"/>
        <v>0</v>
      </c>
      <c r="E115" s="2"/>
      <c r="F115" s="19"/>
      <c r="G115" s="2"/>
      <c r="H115" s="2">
        <f t="shared" si="21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-84</f>
        <v>-84</v>
      </c>
      <c r="Q115" s="2"/>
      <c r="R115" s="19"/>
      <c r="S115" s="2"/>
      <c r="T115" s="2">
        <f t="shared" si="22"/>
        <v>0</v>
      </c>
      <c r="U115" s="2"/>
      <c r="V115" s="19"/>
      <c r="W115" s="2"/>
      <c r="X115" s="2">
        <f t="shared" si="2"/>
        <v>-84</v>
      </c>
      <c r="Y115" s="2"/>
      <c r="Z115" s="19">
        <f t="shared" si="3"/>
        <v>0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collapsed="1" x14ac:dyDescent="0.25">
      <c r="A117" s="10"/>
      <c r="B117" s="28" t="s">
        <v>8</v>
      </c>
      <c r="C117" s="10"/>
      <c r="D117" s="4">
        <f>SUM(OSRRefD16x_0)</f>
        <v>154827.63000000003</v>
      </c>
      <c r="E117" s="4"/>
      <c r="F117" s="12">
        <f t="shared" ref="F117:F168" si="23">IF(D$12=0,0,D117/D$12)</f>
        <v>0.58729088086749426</v>
      </c>
      <c r="G117" s="4"/>
      <c r="H117" s="4">
        <f>SUM(OSRRefH16x_0)</f>
        <v>367551.19000000006</v>
      </c>
      <c r="I117" s="4"/>
      <c r="J117" s="12">
        <f t="shared" ref="J117:J168" si="24">IF(H$12=0,0,H117/H$12)</f>
        <v>0.46686671437316474</v>
      </c>
      <c r="K117" s="4"/>
      <c r="L117" s="4">
        <f t="shared" ref="L117:L168" si="25">+D117-H117</f>
        <v>-212723.56000000003</v>
      </c>
      <c r="M117" s="4"/>
      <c r="N117" s="12">
        <f t="shared" ref="N117:N168" si="26">IF(H117=0,0,L117/H117)</f>
        <v>-0.57875900224945531</v>
      </c>
      <c r="O117" s="10"/>
      <c r="P117" s="4">
        <f>SUM(OSRRefP16x_0)</f>
        <v>5247181.540000001</v>
      </c>
      <c r="Q117" s="4"/>
      <c r="R117" s="12">
        <f t="shared" ref="R117:R168" si="27">IF(P$12=0,0,P117/P$12)</f>
        <v>0.5812921310532414</v>
      </c>
      <c r="S117" s="4"/>
      <c r="T117" s="4">
        <f>SUM(OSRRefT16x_0)</f>
        <v>6453143.5199999996</v>
      </c>
      <c r="U117" s="4"/>
      <c r="V117" s="12">
        <f t="shared" ref="V117:V168" si="28">IF(T$12=0,0,T117/T$12)</f>
        <v>0.5748102157702708</v>
      </c>
      <c r="W117" s="4"/>
      <c r="X117" s="4">
        <f t="shared" ref="X117:X168" si="29">+P117-T117</f>
        <v>-1205961.9799999986</v>
      </c>
      <c r="Y117" s="4"/>
      <c r="Z117" s="12">
        <f t="shared" ref="Z117:Z168" si="30">IF(T117=0,0,X117/T117)</f>
        <v>-0.18687977049672044</v>
      </c>
    </row>
    <row r="118" spans="1:26" s="24" customFormat="1" hidden="1" outlineLevel="1" x14ac:dyDescent="0.25">
      <c r="A118" s="44"/>
      <c r="B118" s="11" t="str">
        <f>CONCATENATE("          ", "5000", " - ", "PURCHASES @ COST")</f>
        <v xml:space="preserve">          5000 - PURCHASES @ COST</v>
      </c>
      <c r="C118" s="11"/>
      <c r="D118" s="2"/>
      <c r="E118" s="2"/>
      <c r="F118" s="19">
        <f t="shared" si="23"/>
        <v>0</v>
      </c>
      <c r="G118" s="2"/>
      <c r="H118" s="2"/>
      <c r="I118" s="2"/>
      <c r="J118" s="19">
        <f t="shared" si="24"/>
        <v>0</v>
      </c>
      <c r="K118" s="2"/>
      <c r="L118" s="2">
        <f t="shared" si="25"/>
        <v>0</v>
      </c>
      <c r="M118" s="2"/>
      <c r="N118" s="19">
        <f t="shared" si="26"/>
        <v>0</v>
      </c>
      <c r="O118" s="11"/>
      <c r="P118" s="2"/>
      <c r="Q118" s="2"/>
      <c r="R118" s="19">
        <f t="shared" si="27"/>
        <v>0</v>
      </c>
      <c r="S118" s="2"/>
      <c r="T118" s="2">
        <v>1020</v>
      </c>
      <c r="U118" s="2"/>
      <c r="V118" s="19">
        <f t="shared" si="28"/>
        <v>9.0855939941294879E-5</v>
      </c>
      <c r="W118" s="2"/>
      <c r="X118" s="2">
        <f t="shared" si="29"/>
        <v>-1020</v>
      </c>
      <c r="Y118" s="2"/>
      <c r="Z118" s="19">
        <f t="shared" si="30"/>
        <v>-1</v>
      </c>
    </row>
    <row r="119" spans="1:26" s="24" customFormat="1" hidden="1" outlineLevel="1" x14ac:dyDescent="0.25">
      <c r="A119" s="44"/>
      <c r="B119" s="11" t="str">
        <f>CONCATENATE("          ", "5001", " - ", "PURCHASES @ COST-NEW TEXT")</f>
        <v xml:space="preserve">          5001 - PURCHASES @ COST-NEW TEXT</v>
      </c>
      <c r="C119" s="11"/>
      <c r="D119" s="2">
        <v>71528.210000000006</v>
      </c>
      <c r="E119" s="2"/>
      <c r="F119" s="19">
        <f t="shared" si="23"/>
        <v>0.27132021240507981</v>
      </c>
      <c r="G119" s="2"/>
      <c r="H119" s="2">
        <v>70445.34</v>
      </c>
      <c r="I119" s="2"/>
      <c r="J119" s="19">
        <f t="shared" si="24"/>
        <v>8.948028281094797E-2</v>
      </c>
      <c r="K119" s="2"/>
      <c r="L119" s="2">
        <f t="shared" si="25"/>
        <v>1082.8700000000099</v>
      </c>
      <c r="M119" s="2"/>
      <c r="N119" s="19">
        <f t="shared" si="26"/>
        <v>1.5371776188460584E-2</v>
      </c>
      <c r="O119" s="11"/>
      <c r="P119" s="2">
        <v>1641280.46</v>
      </c>
      <c r="Q119" s="2"/>
      <c r="R119" s="19">
        <f t="shared" si="27"/>
        <v>0.18182397711542569</v>
      </c>
      <c r="S119" s="2"/>
      <c r="T119" s="2">
        <v>2396173.7599999998</v>
      </c>
      <c r="U119" s="2"/>
      <c r="V119" s="19">
        <f t="shared" si="28"/>
        <v>0.21343786198771247</v>
      </c>
      <c r="W119" s="2"/>
      <c r="X119" s="2">
        <f t="shared" si="29"/>
        <v>-754893.29999999981</v>
      </c>
      <c r="Y119" s="2"/>
      <c r="Z119" s="19">
        <f t="shared" si="30"/>
        <v>-0.3150411345794889</v>
      </c>
    </row>
    <row r="120" spans="1:26" s="24" customFormat="1" hidden="1" outlineLevel="1" x14ac:dyDescent="0.25">
      <c r="A120" s="44"/>
      <c r="B120" s="11" t="str">
        <f>CONCATENATE("          ", "5002", " - ", "PURCHASES @ COST-USED TEXT")</f>
        <v xml:space="preserve">          5002 - PURCHASES @ COST-USED TEXT</v>
      </c>
      <c r="C120" s="11"/>
      <c r="D120" s="2">
        <v>14738.6</v>
      </c>
      <c r="E120" s="2"/>
      <c r="F120" s="19">
        <f t="shared" si="23"/>
        <v>5.5906335172563514E-2</v>
      </c>
      <c r="G120" s="2"/>
      <c r="H120" s="2">
        <v>25018.82</v>
      </c>
      <c r="I120" s="2"/>
      <c r="J120" s="19">
        <f t="shared" si="24"/>
        <v>3.1779122496906134E-2</v>
      </c>
      <c r="K120" s="2"/>
      <c r="L120" s="2">
        <f t="shared" si="25"/>
        <v>-10280.219999999999</v>
      </c>
      <c r="M120" s="2"/>
      <c r="N120" s="19">
        <f t="shared" si="26"/>
        <v>-0.41089947487531386</v>
      </c>
      <c r="O120" s="11"/>
      <c r="P120" s="2">
        <v>610321.38</v>
      </c>
      <c r="Q120" s="2"/>
      <c r="R120" s="19">
        <f t="shared" si="27"/>
        <v>6.7612491182753157E-2</v>
      </c>
      <c r="S120" s="2"/>
      <c r="T120" s="2">
        <v>433062.37</v>
      </c>
      <c r="U120" s="2"/>
      <c r="V120" s="19">
        <f t="shared" si="28"/>
        <v>3.8574792823092965E-2</v>
      </c>
      <c r="W120" s="2"/>
      <c r="X120" s="2">
        <f t="shared" si="29"/>
        <v>177259.01</v>
      </c>
      <c r="Y120" s="2"/>
      <c r="Z120" s="19">
        <f t="shared" si="30"/>
        <v>0.40931519863986338</v>
      </c>
    </row>
    <row r="121" spans="1:26" s="24" customFormat="1" hidden="1" outlineLevel="1" x14ac:dyDescent="0.25">
      <c r="A121" s="44"/>
      <c r="B121" s="11" t="str">
        <f>CONCATENATE("          ", "5003", " - ", "PURCHASES @ COST-RENTAL TEXT")</f>
        <v xml:space="preserve">          5003 - PURCHASES @ COST-RENTAL TEXT</v>
      </c>
      <c r="C121" s="11"/>
      <c r="D121" s="2"/>
      <c r="E121" s="2"/>
      <c r="F121" s="19">
        <f t="shared" si="23"/>
        <v>0</v>
      </c>
      <c r="G121" s="2"/>
      <c r="H121" s="2"/>
      <c r="I121" s="2"/>
      <c r="J121" s="19">
        <f t="shared" si="24"/>
        <v>0</v>
      </c>
      <c r="K121" s="2"/>
      <c r="L121" s="2">
        <f t="shared" si="25"/>
        <v>0</v>
      </c>
      <c r="M121" s="2"/>
      <c r="N121" s="19">
        <f t="shared" si="26"/>
        <v>0</v>
      </c>
      <c r="O121" s="11"/>
      <c r="P121" s="2">
        <v>-78.400000000000006</v>
      </c>
      <c r="Q121" s="2"/>
      <c r="R121" s="19">
        <f t="shared" si="27"/>
        <v>-8.6852918518565543E-6</v>
      </c>
      <c r="S121" s="2"/>
      <c r="T121" s="2">
        <v>15629.58</v>
      </c>
      <c r="U121" s="2"/>
      <c r="V121" s="19">
        <f t="shared" si="28"/>
        <v>1.3921962566545722E-3</v>
      </c>
      <c r="W121" s="2"/>
      <c r="X121" s="2">
        <f t="shared" si="29"/>
        <v>-15707.98</v>
      </c>
      <c r="Y121" s="2"/>
      <c r="Z121" s="19">
        <f t="shared" si="30"/>
        <v>-1.0050161296720705</v>
      </c>
    </row>
    <row r="122" spans="1:26" s="24" customFormat="1" hidden="1" outlineLevel="1" x14ac:dyDescent="0.25">
      <c r="A122" s="44"/>
      <c r="B122" s="11" t="str">
        <f>CONCATENATE("          ", "5004", " - ", "PURCHASES @ COST-DIGITAL TEXT")</f>
        <v xml:space="preserve">          5004 - PURCHASES @ COST-DIGITAL TEXT</v>
      </c>
      <c r="C122" s="11"/>
      <c r="D122" s="2">
        <v>-46518.259999999995</v>
      </c>
      <c r="E122" s="2"/>
      <c r="F122" s="19">
        <f t="shared" si="23"/>
        <v>-0.17645267767660794</v>
      </c>
      <c r="G122" s="2"/>
      <c r="H122" s="2">
        <v>17888.12</v>
      </c>
      <c r="I122" s="2"/>
      <c r="J122" s="19">
        <f t="shared" si="24"/>
        <v>2.2721645414106519E-2</v>
      </c>
      <c r="K122" s="2"/>
      <c r="L122" s="2">
        <f t="shared" si="25"/>
        <v>-64406.37999999999</v>
      </c>
      <c r="M122" s="2"/>
      <c r="N122" s="19">
        <f t="shared" si="26"/>
        <v>-3.6005114008626951</v>
      </c>
      <c r="O122" s="11"/>
      <c r="P122" s="2">
        <v>446269.65</v>
      </c>
      <c r="Q122" s="2"/>
      <c r="R122" s="19">
        <f t="shared" si="27"/>
        <v>4.9438547893824951E-2</v>
      </c>
      <c r="S122" s="2"/>
      <c r="T122" s="2">
        <v>501578.98</v>
      </c>
      <c r="U122" s="2"/>
      <c r="V122" s="19">
        <f t="shared" si="28"/>
        <v>4.4677872237937198E-2</v>
      </c>
      <c r="W122" s="2"/>
      <c r="X122" s="2">
        <f t="shared" si="29"/>
        <v>-55309.329999999958</v>
      </c>
      <c r="Y122" s="2"/>
      <c r="Z122" s="19">
        <f t="shared" si="30"/>
        <v>-0.11027043039164033</v>
      </c>
    </row>
    <row r="123" spans="1:26" s="24" customFormat="1" hidden="1" outlineLevel="1" x14ac:dyDescent="0.25">
      <c r="A123" s="44"/>
      <c r="B123" s="11" t="str">
        <f>CONCATENATE("          ", "5011", " - ", "PURCHASES @ COST-NO VALUE TEXT")</f>
        <v xml:space="preserve">          5011 - PURCHASES @ COST-NO VALUE TEXT</v>
      </c>
      <c r="C123" s="11"/>
      <c r="D123" s="2"/>
      <c r="E123" s="2"/>
      <c r="F123" s="19">
        <f t="shared" si="23"/>
        <v>0</v>
      </c>
      <c r="G123" s="2"/>
      <c r="H123" s="2">
        <v>237</v>
      </c>
      <c r="I123" s="2"/>
      <c r="J123" s="19">
        <f t="shared" si="24"/>
        <v>3.01039458766111E-4</v>
      </c>
      <c r="K123" s="2"/>
      <c r="L123" s="2">
        <f t="shared" si="25"/>
        <v>-237</v>
      </c>
      <c r="M123" s="2"/>
      <c r="N123" s="19">
        <f t="shared" si="26"/>
        <v>-1</v>
      </c>
      <c r="O123" s="11"/>
      <c r="P123" s="2">
        <v>6363</v>
      </c>
      <c r="Q123" s="2"/>
      <c r="R123" s="19">
        <f t="shared" si="27"/>
        <v>7.0490449047657202E-4</v>
      </c>
      <c r="S123" s="2"/>
      <c r="T123" s="2">
        <v>3744</v>
      </c>
      <c r="U123" s="2"/>
      <c r="V123" s="19">
        <f t="shared" si="28"/>
        <v>3.3349474425510594E-4</v>
      </c>
      <c r="W123" s="2"/>
      <c r="X123" s="2">
        <f t="shared" si="29"/>
        <v>2619</v>
      </c>
      <c r="Y123" s="2"/>
      <c r="Z123" s="19">
        <f t="shared" si="30"/>
        <v>0.69951923076923073</v>
      </c>
    </row>
    <row r="124" spans="1:26" s="24" customFormat="1" hidden="1" outlineLevel="1" x14ac:dyDescent="0.25">
      <c r="A124" s="44"/>
      <c r="B124" s="11" t="str">
        <f>CONCATENATE("          ", "5013", " - ", "PURCHASES @ COST-TRADE BOOKS")</f>
        <v xml:space="preserve">          5013 - PURCHASES @ COST-TRADE BOOKS</v>
      </c>
      <c r="C124" s="11"/>
      <c r="D124" s="2"/>
      <c r="E124" s="2"/>
      <c r="F124" s="19">
        <f t="shared" si="23"/>
        <v>0</v>
      </c>
      <c r="G124" s="2"/>
      <c r="H124" s="2">
        <v>-265.93</v>
      </c>
      <c r="I124" s="2"/>
      <c r="J124" s="19">
        <f t="shared" si="24"/>
        <v>-3.37786596074565E-4</v>
      </c>
      <c r="K124" s="2"/>
      <c r="L124" s="2">
        <f t="shared" si="25"/>
        <v>265.93</v>
      </c>
      <c r="M124" s="2"/>
      <c r="N124" s="19">
        <f t="shared" si="26"/>
        <v>-1</v>
      </c>
      <c r="O124" s="11"/>
      <c r="P124" s="2">
        <v>3197.85</v>
      </c>
      <c r="Q124" s="2"/>
      <c r="R124" s="19">
        <f t="shared" si="27"/>
        <v>3.5426352740381984E-4</v>
      </c>
      <c r="S124" s="2"/>
      <c r="T124" s="2">
        <v>5875.74</v>
      </c>
      <c r="U124" s="2"/>
      <c r="V124" s="19">
        <f t="shared" si="28"/>
        <v>5.2337831426535681E-4</v>
      </c>
      <c r="W124" s="2"/>
      <c r="X124" s="2">
        <f t="shared" si="29"/>
        <v>-2677.89</v>
      </c>
      <c r="Y124" s="2"/>
      <c r="Z124" s="19">
        <f t="shared" si="30"/>
        <v>-0.45575365826261882</v>
      </c>
    </row>
    <row r="125" spans="1:26" s="24" customFormat="1" hidden="1" outlineLevel="1" x14ac:dyDescent="0.25">
      <c r="A125" s="44"/>
      <c r="B125" s="11" t="str">
        <f>CONCATENATE("          ", "5014", " - ", "PURCHASES @ COST-REMAINDERS")</f>
        <v xml:space="preserve">          5014 - PURCHASES @ COST-REMAINDERS</v>
      </c>
      <c r="C125" s="11"/>
      <c r="D125" s="2"/>
      <c r="E125" s="2"/>
      <c r="F125" s="19">
        <f t="shared" si="23"/>
        <v>0</v>
      </c>
      <c r="G125" s="2"/>
      <c r="H125" s="2">
        <v>76.91</v>
      </c>
      <c r="I125" s="2"/>
      <c r="J125" s="19">
        <f t="shared" si="24"/>
        <v>9.7691750100006736E-5</v>
      </c>
      <c r="K125" s="2"/>
      <c r="L125" s="2">
        <f t="shared" si="25"/>
        <v>-76.91</v>
      </c>
      <c r="M125" s="2"/>
      <c r="N125" s="19">
        <f t="shared" si="26"/>
        <v>-1</v>
      </c>
      <c r="O125" s="11"/>
      <c r="P125" s="2">
        <v>615.07000000000005</v>
      </c>
      <c r="Q125" s="2"/>
      <c r="R125" s="19">
        <f t="shared" si="27"/>
        <v>6.8138551777058808E-5</v>
      </c>
      <c r="S125" s="2"/>
      <c r="T125" s="2">
        <v>1199.07</v>
      </c>
      <c r="U125" s="2"/>
      <c r="V125" s="19">
        <f t="shared" si="28"/>
        <v>1.0680650186804749E-4</v>
      </c>
      <c r="W125" s="2"/>
      <c r="X125" s="2">
        <f t="shared" si="29"/>
        <v>-583.99999999999989</v>
      </c>
      <c r="Y125" s="2"/>
      <c r="Z125" s="19">
        <f t="shared" si="30"/>
        <v>-0.48704412586421136</v>
      </c>
    </row>
    <row r="126" spans="1:26" s="24" customFormat="1" hidden="1" outlineLevel="1" x14ac:dyDescent="0.25">
      <c r="A126" s="44"/>
      <c r="B126" s="11" t="str">
        <f>CONCATENATE("          ", "5017", " - ", "PURCHASES @ COST-DORM/HOUSEWAR")</f>
        <v xml:space="preserve">          5017 - PURCHASES @ COST-DORM/HOUSEWAR</v>
      </c>
      <c r="C126" s="11"/>
      <c r="D126" s="2"/>
      <c r="E126" s="2"/>
      <c r="F126" s="19">
        <f t="shared" si="23"/>
        <v>0</v>
      </c>
      <c r="G126" s="2"/>
      <c r="H126" s="2"/>
      <c r="I126" s="2"/>
      <c r="J126" s="19">
        <f t="shared" si="24"/>
        <v>0</v>
      </c>
      <c r="K126" s="2"/>
      <c r="L126" s="2">
        <f t="shared" si="25"/>
        <v>0</v>
      </c>
      <c r="M126" s="2"/>
      <c r="N126" s="19">
        <f t="shared" si="26"/>
        <v>0</v>
      </c>
      <c r="O126" s="11"/>
      <c r="P126" s="2">
        <v>14.46</v>
      </c>
      <c r="Q126" s="2"/>
      <c r="R126" s="19">
        <f t="shared" si="27"/>
        <v>1.6019045941051755E-6</v>
      </c>
      <c r="S126" s="2"/>
      <c r="T126" s="2">
        <v>239.9</v>
      </c>
      <c r="U126" s="2"/>
      <c r="V126" s="19">
        <f t="shared" si="28"/>
        <v>2.1368960776388867E-5</v>
      </c>
      <c r="W126" s="2"/>
      <c r="X126" s="2">
        <f t="shared" si="29"/>
        <v>-225.44</v>
      </c>
      <c r="Y126" s="2"/>
      <c r="Z126" s="19">
        <f t="shared" si="30"/>
        <v>-0.93972488536890364</v>
      </c>
    </row>
    <row r="127" spans="1:26" s="24" customFormat="1" hidden="1" outlineLevel="1" x14ac:dyDescent="0.25">
      <c r="A127" s="44"/>
      <c r="B127" s="11" t="str">
        <f>CONCATENATE("          ", "5018", " - ", "PURCHASES @ COST-STUDY GUIDES")</f>
        <v xml:space="preserve">          5018 - PURCHASES @ COST-STUDY GUIDES</v>
      </c>
      <c r="C127" s="11"/>
      <c r="D127" s="2"/>
      <c r="E127" s="2"/>
      <c r="F127" s="19">
        <f t="shared" si="23"/>
        <v>0</v>
      </c>
      <c r="G127" s="2"/>
      <c r="H127" s="2">
        <v>289.08</v>
      </c>
      <c r="I127" s="2"/>
      <c r="J127" s="19">
        <f t="shared" si="24"/>
        <v>3.671919271734488E-4</v>
      </c>
      <c r="K127" s="2"/>
      <c r="L127" s="2">
        <f t="shared" si="25"/>
        <v>-289.08</v>
      </c>
      <c r="M127" s="2"/>
      <c r="N127" s="19">
        <f t="shared" si="26"/>
        <v>-1</v>
      </c>
      <c r="O127" s="11"/>
      <c r="P127" s="2">
        <v>-205.14</v>
      </c>
      <c r="Q127" s="2"/>
      <c r="R127" s="19">
        <f t="shared" si="27"/>
        <v>-2.2725775133799147E-5</v>
      </c>
      <c r="S127" s="2"/>
      <c r="T127" s="2">
        <v>2683</v>
      </c>
      <c r="U127" s="2"/>
      <c r="V127" s="19">
        <f t="shared" si="28"/>
        <v>2.3898675182597466E-4</v>
      </c>
      <c r="W127" s="2"/>
      <c r="X127" s="2">
        <f t="shared" si="29"/>
        <v>-2888.14</v>
      </c>
      <c r="Y127" s="2"/>
      <c r="Z127" s="19">
        <f t="shared" si="30"/>
        <v>-1.0764591874767051</v>
      </c>
    </row>
    <row r="128" spans="1:26" s="24" customFormat="1" hidden="1" outlineLevel="1" x14ac:dyDescent="0.25">
      <c r="A128" s="44"/>
      <c r="B128" s="11" t="str">
        <f>CONCATENATE("          ", "5025", " - ", "PURCHASES @ COST-TEST FORMS")</f>
        <v xml:space="preserve">          5025 - PURCHASES @ COST-TEST FORMS</v>
      </c>
      <c r="C128" s="11"/>
      <c r="D128" s="2"/>
      <c r="E128" s="2"/>
      <c r="F128" s="19">
        <f t="shared" si="23"/>
        <v>0</v>
      </c>
      <c r="G128" s="2"/>
      <c r="H128" s="2">
        <v>1711.75</v>
      </c>
      <c r="I128" s="2"/>
      <c r="J128" s="19">
        <f t="shared" si="24"/>
        <v>2.1742797195902553E-3</v>
      </c>
      <c r="K128" s="2"/>
      <c r="L128" s="2">
        <f t="shared" si="25"/>
        <v>-1711.75</v>
      </c>
      <c r="M128" s="2"/>
      <c r="N128" s="19">
        <f t="shared" si="26"/>
        <v>-1</v>
      </c>
      <c r="O128" s="11"/>
      <c r="P128" s="2">
        <v>26400.390000000003</v>
      </c>
      <c r="Q128" s="2"/>
      <c r="R128" s="19">
        <f t="shared" si="27"/>
        <v>2.9246822978677965E-3</v>
      </c>
      <c r="S128" s="2"/>
      <c r="T128" s="2">
        <v>21282.6</v>
      </c>
      <c r="U128" s="2"/>
      <c r="V128" s="19">
        <f t="shared" si="28"/>
        <v>1.8957359092103944E-3</v>
      </c>
      <c r="W128" s="2"/>
      <c r="X128" s="2">
        <f t="shared" si="29"/>
        <v>5117.7900000000045</v>
      </c>
      <c r="Y128" s="2"/>
      <c r="Z128" s="19">
        <f t="shared" si="30"/>
        <v>0.24046826985424735</v>
      </c>
    </row>
    <row r="129" spans="1:26" s="24" customFormat="1" hidden="1" outlineLevel="1" x14ac:dyDescent="0.25">
      <c r="A129" s="44"/>
      <c r="B129" s="11" t="str">
        <f>CONCATENATE("          ", "5026", " - ", "PURCHASES @ COST-WRITING INSTR")</f>
        <v xml:space="preserve">          5026 - PURCHASES @ COST-WRITING INSTR</v>
      </c>
      <c r="C129" s="11"/>
      <c r="D129" s="2">
        <v>-7248</v>
      </c>
      <c r="E129" s="2"/>
      <c r="F129" s="19">
        <f t="shared" si="23"/>
        <v>-2.7493053433212129E-2</v>
      </c>
      <c r="G129" s="2"/>
      <c r="H129" s="2">
        <v>4449.1499999999996</v>
      </c>
      <c r="I129" s="2"/>
      <c r="J129" s="19">
        <f t="shared" si="24"/>
        <v>5.6513489787731758E-3</v>
      </c>
      <c r="K129" s="2"/>
      <c r="L129" s="2">
        <f t="shared" si="25"/>
        <v>-11697.15</v>
      </c>
      <c r="M129" s="2"/>
      <c r="N129" s="19">
        <f t="shared" si="26"/>
        <v>-2.6290752166144098</v>
      </c>
      <c r="O129" s="11"/>
      <c r="P129" s="2">
        <v>44186.57</v>
      </c>
      <c r="Q129" s="2"/>
      <c r="R129" s="19">
        <f t="shared" si="27"/>
        <v>4.895067045695015E-3</v>
      </c>
      <c r="S129" s="2"/>
      <c r="T129" s="2">
        <v>54078.76</v>
      </c>
      <c r="U129" s="2"/>
      <c r="V129" s="19">
        <f t="shared" si="28"/>
        <v>4.8170358535879415E-3</v>
      </c>
      <c r="W129" s="2"/>
      <c r="X129" s="2">
        <f t="shared" si="29"/>
        <v>-9892.1900000000023</v>
      </c>
      <c r="Y129" s="2"/>
      <c r="Z129" s="19">
        <f t="shared" si="30"/>
        <v>-0.18292190871240394</v>
      </c>
    </row>
    <row r="130" spans="1:26" s="24" customFormat="1" hidden="1" outlineLevel="1" x14ac:dyDescent="0.25">
      <c r="A130" s="44"/>
      <c r="B130" s="11" t="str">
        <f>CONCATENATE("          ", "5027", " - ", "PURCHASES @ COST-SCHOOL SUPPLI")</f>
        <v xml:space="preserve">          5027 - PURCHASES @ COST-SCHOOL SUPPLI</v>
      </c>
      <c r="C130" s="11"/>
      <c r="D130" s="2">
        <v>-2393.63</v>
      </c>
      <c r="E130" s="2"/>
      <c r="F130" s="19">
        <f t="shared" si="23"/>
        <v>-9.0794974461009328E-3</v>
      </c>
      <c r="G130" s="2"/>
      <c r="H130" s="2">
        <v>12828.83</v>
      </c>
      <c r="I130" s="2"/>
      <c r="J130" s="19">
        <f t="shared" si="24"/>
        <v>1.6295291307183324E-2</v>
      </c>
      <c r="K130" s="2"/>
      <c r="L130" s="2">
        <f t="shared" si="25"/>
        <v>-15222.46</v>
      </c>
      <c r="M130" s="2"/>
      <c r="N130" s="19">
        <f t="shared" si="26"/>
        <v>-1.1865820967305669</v>
      </c>
      <c r="O130" s="11"/>
      <c r="P130" s="2">
        <v>141214.54</v>
      </c>
      <c r="Q130" s="2"/>
      <c r="R130" s="19">
        <f t="shared" si="27"/>
        <v>1.5643998643184585E-2</v>
      </c>
      <c r="S130" s="2"/>
      <c r="T130" s="2">
        <v>156195.15</v>
      </c>
      <c r="U130" s="2"/>
      <c r="V130" s="19">
        <f t="shared" si="28"/>
        <v>1.3912997223060337E-2</v>
      </c>
      <c r="W130" s="2"/>
      <c r="X130" s="2">
        <f t="shared" si="29"/>
        <v>-14980.609999999986</v>
      </c>
      <c r="Y130" s="2"/>
      <c r="Z130" s="19">
        <f t="shared" si="30"/>
        <v>-9.5909572096188556E-2</v>
      </c>
    </row>
    <row r="131" spans="1:26" s="24" customFormat="1" hidden="1" outlineLevel="1" x14ac:dyDescent="0.25">
      <c r="A131" s="44"/>
      <c r="B131" s="11" t="str">
        <f>CONCATENATE("          ", "5028", " - ", "PURCHASES @ COST-ART/TECH")</f>
        <v xml:space="preserve">          5028 - PURCHASES @ COST-ART/TECH</v>
      </c>
      <c r="C131" s="11"/>
      <c r="D131" s="2">
        <v>-60.3</v>
      </c>
      <c r="E131" s="2"/>
      <c r="F131" s="19">
        <f t="shared" si="23"/>
        <v>-2.287294594402168E-4</v>
      </c>
      <c r="G131" s="2"/>
      <c r="H131" s="2">
        <v>1484.71</v>
      </c>
      <c r="I131" s="2"/>
      <c r="J131" s="19">
        <f t="shared" si="24"/>
        <v>1.8858915393444417E-3</v>
      </c>
      <c r="K131" s="2"/>
      <c r="L131" s="2">
        <f t="shared" si="25"/>
        <v>-1545.01</v>
      </c>
      <c r="M131" s="2"/>
      <c r="N131" s="19">
        <f t="shared" si="26"/>
        <v>-1.0406139919580255</v>
      </c>
      <c r="O131" s="11"/>
      <c r="P131" s="2">
        <v>159627.69</v>
      </c>
      <c r="Q131" s="2"/>
      <c r="R131" s="19">
        <f t="shared" si="27"/>
        <v>1.7683840246016373E-2</v>
      </c>
      <c r="S131" s="2"/>
      <c r="T131" s="2">
        <v>177482.59</v>
      </c>
      <c r="U131" s="2"/>
      <c r="V131" s="19">
        <f t="shared" si="28"/>
        <v>1.5809164252613198E-2</v>
      </c>
      <c r="W131" s="2"/>
      <c r="X131" s="2">
        <f t="shared" si="29"/>
        <v>-17854.899999999994</v>
      </c>
      <c r="Y131" s="2"/>
      <c r="Z131" s="19">
        <f t="shared" si="30"/>
        <v>-0.10060085330059694</v>
      </c>
    </row>
    <row r="132" spans="1:26" s="24" customFormat="1" hidden="1" outlineLevel="1" x14ac:dyDescent="0.25">
      <c r="A132" s="44"/>
      <c r="B132" s="11" t="str">
        <f>CONCATENATE("          ", "5031", " - ", "PURCHASES @ COST-FOOD")</f>
        <v xml:space="preserve">          5031 - PURCHASES @ COST-FOOD</v>
      </c>
      <c r="C132" s="11"/>
      <c r="D132" s="2"/>
      <c r="E132" s="2"/>
      <c r="F132" s="19">
        <f t="shared" si="23"/>
        <v>0</v>
      </c>
      <c r="G132" s="2"/>
      <c r="H132" s="2">
        <v>1464.39</v>
      </c>
      <c r="I132" s="2"/>
      <c r="J132" s="19">
        <f t="shared" si="24"/>
        <v>1.8600808988291364E-3</v>
      </c>
      <c r="K132" s="2"/>
      <c r="L132" s="2">
        <f t="shared" si="25"/>
        <v>-1464.39</v>
      </c>
      <c r="M132" s="2"/>
      <c r="N132" s="19">
        <f t="shared" si="26"/>
        <v>-1</v>
      </c>
      <c r="O132" s="11"/>
      <c r="P132" s="2">
        <v>33239.879999999997</v>
      </c>
      <c r="Q132" s="2"/>
      <c r="R132" s="19">
        <f t="shared" si="27"/>
        <v>3.6823732005189995E-3</v>
      </c>
      <c r="S132" s="2"/>
      <c r="T132" s="2">
        <v>39293.68</v>
      </c>
      <c r="U132" s="2"/>
      <c r="V132" s="19">
        <f t="shared" si="28"/>
        <v>3.5000629707377059E-3</v>
      </c>
      <c r="W132" s="2"/>
      <c r="X132" s="2">
        <f t="shared" si="29"/>
        <v>-6053.8000000000029</v>
      </c>
      <c r="Y132" s="2"/>
      <c r="Z132" s="19">
        <f t="shared" si="30"/>
        <v>-0.15406548839406242</v>
      </c>
    </row>
    <row r="133" spans="1:26" s="24" customFormat="1" hidden="1" outlineLevel="1" x14ac:dyDescent="0.25">
      <c r="A133" s="44"/>
      <c r="B133" s="11" t="str">
        <f>CONCATENATE("          ", "5032", " - ", "PURCHASES @ COST-JUICE")</f>
        <v xml:space="preserve">          5032 - PURCHASES @ COST-JUICE</v>
      </c>
      <c r="C133" s="11"/>
      <c r="D133" s="2"/>
      <c r="E133" s="2"/>
      <c r="F133" s="19">
        <f t="shared" si="23"/>
        <v>0</v>
      </c>
      <c r="G133" s="2"/>
      <c r="H133" s="2">
        <v>203.26</v>
      </c>
      <c r="I133" s="2"/>
      <c r="J133" s="19">
        <f t="shared" si="24"/>
        <v>2.581826176742604E-4</v>
      </c>
      <c r="K133" s="2"/>
      <c r="L133" s="2">
        <f t="shared" si="25"/>
        <v>-203.26</v>
      </c>
      <c r="M133" s="2"/>
      <c r="N133" s="19">
        <f t="shared" si="26"/>
        <v>-1</v>
      </c>
      <c r="O133" s="11"/>
      <c r="P133" s="2">
        <v>7802.45</v>
      </c>
      <c r="Q133" s="2"/>
      <c r="R133" s="19">
        <f t="shared" si="27"/>
        <v>8.643693292030378E-4</v>
      </c>
      <c r="S133" s="2"/>
      <c r="T133" s="2">
        <v>9569.02</v>
      </c>
      <c r="U133" s="2"/>
      <c r="V133" s="19">
        <f t="shared" si="28"/>
        <v>8.5235520236965647E-4</v>
      </c>
      <c r="W133" s="2"/>
      <c r="X133" s="2">
        <f t="shared" si="29"/>
        <v>-1766.5700000000006</v>
      </c>
      <c r="Y133" s="2"/>
      <c r="Z133" s="19">
        <f t="shared" si="30"/>
        <v>-0.18461347138996476</v>
      </c>
    </row>
    <row r="134" spans="1:26" s="24" customFormat="1" hidden="1" outlineLevel="1" x14ac:dyDescent="0.25">
      <c r="A134" s="44"/>
      <c r="B134" s="11" t="str">
        <f>CONCATENATE("          ", "5033", " - ", "PURCHASES @ COST-CANDY")</f>
        <v xml:space="preserve">          5033 - PURCHASES @ COST-CANDY</v>
      </c>
      <c r="C134" s="11"/>
      <c r="D134" s="2"/>
      <c r="E134" s="2"/>
      <c r="F134" s="19">
        <f t="shared" si="23"/>
        <v>0</v>
      </c>
      <c r="G134" s="2"/>
      <c r="H134" s="2">
        <v>316.45</v>
      </c>
      <c r="I134" s="2"/>
      <c r="J134" s="19">
        <f t="shared" si="24"/>
        <v>4.0195753893053089E-4</v>
      </c>
      <c r="K134" s="2"/>
      <c r="L134" s="2">
        <f t="shared" si="25"/>
        <v>-316.45</v>
      </c>
      <c r="M134" s="2"/>
      <c r="N134" s="19">
        <f t="shared" si="26"/>
        <v>-1</v>
      </c>
      <c r="O134" s="11"/>
      <c r="P134" s="2">
        <v>9998.41</v>
      </c>
      <c r="Q134" s="2"/>
      <c r="R134" s="19">
        <f t="shared" si="27"/>
        <v>1.1076416952107281E-3</v>
      </c>
      <c r="S134" s="2"/>
      <c r="T134" s="2">
        <v>9492.2800000000007</v>
      </c>
      <c r="U134" s="2"/>
      <c r="V134" s="19">
        <f t="shared" si="28"/>
        <v>8.4551962900583785E-4</v>
      </c>
      <c r="W134" s="2"/>
      <c r="X134" s="2">
        <f t="shared" si="29"/>
        <v>506.1299999999992</v>
      </c>
      <c r="Y134" s="2"/>
      <c r="Z134" s="19">
        <f t="shared" si="30"/>
        <v>5.3320171760630655E-2</v>
      </c>
    </row>
    <row r="135" spans="1:26" s="24" customFormat="1" hidden="1" outlineLevel="1" x14ac:dyDescent="0.25">
      <c r="A135" s="44"/>
      <c r="B135" s="11" t="str">
        <f>CONCATENATE("          ", "5034", " - ", "PURCHASES @ COST-SODA")</f>
        <v xml:space="preserve">          5034 - PURCHASES @ COST-SODA</v>
      </c>
      <c r="C135" s="11"/>
      <c r="D135" s="2"/>
      <c r="E135" s="2"/>
      <c r="F135" s="19">
        <f t="shared" si="23"/>
        <v>0</v>
      </c>
      <c r="G135" s="2"/>
      <c r="H135" s="2">
        <v>56.97</v>
      </c>
      <c r="I135" s="2"/>
      <c r="J135" s="19">
        <f t="shared" si="24"/>
        <v>7.2363788885676549E-5</v>
      </c>
      <c r="K135" s="2"/>
      <c r="L135" s="2">
        <f t="shared" si="25"/>
        <v>-56.97</v>
      </c>
      <c r="M135" s="2"/>
      <c r="N135" s="19">
        <f t="shared" si="26"/>
        <v>-1</v>
      </c>
      <c r="O135" s="11"/>
      <c r="P135" s="2">
        <v>4033.88</v>
      </c>
      <c r="Q135" s="2"/>
      <c r="R135" s="19">
        <f t="shared" si="27"/>
        <v>4.4688042213478462E-4</v>
      </c>
      <c r="S135" s="2"/>
      <c r="T135" s="2">
        <v>3856.23</v>
      </c>
      <c r="U135" s="2"/>
      <c r="V135" s="19">
        <f t="shared" si="28"/>
        <v>3.4349156988217603E-4</v>
      </c>
      <c r="W135" s="2"/>
      <c r="X135" s="2">
        <f t="shared" si="29"/>
        <v>177.65000000000009</v>
      </c>
      <c r="Y135" s="2"/>
      <c r="Z135" s="19">
        <f t="shared" si="30"/>
        <v>4.6068310240831092E-2</v>
      </c>
    </row>
    <row r="136" spans="1:26" s="24" customFormat="1" hidden="1" outlineLevel="1" x14ac:dyDescent="0.25">
      <c r="A136" s="44"/>
      <c r="B136" s="11" t="str">
        <f>CONCATENATE("          ", "5035", " - ", "PURCHASES @ COST-HEALTH &amp; BEAU")</f>
        <v xml:space="preserve">          5035 - PURCHASES @ COST-HEALTH &amp; BEAU</v>
      </c>
      <c r="C136" s="11"/>
      <c r="D136" s="2"/>
      <c r="E136" s="2"/>
      <c r="F136" s="19">
        <f t="shared" si="23"/>
        <v>0</v>
      </c>
      <c r="G136" s="2"/>
      <c r="H136" s="2">
        <v>21.22</v>
      </c>
      <c r="I136" s="2"/>
      <c r="J136" s="19">
        <f t="shared" si="24"/>
        <v>2.6953828333404537E-5</v>
      </c>
      <c r="K136" s="2"/>
      <c r="L136" s="2">
        <f t="shared" si="25"/>
        <v>-21.22</v>
      </c>
      <c r="M136" s="2"/>
      <c r="N136" s="19">
        <f t="shared" si="26"/>
        <v>-1</v>
      </c>
      <c r="O136" s="11"/>
      <c r="P136" s="2">
        <v>1117.6500000000001</v>
      </c>
      <c r="Q136" s="2"/>
      <c r="R136" s="19">
        <f t="shared" si="27"/>
        <v>1.2381526069167701E-4</v>
      </c>
      <c r="S136" s="2"/>
      <c r="T136" s="2">
        <v>1219.07</v>
      </c>
      <c r="U136" s="2"/>
      <c r="V136" s="19">
        <f t="shared" si="28"/>
        <v>1.0858799088650426E-4</v>
      </c>
      <c r="W136" s="2"/>
      <c r="X136" s="2">
        <f t="shared" si="29"/>
        <v>-101.41999999999985</v>
      </c>
      <c r="Y136" s="2"/>
      <c r="Z136" s="19">
        <f t="shared" si="30"/>
        <v>-8.3194566349758303E-2</v>
      </c>
    </row>
    <row r="137" spans="1:26" s="24" customFormat="1" hidden="1" outlineLevel="1" x14ac:dyDescent="0.25">
      <c r="A137" s="44"/>
      <c r="B137" s="11" t="str">
        <f>CONCATENATE("          ", "5037", " - ", "PURCHASES @ COST-WATER")</f>
        <v xml:space="preserve">          5037 - PURCHASES @ COST-WATER</v>
      </c>
      <c r="C137" s="11"/>
      <c r="D137" s="2"/>
      <c r="E137" s="2"/>
      <c r="F137" s="19">
        <f t="shared" si="23"/>
        <v>0</v>
      </c>
      <c r="G137" s="2"/>
      <c r="H137" s="2">
        <v>23.2</v>
      </c>
      <c r="I137" s="2"/>
      <c r="J137" s="19">
        <f t="shared" si="24"/>
        <v>2.946884153322268E-5</v>
      </c>
      <c r="K137" s="2"/>
      <c r="L137" s="2">
        <f t="shared" si="25"/>
        <v>-23.2</v>
      </c>
      <c r="M137" s="2"/>
      <c r="N137" s="19">
        <f t="shared" si="26"/>
        <v>-1</v>
      </c>
      <c r="O137" s="11"/>
      <c r="P137" s="2">
        <v>5693.57</v>
      </c>
      <c r="Q137" s="2"/>
      <c r="R137" s="19">
        <f t="shared" si="27"/>
        <v>6.3074384093080244E-4</v>
      </c>
      <c r="S137" s="2"/>
      <c r="T137" s="2">
        <v>5872.03</v>
      </c>
      <c r="U137" s="2"/>
      <c r="V137" s="19">
        <f t="shared" si="28"/>
        <v>5.2304784805243308E-4</v>
      </c>
      <c r="W137" s="2"/>
      <c r="X137" s="2">
        <f t="shared" si="29"/>
        <v>-178.46000000000004</v>
      </c>
      <c r="Y137" s="2"/>
      <c r="Z137" s="19">
        <f t="shared" si="30"/>
        <v>-3.0391534103197709E-2</v>
      </c>
    </row>
    <row r="138" spans="1:26" s="24" customFormat="1" hidden="1" outlineLevel="1" x14ac:dyDescent="0.25">
      <c r="A138" s="44"/>
      <c r="B138" s="11" t="str">
        <f>CONCATENATE("          ", "5040", " - ", "PURCHASES @ COST-LOGO CLOTHING")</f>
        <v xml:space="preserve">          5040 - PURCHASES @ COST-LOGO CLOTHING</v>
      </c>
      <c r="C138" s="11"/>
      <c r="D138" s="2">
        <v>1557.89</v>
      </c>
      <c r="E138" s="2"/>
      <c r="F138" s="19">
        <f t="shared" si="23"/>
        <v>5.9093754157101058E-3</v>
      </c>
      <c r="G138" s="2"/>
      <c r="H138" s="2">
        <v>35297.950000000004</v>
      </c>
      <c r="I138" s="2"/>
      <c r="J138" s="19">
        <f t="shared" si="24"/>
        <v>4.4835762715414555E-2</v>
      </c>
      <c r="K138" s="2"/>
      <c r="L138" s="2">
        <f t="shared" si="25"/>
        <v>-33740.060000000005</v>
      </c>
      <c r="M138" s="2"/>
      <c r="N138" s="19">
        <f t="shared" si="26"/>
        <v>-0.95586457570482142</v>
      </c>
      <c r="O138" s="11"/>
      <c r="P138" s="2">
        <v>976469.33000000007</v>
      </c>
      <c r="Q138" s="2"/>
      <c r="R138" s="19">
        <f t="shared" si="27"/>
        <v>0.10817501422751057</v>
      </c>
      <c r="S138" s="2"/>
      <c r="T138" s="2">
        <v>1040147.1000000001</v>
      </c>
      <c r="U138" s="2"/>
      <c r="V138" s="19">
        <f t="shared" si="28"/>
        <v>9.2650531811482403E-2</v>
      </c>
      <c r="W138" s="2"/>
      <c r="X138" s="2">
        <f t="shared" si="29"/>
        <v>-63677.770000000019</v>
      </c>
      <c r="Y138" s="2"/>
      <c r="Z138" s="19">
        <f t="shared" si="30"/>
        <v>-6.1219965906745319E-2</v>
      </c>
    </row>
    <row r="139" spans="1:26" s="24" customFormat="1" hidden="1" outlineLevel="1" x14ac:dyDescent="0.25">
      <c r="A139" s="44"/>
      <c r="B139" s="11" t="str">
        <f>CONCATENATE("          ", "5041", " - ", "PURCHASES @ COST-LOGO GIFTS")</f>
        <v xml:space="preserve">          5041 - PURCHASES @ COST-LOGO GIFTS</v>
      </c>
      <c r="C139" s="11"/>
      <c r="D139" s="2">
        <v>4290.8100000000004</v>
      </c>
      <c r="E139" s="2"/>
      <c r="F139" s="19">
        <f t="shared" si="23"/>
        <v>1.6275864873311389E-2</v>
      </c>
      <c r="G139" s="2"/>
      <c r="H139" s="2">
        <v>36471.08</v>
      </c>
      <c r="I139" s="2"/>
      <c r="J139" s="19">
        <f t="shared" si="24"/>
        <v>4.6325882632133067E-2</v>
      </c>
      <c r="K139" s="2"/>
      <c r="L139" s="2">
        <f t="shared" si="25"/>
        <v>-32180.27</v>
      </c>
      <c r="M139" s="2"/>
      <c r="N139" s="19">
        <f t="shared" si="26"/>
        <v>-0.8823503444372911</v>
      </c>
      <c r="O139" s="11"/>
      <c r="P139" s="2">
        <v>149750.84</v>
      </c>
      <c r="Q139" s="2"/>
      <c r="R139" s="19">
        <f t="shared" si="27"/>
        <v>1.6589665184447377E-2</v>
      </c>
      <c r="S139" s="2"/>
      <c r="T139" s="2">
        <v>281833.13</v>
      </c>
      <c r="U139" s="2"/>
      <c r="V139" s="19">
        <f t="shared" si="28"/>
        <v>2.5104131306614857E-2</v>
      </c>
      <c r="W139" s="2"/>
      <c r="X139" s="2">
        <f t="shared" si="29"/>
        <v>-132082.29</v>
      </c>
      <c r="Y139" s="2"/>
      <c r="Z139" s="19">
        <f t="shared" si="30"/>
        <v>-0.46865423522067828</v>
      </c>
    </row>
    <row r="140" spans="1:26" s="24" customFormat="1" hidden="1" outlineLevel="1" x14ac:dyDescent="0.25">
      <c r="A140" s="44"/>
      <c r="B140" s="11" t="str">
        <f>CONCATENATE("          ", "5042", " - ", "PURCHASES @ COST-EVERYDAY GIFT")</f>
        <v xml:space="preserve">          5042 - PURCHASES @ COST-EVERYDAY GIFT</v>
      </c>
      <c r="C140" s="11"/>
      <c r="D140" s="2">
        <v>10730.16</v>
      </c>
      <c r="E140" s="2"/>
      <c r="F140" s="19">
        <f t="shared" si="23"/>
        <v>4.0701553839254341E-2</v>
      </c>
      <c r="G140" s="2"/>
      <c r="H140" s="2">
        <v>12317.53</v>
      </c>
      <c r="I140" s="2"/>
      <c r="J140" s="19">
        <f t="shared" si="24"/>
        <v>1.5645833605634325E-2</v>
      </c>
      <c r="K140" s="2"/>
      <c r="L140" s="2">
        <f t="shared" si="25"/>
        <v>-1587.3700000000008</v>
      </c>
      <c r="M140" s="2"/>
      <c r="N140" s="19">
        <f t="shared" si="26"/>
        <v>-0.12887080445511404</v>
      </c>
      <c r="O140" s="11"/>
      <c r="P140" s="2">
        <v>126615.2</v>
      </c>
      <c r="Q140" s="2"/>
      <c r="R140" s="19">
        <f t="shared" si="27"/>
        <v>1.4026657715321272E-2</v>
      </c>
      <c r="S140" s="2"/>
      <c r="T140" s="2">
        <v>142481.70000000001</v>
      </c>
      <c r="U140" s="2"/>
      <c r="V140" s="19">
        <f t="shared" si="28"/>
        <v>1.2691479194052545E-2</v>
      </c>
      <c r="W140" s="2"/>
      <c r="X140" s="2">
        <f t="shared" si="29"/>
        <v>-15866.500000000015</v>
      </c>
      <c r="Y140" s="2"/>
      <c r="Z140" s="19">
        <f t="shared" si="30"/>
        <v>-0.11135816038129819</v>
      </c>
    </row>
    <row r="141" spans="1:26" s="24" customFormat="1" hidden="1" outlineLevel="1" x14ac:dyDescent="0.25">
      <c r="A141" s="44"/>
      <c r="B141" s="11" t="str">
        <f>CONCATENATE("          ", "5043", " - ", "PURCHASES @ COST-CARDS")</f>
        <v xml:space="preserve">          5043 - PURCHASES @ COST-CARDS</v>
      </c>
      <c r="C141" s="11"/>
      <c r="D141" s="2"/>
      <c r="E141" s="2"/>
      <c r="F141" s="19">
        <f t="shared" si="23"/>
        <v>0</v>
      </c>
      <c r="G141" s="2"/>
      <c r="H141" s="2">
        <v>-968.82</v>
      </c>
      <c r="I141" s="2"/>
      <c r="J141" s="19">
        <f t="shared" si="24"/>
        <v>-1.230603579923138E-3</v>
      </c>
      <c r="K141" s="2"/>
      <c r="L141" s="2">
        <f t="shared" si="25"/>
        <v>968.82</v>
      </c>
      <c r="M141" s="2"/>
      <c r="N141" s="19">
        <f t="shared" si="26"/>
        <v>-1</v>
      </c>
      <c r="O141" s="11"/>
      <c r="P141" s="2">
        <v>30914.659999999996</v>
      </c>
      <c r="Q141" s="2"/>
      <c r="R141" s="19">
        <f t="shared" si="27"/>
        <v>3.4247811811341285E-3</v>
      </c>
      <c r="S141" s="2"/>
      <c r="T141" s="2">
        <v>3392.76</v>
      </c>
      <c r="U141" s="2"/>
      <c r="V141" s="19">
        <f t="shared" si="28"/>
        <v>3.0220823411296826E-4</v>
      </c>
      <c r="W141" s="2"/>
      <c r="X141" s="2">
        <f t="shared" si="29"/>
        <v>27521.899999999994</v>
      </c>
      <c r="Y141" s="2"/>
      <c r="Z141" s="19">
        <f t="shared" si="30"/>
        <v>8.1119501526780535</v>
      </c>
    </row>
    <row r="142" spans="1:26" s="24" customFormat="1" hidden="1" outlineLevel="1" x14ac:dyDescent="0.25">
      <c r="A142" s="44"/>
      <c r="B142" s="11" t="str">
        <f>CONCATENATE("          ", "5044", " - ", "PURCHASES @ COST-ACCESSORIES")</f>
        <v xml:space="preserve">          5044 - PURCHASES @ COST-ACCESSORIES</v>
      </c>
      <c r="C142" s="11"/>
      <c r="D142" s="2">
        <v>1395</v>
      </c>
      <c r="E142" s="2"/>
      <c r="F142" s="19">
        <f t="shared" si="23"/>
        <v>5.2915024198856133E-3</v>
      </c>
      <c r="G142" s="2"/>
      <c r="H142" s="2">
        <v>4064.02</v>
      </c>
      <c r="I142" s="2"/>
      <c r="J142" s="19">
        <f t="shared" si="24"/>
        <v>5.1621535072348115E-3</v>
      </c>
      <c r="K142" s="2"/>
      <c r="L142" s="2">
        <f t="shared" si="25"/>
        <v>-2669.02</v>
      </c>
      <c r="M142" s="2"/>
      <c r="N142" s="19">
        <f t="shared" si="26"/>
        <v>-0.65674381523712977</v>
      </c>
      <c r="O142" s="11"/>
      <c r="P142" s="2">
        <v>37869.03</v>
      </c>
      <c r="Q142" s="2"/>
      <c r="R142" s="19">
        <f t="shared" si="27"/>
        <v>4.1951986951111143E-3</v>
      </c>
      <c r="S142" s="2"/>
      <c r="T142" s="2">
        <v>38291.129999999997</v>
      </c>
      <c r="U142" s="2"/>
      <c r="V142" s="19">
        <f t="shared" si="28"/>
        <v>3.4107613799650143E-3</v>
      </c>
      <c r="W142" s="2"/>
      <c r="X142" s="2">
        <f t="shared" si="29"/>
        <v>-422.09999999999854</v>
      </c>
      <c r="Y142" s="2"/>
      <c r="Z142" s="19">
        <f t="shared" si="30"/>
        <v>-1.1023440676731101E-2</v>
      </c>
    </row>
    <row r="143" spans="1:26" s="24" customFormat="1" hidden="1" outlineLevel="1" x14ac:dyDescent="0.25">
      <c r="A143" s="44"/>
      <c r="B143" s="11" t="str">
        <f>CONCATENATE("          ", "5045", " - ", "PURCHASES @ COST-SPECIAL ORDER")</f>
        <v xml:space="preserve">          5045 - PURCHASES @ COST-SPECIAL ORDER</v>
      </c>
      <c r="C143" s="11"/>
      <c r="D143" s="2">
        <v>16919.25</v>
      </c>
      <c r="E143" s="2"/>
      <c r="F143" s="19">
        <f t="shared" si="23"/>
        <v>6.417795865064492E-2</v>
      </c>
      <c r="G143" s="2"/>
      <c r="H143" s="2">
        <v>21957.99</v>
      </c>
      <c r="I143" s="2"/>
      <c r="J143" s="19">
        <f t="shared" si="24"/>
        <v>2.7891229642158979E-2</v>
      </c>
      <c r="K143" s="2"/>
      <c r="L143" s="2">
        <f t="shared" si="25"/>
        <v>-5038.7400000000016</v>
      </c>
      <c r="M143" s="2"/>
      <c r="N143" s="19">
        <f t="shared" si="26"/>
        <v>-0.22947182324065185</v>
      </c>
      <c r="O143" s="11"/>
      <c r="P143" s="2">
        <v>78842.399999999994</v>
      </c>
      <c r="Q143" s="2"/>
      <c r="R143" s="19">
        <f t="shared" si="27"/>
        <v>8.7343017130206008E-3</v>
      </c>
      <c r="S143" s="2"/>
      <c r="T143" s="2">
        <v>121594.93999999999</v>
      </c>
      <c r="U143" s="2"/>
      <c r="V143" s="19">
        <f t="shared" si="28"/>
        <v>1.0831002515495444E-2</v>
      </c>
      <c r="W143" s="2"/>
      <c r="X143" s="2">
        <f t="shared" si="29"/>
        <v>-42752.539999999994</v>
      </c>
      <c r="Y143" s="2"/>
      <c r="Z143" s="19">
        <f t="shared" si="30"/>
        <v>-0.35159801879913749</v>
      </c>
    </row>
    <row r="144" spans="1:26" s="24" customFormat="1" hidden="1" outlineLevel="1" x14ac:dyDescent="0.25">
      <c r="A144" s="44"/>
      <c r="B144" s="11" t="str">
        <f>CONCATENATE("          ", "5081", " - ", "PURCHASES @ COST-ELECTRONICS")</f>
        <v xml:space="preserve">          5081 - PURCHASES @ COST-ELECTRONICS</v>
      </c>
      <c r="C144" s="11"/>
      <c r="D144" s="2"/>
      <c r="E144" s="2"/>
      <c r="F144" s="19">
        <f t="shared" si="23"/>
        <v>0</v>
      </c>
      <c r="G144" s="2"/>
      <c r="H144" s="2">
        <v>127.78</v>
      </c>
      <c r="I144" s="2"/>
      <c r="J144" s="19">
        <f t="shared" si="24"/>
        <v>1.6230726599634457E-4</v>
      </c>
      <c r="K144" s="2"/>
      <c r="L144" s="2">
        <f t="shared" si="25"/>
        <v>-127.78</v>
      </c>
      <c r="M144" s="2"/>
      <c r="N144" s="19">
        <f t="shared" si="26"/>
        <v>-1</v>
      </c>
      <c r="O144" s="11"/>
      <c r="P144" s="2">
        <v>2008.03</v>
      </c>
      <c r="Q144" s="2"/>
      <c r="R144" s="19">
        <f t="shared" si="27"/>
        <v>2.224531453735142E-4</v>
      </c>
      <c r="S144" s="2"/>
      <c r="T144" s="2">
        <v>2682.64</v>
      </c>
      <c r="U144" s="2"/>
      <c r="V144" s="19">
        <f t="shared" si="28"/>
        <v>2.3895468502364245E-4</v>
      </c>
      <c r="W144" s="2"/>
      <c r="X144" s="2">
        <f t="shared" si="29"/>
        <v>-674.6099999999999</v>
      </c>
      <c r="Y144" s="2"/>
      <c r="Z144" s="19">
        <f t="shared" si="30"/>
        <v>-0.25147243014344078</v>
      </c>
    </row>
    <row r="145" spans="1:26" s="24" customFormat="1" hidden="1" outlineLevel="1" x14ac:dyDescent="0.25">
      <c r="A145" s="44"/>
      <c r="B145" s="11" t="str">
        <f>CONCATENATE("          ", "5082", " - ", "PURCHASES @ COST-COMPUTER HARD")</f>
        <v xml:space="preserve">          5082 - PURCHASES @ COST-COMPUTER HARD</v>
      </c>
      <c r="C145" s="11"/>
      <c r="D145" s="2"/>
      <c r="E145" s="2"/>
      <c r="F145" s="19">
        <f t="shared" si="23"/>
        <v>0</v>
      </c>
      <c r="G145" s="2"/>
      <c r="H145" s="2"/>
      <c r="I145" s="2"/>
      <c r="J145" s="19">
        <f t="shared" si="24"/>
        <v>0</v>
      </c>
      <c r="K145" s="2"/>
      <c r="L145" s="2">
        <f t="shared" si="25"/>
        <v>0</v>
      </c>
      <c r="M145" s="2"/>
      <c r="N145" s="19">
        <f t="shared" si="26"/>
        <v>0</v>
      </c>
      <c r="O145" s="11"/>
      <c r="P145" s="2">
        <v>349.6</v>
      </c>
      <c r="Q145" s="2"/>
      <c r="R145" s="19">
        <f t="shared" si="27"/>
        <v>3.872931162511545E-5</v>
      </c>
      <c r="S145" s="2"/>
      <c r="T145" s="2">
        <v>1118</v>
      </c>
      <c r="U145" s="2"/>
      <c r="V145" s="19">
        <f t="shared" si="28"/>
        <v>9.9585236131733012E-5</v>
      </c>
      <c r="W145" s="2"/>
      <c r="X145" s="2">
        <f t="shared" si="29"/>
        <v>-768.4</v>
      </c>
      <c r="Y145" s="2"/>
      <c r="Z145" s="19">
        <f t="shared" si="30"/>
        <v>-0.68729874776386402</v>
      </c>
    </row>
    <row r="146" spans="1:26" s="24" customFormat="1" hidden="1" outlineLevel="1" x14ac:dyDescent="0.25">
      <c r="A146" s="44"/>
      <c r="B146" s="11" t="str">
        <f>CONCATENATE("          ", "5083", " - ", "PURCHASES @ COST-COMPUTER EQUI")</f>
        <v xml:space="preserve">          5083 - PURCHASES @ COST-COMPUTER EQUI</v>
      </c>
      <c r="C146" s="11"/>
      <c r="D146" s="2"/>
      <c r="E146" s="2"/>
      <c r="F146" s="19">
        <f t="shared" si="23"/>
        <v>0</v>
      </c>
      <c r="G146" s="2"/>
      <c r="H146" s="2">
        <v>-72.8</v>
      </c>
      <c r="I146" s="2"/>
      <c r="J146" s="19">
        <f t="shared" si="24"/>
        <v>-9.2471192397353924E-5</v>
      </c>
      <c r="K146" s="2"/>
      <c r="L146" s="2">
        <f t="shared" si="25"/>
        <v>72.8</v>
      </c>
      <c r="M146" s="2"/>
      <c r="N146" s="19">
        <f t="shared" si="26"/>
        <v>-1</v>
      </c>
      <c r="O146" s="11"/>
      <c r="P146" s="2">
        <v>395.06</v>
      </c>
      <c r="Q146" s="2"/>
      <c r="R146" s="19">
        <f t="shared" si="27"/>
        <v>4.3765451517786347E-5</v>
      </c>
      <c r="S146" s="2"/>
      <c r="T146" s="2">
        <v>653.19000000000005</v>
      </c>
      <c r="U146" s="2"/>
      <c r="V146" s="19">
        <f t="shared" si="28"/>
        <v>5.8182540598288634E-5</v>
      </c>
      <c r="W146" s="2"/>
      <c r="X146" s="2">
        <f t="shared" si="29"/>
        <v>-258.13000000000005</v>
      </c>
      <c r="Y146" s="2"/>
      <c r="Z146" s="19">
        <f t="shared" si="30"/>
        <v>-0.39518363722653443</v>
      </c>
    </row>
    <row r="147" spans="1:26" s="24" customFormat="1" hidden="1" outlineLevel="1" x14ac:dyDescent="0.25">
      <c r="A147" s="44"/>
      <c r="B147" s="11" t="str">
        <f>CONCATENATE("          ", "5086", " - ", "PURCHASES @ COST-COMPUTER SUPP")</f>
        <v xml:space="preserve">          5086 - PURCHASES @ COST-COMPUTER SUPP</v>
      </c>
      <c r="C147" s="11"/>
      <c r="D147" s="2"/>
      <c r="E147" s="2"/>
      <c r="F147" s="19">
        <f t="shared" si="23"/>
        <v>0</v>
      </c>
      <c r="G147" s="2"/>
      <c r="H147" s="2"/>
      <c r="I147" s="2"/>
      <c r="J147" s="19">
        <f t="shared" si="24"/>
        <v>0</v>
      </c>
      <c r="K147" s="2"/>
      <c r="L147" s="2">
        <f t="shared" si="25"/>
        <v>0</v>
      </c>
      <c r="M147" s="2"/>
      <c r="N147" s="19">
        <f t="shared" si="26"/>
        <v>0</v>
      </c>
      <c r="O147" s="11"/>
      <c r="P147" s="2">
        <v>426.22</v>
      </c>
      <c r="Q147" s="2"/>
      <c r="R147" s="19">
        <f t="shared" si="27"/>
        <v>4.7217411901764032E-5</v>
      </c>
      <c r="S147" s="2"/>
      <c r="T147" s="2">
        <v>971.76</v>
      </c>
      <c r="U147" s="2"/>
      <c r="V147" s="19">
        <f t="shared" si="28"/>
        <v>8.6558988428777175E-5</v>
      </c>
      <c r="W147" s="2"/>
      <c r="X147" s="2">
        <f t="shared" si="29"/>
        <v>-545.54</v>
      </c>
      <c r="Y147" s="2"/>
      <c r="Z147" s="19">
        <f t="shared" si="30"/>
        <v>-0.56139375977607642</v>
      </c>
    </row>
    <row r="148" spans="1:26" s="24" customFormat="1" hidden="1" outlineLevel="1" x14ac:dyDescent="0.25">
      <c r="A148" s="44"/>
      <c r="B148" s="11" t="str">
        <f>CONCATENATE("          ", "5092", " - ", "PURCHASES @ COST-GRAD MERCH")</f>
        <v xml:space="preserve">          5092 - PURCHASES @ COST-GRAD MERCH</v>
      </c>
      <c r="C148" s="11"/>
      <c r="D148" s="2">
        <v>-3999.6</v>
      </c>
      <c r="E148" s="2"/>
      <c r="F148" s="19">
        <f t="shared" si="23"/>
        <v>-1.5171249518691395E-2</v>
      </c>
      <c r="G148" s="2"/>
      <c r="H148" s="2">
        <v>-10772.4</v>
      </c>
      <c r="I148" s="2"/>
      <c r="J148" s="19">
        <f t="shared" si="24"/>
        <v>-1.3683196057434828E-2</v>
      </c>
      <c r="K148" s="2"/>
      <c r="L148" s="2">
        <f t="shared" si="25"/>
        <v>6772.7999999999993</v>
      </c>
      <c r="M148" s="2"/>
      <c r="N148" s="19">
        <f t="shared" si="26"/>
        <v>-0.62871783446585716</v>
      </c>
      <c r="O148" s="11"/>
      <c r="P148" s="2">
        <v>4485.88</v>
      </c>
      <c r="Q148" s="2"/>
      <c r="R148" s="19">
        <f t="shared" si="27"/>
        <v>4.9695378842354939E-4</v>
      </c>
      <c r="S148" s="2"/>
      <c r="T148" s="2">
        <v>24835.06</v>
      </c>
      <c r="U148" s="2"/>
      <c r="V148" s="19">
        <f t="shared" si="28"/>
        <v>2.2121693331357403E-3</v>
      </c>
      <c r="W148" s="2"/>
      <c r="X148" s="2">
        <f t="shared" si="29"/>
        <v>-20349.18</v>
      </c>
      <c r="Y148" s="2"/>
      <c r="Z148" s="19">
        <f t="shared" si="30"/>
        <v>-0.81937309593775898</v>
      </c>
    </row>
    <row r="149" spans="1:26" s="24" customFormat="1" hidden="1" outlineLevel="1" x14ac:dyDescent="0.25">
      <c r="A149" s="44"/>
      <c r="B149" s="11" t="str">
        <f>CONCATENATE("          ", "5095", " - ", "PURCHASES @ COST-CUSTOMER SERV")</f>
        <v xml:space="preserve">          5095 - PURCHASES @ COST-CUSTOMER SERV</v>
      </c>
      <c r="C149" s="11"/>
      <c r="D149" s="2"/>
      <c r="E149" s="2"/>
      <c r="F149" s="19">
        <f t="shared" si="23"/>
        <v>0</v>
      </c>
      <c r="G149" s="2"/>
      <c r="H149" s="2">
        <v>0</v>
      </c>
      <c r="I149" s="2"/>
      <c r="J149" s="19">
        <f t="shared" si="24"/>
        <v>0</v>
      </c>
      <c r="K149" s="2"/>
      <c r="L149" s="2">
        <f t="shared" si="25"/>
        <v>0</v>
      </c>
      <c r="M149" s="2"/>
      <c r="N149" s="19">
        <f t="shared" si="26"/>
        <v>0</v>
      </c>
      <c r="O149" s="11"/>
      <c r="P149" s="2">
        <v>0</v>
      </c>
      <c r="Q149" s="2"/>
      <c r="R149" s="19">
        <f t="shared" si="27"/>
        <v>0</v>
      </c>
      <c r="S149" s="2"/>
      <c r="T149" s="2">
        <v>0</v>
      </c>
      <c r="U149" s="2"/>
      <c r="V149" s="19">
        <f t="shared" si="28"/>
        <v>0</v>
      </c>
      <c r="W149" s="2"/>
      <c r="X149" s="2">
        <f t="shared" si="29"/>
        <v>0</v>
      </c>
      <c r="Y149" s="2"/>
      <c r="Z149" s="19">
        <f t="shared" si="30"/>
        <v>0</v>
      </c>
    </row>
    <row r="150" spans="1:26" s="24" customFormat="1" hidden="1" outlineLevel="1" x14ac:dyDescent="0.25">
      <c r="A150" s="44"/>
      <c r="B150" s="11" t="str">
        <f>CONCATENATE("          ", "5200", " - ", "PURCHASES OFFSET")</f>
        <v xml:space="preserve">          5200 - PURCHASES OFFSET</v>
      </c>
      <c r="C150" s="11"/>
      <c r="D150" s="2">
        <v>-56682</v>
      </c>
      <c r="E150" s="2"/>
      <c r="F150" s="19">
        <f t="shared" si="23"/>
        <v>-0.21500569187380381</v>
      </c>
      <c r="G150" s="2"/>
      <c r="H150" s="2">
        <v>-231043</v>
      </c>
      <c r="I150" s="2"/>
      <c r="J150" s="19">
        <f t="shared" si="24"/>
        <v>-0.29347282561898136</v>
      </c>
      <c r="K150" s="2"/>
      <c r="L150" s="2">
        <f t="shared" si="25"/>
        <v>174361</v>
      </c>
      <c r="M150" s="2"/>
      <c r="N150" s="19">
        <f t="shared" si="26"/>
        <v>-0.75466904429045678</v>
      </c>
      <c r="O150" s="11"/>
      <c r="P150" s="2">
        <v>-3474853</v>
      </c>
      <c r="Q150" s="2"/>
      <c r="R150" s="19">
        <f t="shared" si="27"/>
        <v>-0.38495041386861351</v>
      </c>
      <c r="S150" s="2"/>
      <c r="T150" s="2">
        <v>-4134069</v>
      </c>
      <c r="U150" s="2"/>
      <c r="V150" s="19">
        <f t="shared" si="28"/>
        <v>-0.36823992625212648</v>
      </c>
      <c r="W150" s="2"/>
      <c r="X150" s="2">
        <f t="shared" si="29"/>
        <v>659216</v>
      </c>
      <c r="Y150" s="2"/>
      <c r="Z150" s="19">
        <f t="shared" si="30"/>
        <v>-0.1594593607411971</v>
      </c>
    </row>
    <row r="151" spans="1:26" s="24" customFormat="1" hidden="1" outlineLevel="1" x14ac:dyDescent="0.25">
      <c r="A151" s="44"/>
      <c r="B151" s="11" t="str">
        <f>CONCATENATE("          ", "5300", " - ", "COG$ OFFSET")</f>
        <v xml:space="preserve">          5300 - COG$ OFFSET</v>
      </c>
      <c r="C151" s="11"/>
      <c r="D151" s="2">
        <v>148333</v>
      </c>
      <c r="E151" s="2"/>
      <c r="F151" s="19">
        <f t="shared" si="23"/>
        <v>0.56265550426443911</v>
      </c>
      <c r="G151" s="2"/>
      <c r="H151" s="2">
        <v>357713</v>
      </c>
      <c r="I151" s="2"/>
      <c r="J151" s="19">
        <f t="shared" si="24"/>
        <v>0.45437015997300367</v>
      </c>
      <c r="K151" s="2"/>
      <c r="L151" s="2">
        <f t="shared" si="25"/>
        <v>-209380</v>
      </c>
      <c r="M151" s="2"/>
      <c r="N151" s="19">
        <f t="shared" si="26"/>
        <v>-0.58532957985871359</v>
      </c>
      <c r="O151" s="11"/>
      <c r="P151" s="2">
        <v>4035934.47</v>
      </c>
      <c r="Q151" s="2"/>
      <c r="R151" s="19">
        <f t="shared" si="27"/>
        <v>0.44710801998619892</v>
      </c>
      <c r="S151" s="2"/>
      <c r="T151" s="2">
        <v>4954138</v>
      </c>
      <c r="U151" s="2"/>
      <c r="V151" s="19">
        <f t="shared" si="28"/>
        <v>0.44128712214596738</v>
      </c>
      <c r="W151" s="2"/>
      <c r="X151" s="2">
        <f t="shared" si="29"/>
        <v>-918203.5299999998</v>
      </c>
      <c r="Y151" s="2"/>
      <c r="Z151" s="19">
        <f t="shared" si="30"/>
        <v>-0.1853407252684523</v>
      </c>
    </row>
    <row r="152" spans="1:26" s="24" customFormat="1" hidden="1" outlineLevel="1" x14ac:dyDescent="0.25">
      <c r="A152" s="44"/>
      <c r="B152" s="11" t="str">
        <f>CONCATENATE("          ", "5500", " - ", "FREIGHT-IN")</f>
        <v xml:space="preserve">          5500 - FREIGHT-IN</v>
      </c>
      <c r="C152" s="11"/>
      <c r="D152" s="2"/>
      <c r="E152" s="2"/>
      <c r="F152" s="19">
        <f t="shared" si="23"/>
        <v>0</v>
      </c>
      <c r="G152" s="2"/>
      <c r="H152" s="2">
        <v>14.08</v>
      </c>
      <c r="I152" s="2"/>
      <c r="J152" s="19">
        <f t="shared" si="24"/>
        <v>1.7884538309817901E-5</v>
      </c>
      <c r="K152" s="2"/>
      <c r="L152" s="2">
        <f t="shared" si="25"/>
        <v>-14.08</v>
      </c>
      <c r="M152" s="2"/>
      <c r="N152" s="19">
        <f t="shared" si="26"/>
        <v>-1</v>
      </c>
      <c r="O152" s="11"/>
      <c r="P152" s="2">
        <v>156.47999999999999</v>
      </c>
      <c r="Q152" s="2"/>
      <c r="R152" s="19">
        <f t="shared" si="27"/>
        <v>1.7335133532889199E-5</v>
      </c>
      <c r="S152" s="2"/>
      <c r="T152" s="2">
        <v>188.91</v>
      </c>
      <c r="U152" s="2"/>
      <c r="V152" s="19">
        <f t="shared" si="28"/>
        <v>1.6827054523833348E-5</v>
      </c>
      <c r="W152" s="2"/>
      <c r="X152" s="2">
        <f t="shared" si="29"/>
        <v>-32.430000000000007</v>
      </c>
      <c r="Y152" s="2"/>
      <c r="Z152" s="19">
        <f t="shared" si="30"/>
        <v>-0.17166904875337466</v>
      </c>
    </row>
    <row r="153" spans="1:26" s="24" customFormat="1" hidden="1" outlineLevel="1" x14ac:dyDescent="0.25">
      <c r="A153" s="44"/>
      <c r="B153" s="11" t="str">
        <f>CONCATENATE("          ", "5501", " - ", "FREIGHT-IN-NEW TEXT")</f>
        <v xml:space="preserve">          5501 - FREIGHT-IN-NEW TEXT</v>
      </c>
      <c r="C153" s="11"/>
      <c r="D153" s="2">
        <v>-21.22</v>
      </c>
      <c r="E153" s="2"/>
      <c r="F153" s="19">
        <f t="shared" si="23"/>
        <v>-8.0491527849442797E-5</v>
      </c>
      <c r="G153" s="2"/>
      <c r="H153" s="2">
        <v>1437.4</v>
      </c>
      <c r="I153" s="2"/>
      <c r="J153" s="19">
        <f t="shared" si="24"/>
        <v>1.8257979663730294E-3</v>
      </c>
      <c r="K153" s="2"/>
      <c r="L153" s="2">
        <f t="shared" si="25"/>
        <v>-1458.6200000000001</v>
      </c>
      <c r="M153" s="2"/>
      <c r="N153" s="19">
        <f t="shared" si="26"/>
        <v>-1.0147627661054681</v>
      </c>
      <c r="O153" s="11"/>
      <c r="P153" s="2">
        <v>69747.73000000001</v>
      </c>
      <c r="Q153" s="2"/>
      <c r="R153" s="19">
        <f t="shared" si="27"/>
        <v>7.7267779471236094E-3</v>
      </c>
      <c r="S153" s="2"/>
      <c r="T153" s="2">
        <v>64203.939999999995</v>
      </c>
      <c r="U153" s="2"/>
      <c r="V153" s="19">
        <f t="shared" si="28"/>
        <v>5.7189307025828431E-3</v>
      </c>
      <c r="W153" s="2"/>
      <c r="X153" s="2">
        <f t="shared" si="29"/>
        <v>5543.7900000000154</v>
      </c>
      <c r="Y153" s="2"/>
      <c r="Z153" s="19">
        <f t="shared" si="30"/>
        <v>8.6346570008009105E-2</v>
      </c>
    </row>
    <row r="154" spans="1:26" s="24" customFormat="1" hidden="1" outlineLevel="1" x14ac:dyDescent="0.25">
      <c r="A154" s="44"/>
      <c r="B154" s="11" t="str">
        <f>CONCATENATE("          ", "5502", " - ", "FREIGHT-IN-USED TEXT")</f>
        <v xml:space="preserve">          5502 - FREIGHT-IN-USED TEXT</v>
      </c>
      <c r="C154" s="11"/>
      <c r="D154" s="2">
        <v>379.42</v>
      </c>
      <c r="E154" s="2"/>
      <c r="F154" s="19">
        <f t="shared" si="23"/>
        <v>1.4392127943749099E-3</v>
      </c>
      <c r="G154" s="2"/>
      <c r="H154" s="2">
        <v>306.19</v>
      </c>
      <c r="I154" s="2"/>
      <c r="J154" s="19">
        <f t="shared" si="24"/>
        <v>3.8892519780420052E-4</v>
      </c>
      <c r="K154" s="2"/>
      <c r="L154" s="2">
        <f t="shared" si="25"/>
        <v>73.230000000000018</v>
      </c>
      <c r="M154" s="2"/>
      <c r="N154" s="19">
        <f t="shared" si="26"/>
        <v>0.23916522420719166</v>
      </c>
      <c r="O154" s="11"/>
      <c r="P154" s="2">
        <v>15680.76</v>
      </c>
      <c r="Q154" s="2"/>
      <c r="R154" s="19">
        <f t="shared" si="27"/>
        <v>1.7371425645270175E-3</v>
      </c>
      <c r="S154" s="2"/>
      <c r="T154" s="2">
        <v>14043.29</v>
      </c>
      <c r="U154" s="2"/>
      <c r="V154" s="19">
        <f t="shared" si="28"/>
        <v>1.2508983459001833E-3</v>
      </c>
      <c r="W154" s="2"/>
      <c r="X154" s="2">
        <f t="shared" si="29"/>
        <v>1637.4699999999993</v>
      </c>
      <c r="Y154" s="2"/>
      <c r="Z154" s="19">
        <f t="shared" si="30"/>
        <v>0.11660159407090498</v>
      </c>
    </row>
    <row r="155" spans="1:26" s="24" customFormat="1" hidden="1" outlineLevel="1" x14ac:dyDescent="0.25">
      <c r="A155" s="44"/>
      <c r="B155" s="11" t="str">
        <f>CONCATENATE("          ", "5504", " - ", "FREIGHT-IN-DIGITAL TEXT")</f>
        <v xml:space="preserve">          5504 - FREIGHT-IN-DIGITAL TEXT</v>
      </c>
      <c r="C155" s="11"/>
      <c r="D155" s="2"/>
      <c r="E155" s="2"/>
      <c r="F155" s="19">
        <f t="shared" si="23"/>
        <v>0</v>
      </c>
      <c r="G155" s="2"/>
      <c r="H155" s="2"/>
      <c r="I155" s="2"/>
      <c r="J155" s="19">
        <f t="shared" si="24"/>
        <v>0</v>
      </c>
      <c r="K155" s="2"/>
      <c r="L155" s="2">
        <f t="shared" si="25"/>
        <v>0</v>
      </c>
      <c r="M155" s="2"/>
      <c r="N155" s="19">
        <f t="shared" si="26"/>
        <v>0</v>
      </c>
      <c r="O155" s="11"/>
      <c r="P155" s="2">
        <v>118.75</v>
      </c>
      <c r="Q155" s="2"/>
      <c r="R155" s="19">
        <f t="shared" si="27"/>
        <v>1.3155336829183235E-5</v>
      </c>
      <c r="S155" s="2"/>
      <c r="T155" s="2">
        <v>243.53</v>
      </c>
      <c r="U155" s="2"/>
      <c r="V155" s="19">
        <f t="shared" si="28"/>
        <v>2.1692301033238767E-5</v>
      </c>
      <c r="W155" s="2"/>
      <c r="X155" s="2">
        <f t="shared" si="29"/>
        <v>-124.78</v>
      </c>
      <c r="Y155" s="2"/>
      <c r="Z155" s="19">
        <f t="shared" si="30"/>
        <v>-0.5123804048782491</v>
      </c>
    </row>
    <row r="156" spans="1:26" s="24" customFormat="1" hidden="1" outlineLevel="1" x14ac:dyDescent="0.25">
      <c r="A156" s="44"/>
      <c r="B156" s="11" t="str">
        <f>CONCATENATE("          ", "5513", " - ", "FREIGHT-IN-TRADE BOOKS")</f>
        <v xml:space="preserve">          5513 - FREIGHT-IN-TRADE BOOKS</v>
      </c>
      <c r="C156" s="11"/>
      <c r="D156" s="2"/>
      <c r="E156" s="2"/>
      <c r="F156" s="19">
        <f t="shared" si="23"/>
        <v>0</v>
      </c>
      <c r="G156" s="2"/>
      <c r="H156" s="2"/>
      <c r="I156" s="2"/>
      <c r="J156" s="19">
        <f t="shared" si="24"/>
        <v>0</v>
      </c>
      <c r="K156" s="2"/>
      <c r="L156" s="2">
        <f t="shared" si="25"/>
        <v>0</v>
      </c>
      <c r="M156" s="2"/>
      <c r="N156" s="19">
        <f t="shared" si="26"/>
        <v>0</v>
      </c>
      <c r="O156" s="11"/>
      <c r="P156" s="2">
        <v>30.24</v>
      </c>
      <c r="Q156" s="2"/>
      <c r="R156" s="19">
        <f t="shared" si="27"/>
        <v>3.3500411428589558E-6</v>
      </c>
      <c r="S156" s="2"/>
      <c r="T156" s="2">
        <v>54.9</v>
      </c>
      <c r="U156" s="2"/>
      <c r="V156" s="19">
        <f t="shared" si="28"/>
        <v>4.8901873556638123E-6</v>
      </c>
      <c r="W156" s="2"/>
      <c r="X156" s="2">
        <f t="shared" si="29"/>
        <v>-24.66</v>
      </c>
      <c r="Y156" s="2"/>
      <c r="Z156" s="19">
        <f t="shared" si="30"/>
        <v>-0.44918032786885248</v>
      </c>
    </row>
    <row r="157" spans="1:26" s="24" customFormat="1" hidden="1" outlineLevel="1" x14ac:dyDescent="0.25">
      <c r="A157" s="44"/>
      <c r="B157" s="11" t="str">
        <f>CONCATENATE("          ", "5518", " - ", "FREIGHT-IN-STUDY GUIDES")</f>
        <v xml:space="preserve">          5518 - FREIGHT-IN-STUDY GUIDES</v>
      </c>
      <c r="C157" s="11"/>
      <c r="D157" s="2"/>
      <c r="E157" s="2"/>
      <c r="F157" s="19">
        <f t="shared" si="23"/>
        <v>0</v>
      </c>
      <c r="G157" s="2"/>
      <c r="H157" s="2"/>
      <c r="I157" s="2"/>
      <c r="J157" s="19">
        <f t="shared" si="24"/>
        <v>0</v>
      </c>
      <c r="K157" s="2"/>
      <c r="L157" s="2">
        <f t="shared" si="25"/>
        <v>0</v>
      </c>
      <c r="M157" s="2"/>
      <c r="N157" s="19">
        <f t="shared" si="26"/>
        <v>0</v>
      </c>
      <c r="O157" s="11"/>
      <c r="P157" s="2">
        <v>21.13</v>
      </c>
      <c r="Q157" s="2"/>
      <c r="R157" s="19">
        <f t="shared" si="27"/>
        <v>2.3408190922159306E-6</v>
      </c>
      <c r="S157" s="2"/>
      <c r="T157" s="2"/>
      <c r="U157" s="2"/>
      <c r="V157" s="19">
        <f t="shared" si="28"/>
        <v>0</v>
      </c>
      <c r="W157" s="2"/>
      <c r="X157" s="2">
        <f t="shared" si="29"/>
        <v>21.13</v>
      </c>
      <c r="Y157" s="2"/>
      <c r="Z157" s="19">
        <f t="shared" si="30"/>
        <v>0</v>
      </c>
    </row>
    <row r="158" spans="1:26" s="24" customFormat="1" hidden="1" outlineLevel="1" x14ac:dyDescent="0.25">
      <c r="A158" s="44"/>
      <c r="B158" s="11" t="str">
        <f>CONCATENATE("          ", "5525", " - ", "FREIGHT-IN-TEST FORMS")</f>
        <v xml:space="preserve">          5525 - FREIGHT-IN-TEST FORMS</v>
      </c>
      <c r="C158" s="11"/>
      <c r="D158" s="2">
        <v>377.1</v>
      </c>
      <c r="E158" s="2"/>
      <c r="F158" s="19">
        <f t="shared" si="23"/>
        <v>1.4304125896335948E-3</v>
      </c>
      <c r="G158" s="2"/>
      <c r="H158" s="2">
        <v>55.71</v>
      </c>
      <c r="I158" s="2"/>
      <c r="J158" s="19">
        <f t="shared" si="24"/>
        <v>7.0763325940337735E-5</v>
      </c>
      <c r="K158" s="2"/>
      <c r="L158" s="2">
        <f t="shared" si="25"/>
        <v>321.39000000000004</v>
      </c>
      <c r="M158" s="2"/>
      <c r="N158" s="19">
        <f t="shared" si="26"/>
        <v>5.7689822294022628</v>
      </c>
      <c r="O158" s="11"/>
      <c r="P158" s="2">
        <v>1614.32</v>
      </c>
      <c r="Q158" s="2"/>
      <c r="R158" s="19">
        <f t="shared" si="27"/>
        <v>1.7883724926389121E-4</v>
      </c>
      <c r="S158" s="2"/>
      <c r="T158" s="2">
        <v>390.96</v>
      </c>
      <c r="U158" s="2"/>
      <c r="V158" s="19">
        <f t="shared" si="28"/>
        <v>3.4824547332792787E-5</v>
      </c>
      <c r="W158" s="2"/>
      <c r="X158" s="2">
        <f t="shared" si="29"/>
        <v>1223.3599999999999</v>
      </c>
      <c r="Y158" s="2"/>
      <c r="Z158" s="19">
        <f t="shared" si="30"/>
        <v>3.1291180683445874</v>
      </c>
    </row>
    <row r="159" spans="1:26" s="24" customFormat="1" hidden="1" outlineLevel="1" x14ac:dyDescent="0.25">
      <c r="A159" s="44"/>
      <c r="B159" s="11" t="str">
        <f>CONCATENATE("          ", "5526", " - ", "FREIGHT-IN-WRITING INSTRUMENTS")</f>
        <v xml:space="preserve">          5526 - FREIGHT-IN-WRITING INSTRUMENTS</v>
      </c>
      <c r="C159" s="11"/>
      <c r="D159" s="2">
        <v>14.15</v>
      </c>
      <c r="E159" s="2"/>
      <c r="F159" s="19">
        <f t="shared" si="23"/>
        <v>5.3673662538624677E-5</v>
      </c>
      <c r="G159" s="2"/>
      <c r="H159" s="2">
        <v>24.01</v>
      </c>
      <c r="I159" s="2"/>
      <c r="J159" s="19">
        <f t="shared" si="24"/>
        <v>3.0497710569511921E-5</v>
      </c>
      <c r="K159" s="2"/>
      <c r="L159" s="2">
        <f t="shared" si="25"/>
        <v>-9.8600000000000012</v>
      </c>
      <c r="M159" s="2"/>
      <c r="N159" s="19">
        <f t="shared" si="26"/>
        <v>-0.41066222407330283</v>
      </c>
      <c r="O159" s="11"/>
      <c r="P159" s="2">
        <v>274.5</v>
      </c>
      <c r="Q159" s="2"/>
      <c r="R159" s="19">
        <f t="shared" si="27"/>
        <v>3.0409599659880406E-5</v>
      </c>
      <c r="S159" s="2"/>
      <c r="T159" s="2">
        <v>256.12</v>
      </c>
      <c r="U159" s="2"/>
      <c r="V159" s="19">
        <f t="shared" si="28"/>
        <v>2.2813748370357299E-5</v>
      </c>
      <c r="W159" s="2"/>
      <c r="X159" s="2">
        <f t="shared" si="29"/>
        <v>18.379999999999995</v>
      </c>
      <c r="Y159" s="2"/>
      <c r="Z159" s="19">
        <f t="shared" si="30"/>
        <v>7.1763235983132889E-2</v>
      </c>
    </row>
    <row r="160" spans="1:26" s="24" customFormat="1" hidden="1" outlineLevel="1" x14ac:dyDescent="0.25">
      <c r="A160" s="44"/>
      <c r="B160" s="11" t="str">
        <f>CONCATENATE("          ", "5527", " - ", "FREIGHT-IN-SCHOOL SUPPLIES")</f>
        <v xml:space="preserve">          5527 - FREIGHT-IN-SCHOOL SUPPLIES</v>
      </c>
      <c r="C160" s="11"/>
      <c r="D160" s="2">
        <v>-250.91</v>
      </c>
      <c r="E160" s="2"/>
      <c r="F160" s="19">
        <f t="shared" si="23"/>
        <v>-9.5174972915663015E-4</v>
      </c>
      <c r="G160" s="2"/>
      <c r="H160" s="2">
        <v>150.80000000000001</v>
      </c>
      <c r="I160" s="2"/>
      <c r="J160" s="19">
        <f t="shared" si="24"/>
        <v>1.9154746996594743E-4</v>
      </c>
      <c r="K160" s="2"/>
      <c r="L160" s="2">
        <f t="shared" si="25"/>
        <v>-401.71000000000004</v>
      </c>
      <c r="M160" s="2"/>
      <c r="N160" s="19">
        <f t="shared" si="26"/>
        <v>-2.6638594164456233</v>
      </c>
      <c r="O160" s="11"/>
      <c r="P160" s="2">
        <v>1808</v>
      </c>
      <c r="Q160" s="2"/>
      <c r="R160" s="19">
        <f t="shared" si="27"/>
        <v>2.0029346515505929E-4</v>
      </c>
      <c r="S160" s="2"/>
      <c r="T160" s="2">
        <v>1912.08</v>
      </c>
      <c r="U160" s="2"/>
      <c r="V160" s="19">
        <f t="shared" si="28"/>
        <v>1.7031747612054031E-4</v>
      </c>
      <c r="W160" s="2"/>
      <c r="X160" s="2">
        <f t="shared" si="29"/>
        <v>-104.07999999999993</v>
      </c>
      <c r="Y160" s="2"/>
      <c r="Z160" s="19">
        <f t="shared" si="30"/>
        <v>-5.4432868917618477E-2</v>
      </c>
    </row>
    <row r="161" spans="1:26" s="24" customFormat="1" hidden="1" outlineLevel="1" x14ac:dyDescent="0.25">
      <c r="A161" s="44"/>
      <c r="B161" s="11" t="str">
        <f>CONCATENATE("          ", "5528", " - ", "FREIGHT-IN-ART/TECH")</f>
        <v xml:space="preserve">          5528 - FREIGHT-IN-ART/TECH</v>
      </c>
      <c r="C161" s="11"/>
      <c r="D161" s="2">
        <v>-19.75</v>
      </c>
      <c r="E161" s="2"/>
      <c r="F161" s="19">
        <f t="shared" si="23"/>
        <v>-7.4915536052143982E-5</v>
      </c>
      <c r="G161" s="2"/>
      <c r="H161" s="2">
        <v>59.75</v>
      </c>
      <c r="I161" s="2"/>
      <c r="J161" s="19">
        <f t="shared" si="24"/>
        <v>7.5894969034916168E-5</v>
      </c>
      <c r="K161" s="2"/>
      <c r="L161" s="2">
        <f t="shared" si="25"/>
        <v>-79.5</v>
      </c>
      <c r="M161" s="2"/>
      <c r="N161" s="19">
        <f t="shared" si="26"/>
        <v>-1.3305439330543933</v>
      </c>
      <c r="O161" s="11"/>
      <c r="P161" s="2">
        <v>2824.37</v>
      </c>
      <c r="Q161" s="2"/>
      <c r="R161" s="19">
        <f t="shared" si="27"/>
        <v>3.1288874678097055E-4</v>
      </c>
      <c r="S161" s="2"/>
      <c r="T161" s="2">
        <v>7553.59</v>
      </c>
      <c r="U161" s="2"/>
      <c r="V161" s="19">
        <f t="shared" si="28"/>
        <v>6.7283188174624084E-4</v>
      </c>
      <c r="W161" s="2"/>
      <c r="X161" s="2">
        <f t="shared" si="29"/>
        <v>-4729.22</v>
      </c>
      <c r="Y161" s="2"/>
      <c r="Z161" s="19">
        <f t="shared" si="30"/>
        <v>-0.62608905169594853</v>
      </c>
    </row>
    <row r="162" spans="1:26" s="24" customFormat="1" hidden="1" outlineLevel="1" x14ac:dyDescent="0.25">
      <c r="A162" s="44"/>
      <c r="B162" s="11" t="str">
        <f>CONCATENATE("          ", "5540", " - ", "FREIGHT-IN-LOGO CLOTHING")</f>
        <v xml:space="preserve">          5540 - FREIGHT-IN-LOGO CLOTHING</v>
      </c>
      <c r="C162" s="11"/>
      <c r="D162" s="2">
        <v>815.7</v>
      </c>
      <c r="E162" s="2"/>
      <c r="F162" s="19">
        <f t="shared" si="23"/>
        <v>3.0941064687460178E-3</v>
      </c>
      <c r="G162" s="2"/>
      <c r="H162" s="2">
        <v>872.01</v>
      </c>
      <c r="I162" s="2"/>
      <c r="J162" s="19">
        <f t="shared" si="24"/>
        <v>1.107634676956272E-3</v>
      </c>
      <c r="K162" s="2"/>
      <c r="L162" s="2">
        <f t="shared" si="25"/>
        <v>-56.309999999999945</v>
      </c>
      <c r="M162" s="2"/>
      <c r="N162" s="19">
        <f t="shared" si="26"/>
        <v>-6.457494753500527E-2</v>
      </c>
      <c r="O162" s="11"/>
      <c r="P162" s="2">
        <v>32519</v>
      </c>
      <c r="Q162" s="2"/>
      <c r="R162" s="19">
        <f t="shared" si="27"/>
        <v>3.6025128281954497E-3</v>
      </c>
      <c r="S162" s="2"/>
      <c r="T162" s="2">
        <v>29895.85</v>
      </c>
      <c r="U162" s="2"/>
      <c r="V162" s="19">
        <f t="shared" si="28"/>
        <v>2.66295642362153E-3</v>
      </c>
      <c r="W162" s="2"/>
      <c r="X162" s="2">
        <f t="shared" si="29"/>
        <v>2623.1500000000015</v>
      </c>
      <c r="Y162" s="2"/>
      <c r="Z162" s="19">
        <f t="shared" si="30"/>
        <v>8.7742947599750515E-2</v>
      </c>
    </row>
    <row r="163" spans="1:26" s="24" customFormat="1" hidden="1" outlineLevel="1" x14ac:dyDescent="0.25">
      <c r="A163" s="44"/>
      <c r="B163" s="11" t="str">
        <f>CONCATENATE("          ", "5541", " - ", "FREIGHT-IN-LOGO GIFTS")</f>
        <v xml:space="preserve">          5541 - FREIGHT-IN-LOGO GIFTS</v>
      </c>
      <c r="C163" s="11"/>
      <c r="D163" s="2">
        <v>343.16</v>
      </c>
      <c r="E163" s="2"/>
      <c r="F163" s="19">
        <f t="shared" si="23"/>
        <v>1.3016716633748725E-3</v>
      </c>
      <c r="G163" s="2"/>
      <c r="H163" s="2">
        <v>1280.73</v>
      </c>
      <c r="I163" s="2"/>
      <c r="J163" s="19">
        <f t="shared" si="24"/>
        <v>1.626794371415702E-3</v>
      </c>
      <c r="K163" s="2"/>
      <c r="L163" s="2">
        <f t="shared" si="25"/>
        <v>-937.56999999999994</v>
      </c>
      <c r="M163" s="2"/>
      <c r="N163" s="19">
        <f t="shared" si="26"/>
        <v>-0.73205906006730526</v>
      </c>
      <c r="O163" s="11"/>
      <c r="P163" s="2">
        <v>5226.1000000000004</v>
      </c>
      <c r="Q163" s="2"/>
      <c r="R163" s="19">
        <f t="shared" si="27"/>
        <v>5.7895668044626958E-4</v>
      </c>
      <c r="S163" s="2"/>
      <c r="T163" s="2">
        <v>8765.51</v>
      </c>
      <c r="U163" s="2"/>
      <c r="V163" s="19">
        <f t="shared" si="28"/>
        <v>7.8078299030864677E-4</v>
      </c>
      <c r="W163" s="2"/>
      <c r="X163" s="2">
        <f t="shared" si="29"/>
        <v>-3539.41</v>
      </c>
      <c r="Y163" s="2"/>
      <c r="Z163" s="19">
        <f t="shared" si="30"/>
        <v>-0.40378825647338257</v>
      </c>
    </row>
    <row r="164" spans="1:26" s="24" customFormat="1" hidden="1" outlineLevel="1" x14ac:dyDescent="0.25">
      <c r="A164" s="44"/>
      <c r="B164" s="11" t="str">
        <f>CONCATENATE("          ", "5542", " - ", "FREIGHT-IN-EVERYDAY GIFTS")</f>
        <v xml:space="preserve">          5542 - FREIGHT-IN-EVERYDAY GIFTS</v>
      </c>
      <c r="C164" s="11"/>
      <c r="D164" s="2">
        <v>384.47</v>
      </c>
      <c r="E164" s="2"/>
      <c r="F164" s="19">
        <f t="shared" si="23"/>
        <v>1.4583684124540657E-3</v>
      </c>
      <c r="G164" s="2"/>
      <c r="H164" s="2">
        <v>383.05</v>
      </c>
      <c r="I164" s="2"/>
      <c r="J164" s="19">
        <f t="shared" si="24"/>
        <v>4.8655343746986846E-4</v>
      </c>
      <c r="K164" s="2"/>
      <c r="L164" s="2">
        <f t="shared" si="25"/>
        <v>1.4200000000000159</v>
      </c>
      <c r="M164" s="2"/>
      <c r="N164" s="19">
        <f t="shared" si="26"/>
        <v>3.7070878475395272E-3</v>
      </c>
      <c r="O164" s="11"/>
      <c r="P164" s="2">
        <v>2223.5100000000002</v>
      </c>
      <c r="Q164" s="2"/>
      <c r="R164" s="19">
        <f t="shared" si="27"/>
        <v>2.463244041520608E-4</v>
      </c>
      <c r="S164" s="2"/>
      <c r="T164" s="2">
        <v>1975.21</v>
      </c>
      <c r="U164" s="2"/>
      <c r="V164" s="19">
        <f t="shared" si="28"/>
        <v>1.7594074620729908E-4</v>
      </c>
      <c r="W164" s="2"/>
      <c r="X164" s="2">
        <f t="shared" si="29"/>
        <v>248.30000000000018</v>
      </c>
      <c r="Y164" s="2"/>
      <c r="Z164" s="19">
        <f t="shared" si="30"/>
        <v>0.12570815255086809</v>
      </c>
    </row>
    <row r="165" spans="1:26" s="24" customFormat="1" hidden="1" outlineLevel="1" x14ac:dyDescent="0.25">
      <c r="A165" s="44"/>
      <c r="B165" s="11" t="str">
        <f>CONCATENATE("          ", "5543", " - ", "FREIGHT-IN-CARDS")</f>
        <v xml:space="preserve">          5543 - FREIGHT-IN-CARDS</v>
      </c>
      <c r="C165" s="11"/>
      <c r="D165" s="2"/>
      <c r="E165" s="2"/>
      <c r="F165" s="19">
        <f t="shared" si="23"/>
        <v>0</v>
      </c>
      <c r="G165" s="2"/>
      <c r="H165" s="2"/>
      <c r="I165" s="2"/>
      <c r="J165" s="19">
        <f t="shared" si="24"/>
        <v>0</v>
      </c>
      <c r="K165" s="2"/>
      <c r="L165" s="2">
        <f t="shared" si="25"/>
        <v>0</v>
      </c>
      <c r="M165" s="2"/>
      <c r="N165" s="19">
        <f t="shared" si="26"/>
        <v>0</v>
      </c>
      <c r="O165" s="11"/>
      <c r="P165" s="2">
        <v>2926.76</v>
      </c>
      <c r="Q165" s="2"/>
      <c r="R165" s="19">
        <f t="shared" si="27"/>
        <v>3.2423169362678174E-4</v>
      </c>
      <c r="S165" s="2"/>
      <c r="T165" s="2">
        <v>57.18</v>
      </c>
      <c r="U165" s="2"/>
      <c r="V165" s="19">
        <f t="shared" si="28"/>
        <v>5.0932771037678833E-6</v>
      </c>
      <c r="W165" s="2"/>
      <c r="X165" s="2">
        <f t="shared" si="29"/>
        <v>2869.5800000000004</v>
      </c>
      <c r="Y165" s="2"/>
      <c r="Z165" s="19">
        <f t="shared" si="30"/>
        <v>50.185029730675069</v>
      </c>
    </row>
    <row r="166" spans="1:26" s="24" customFormat="1" hidden="1" outlineLevel="1" x14ac:dyDescent="0.25">
      <c r="A166" s="44"/>
      <c r="B166" s="11" t="str">
        <f>CONCATENATE("          ", "5544", " - ", "FREIGHT-IN-ACCESSORIES")</f>
        <v xml:space="preserve">          5544 - FREIGHT-IN-ACCESSORIES</v>
      </c>
      <c r="C166" s="11"/>
      <c r="D166" s="2"/>
      <c r="E166" s="2"/>
      <c r="F166" s="19">
        <f t="shared" si="23"/>
        <v>0</v>
      </c>
      <c r="G166" s="2"/>
      <c r="H166" s="2">
        <v>226.66</v>
      </c>
      <c r="I166" s="2"/>
      <c r="J166" s="19">
        <f t="shared" si="24"/>
        <v>2.8790550094483848E-4</v>
      </c>
      <c r="K166" s="2"/>
      <c r="L166" s="2">
        <f t="shared" si="25"/>
        <v>-226.66</v>
      </c>
      <c r="M166" s="2"/>
      <c r="N166" s="19">
        <f t="shared" si="26"/>
        <v>-1</v>
      </c>
      <c r="O166" s="11"/>
      <c r="P166" s="2">
        <v>483.44</v>
      </c>
      <c r="Q166" s="2"/>
      <c r="R166" s="19">
        <f t="shared" si="27"/>
        <v>5.3556345572213416E-5</v>
      </c>
      <c r="S166" s="2"/>
      <c r="T166" s="2">
        <v>1360.08</v>
      </c>
      <c r="U166" s="2"/>
      <c r="V166" s="19">
        <f t="shared" si="28"/>
        <v>1.2114837921113366E-4</v>
      </c>
      <c r="W166" s="2"/>
      <c r="X166" s="2">
        <f t="shared" si="29"/>
        <v>-876.63999999999987</v>
      </c>
      <c r="Y166" s="2"/>
      <c r="Z166" s="19">
        <f t="shared" si="30"/>
        <v>-0.64455032056937822</v>
      </c>
    </row>
    <row r="167" spans="1:26" s="24" customFormat="1" hidden="1" outlineLevel="1" x14ac:dyDescent="0.25">
      <c r="A167" s="44"/>
      <c r="B167" s="11" t="str">
        <f>CONCATENATE("          ", "5545", " - ", "FREIGHT-IN-SPECIAL ORDERS")</f>
        <v xml:space="preserve">          5545 - FREIGHT-IN-SPECIAL ORDERS</v>
      </c>
      <c r="C167" s="11"/>
      <c r="D167" s="2">
        <v>173.06</v>
      </c>
      <c r="E167" s="2"/>
      <c r="F167" s="19">
        <f t="shared" si="23"/>
        <v>6.5644975540172341E-4</v>
      </c>
      <c r="G167" s="2"/>
      <c r="H167" s="2">
        <v>637.24</v>
      </c>
      <c r="I167" s="2"/>
      <c r="J167" s="19">
        <f t="shared" si="24"/>
        <v>8.0942778356167327E-4</v>
      </c>
      <c r="K167" s="2"/>
      <c r="L167" s="2">
        <f t="shared" si="25"/>
        <v>-464.18</v>
      </c>
      <c r="M167" s="2"/>
      <c r="N167" s="19">
        <f t="shared" si="26"/>
        <v>-0.72842257234323016</v>
      </c>
      <c r="O167" s="11"/>
      <c r="P167" s="2">
        <v>1065.32</v>
      </c>
      <c r="Q167" s="2"/>
      <c r="R167" s="19">
        <f t="shared" si="27"/>
        <v>1.1801804994413038E-4</v>
      </c>
      <c r="S167" s="2"/>
      <c r="T167" s="2">
        <v>2281.42</v>
      </c>
      <c r="U167" s="2"/>
      <c r="V167" s="19">
        <f t="shared" si="28"/>
        <v>2.0321623382438134E-4</v>
      </c>
      <c r="W167" s="2"/>
      <c r="X167" s="2">
        <f t="shared" si="29"/>
        <v>-1216.1000000000001</v>
      </c>
      <c r="Y167" s="2"/>
      <c r="Z167" s="19">
        <f t="shared" si="30"/>
        <v>-0.53304520868581851</v>
      </c>
    </row>
    <row r="168" spans="1:26" s="24" customFormat="1" hidden="1" outlineLevel="1" x14ac:dyDescent="0.25">
      <c r="A168" s="44"/>
      <c r="B168" s="11" t="str">
        <f>CONCATENATE("          ", "5592", " - ", "FREIGHT-IN-GRAD MERCH")</f>
        <v xml:space="preserve">          5592 - FREIGHT-IN-GRAD MERCH</v>
      </c>
      <c r="C168" s="11"/>
      <c r="D168" s="2">
        <v>41.32</v>
      </c>
      <c r="E168" s="2"/>
      <c r="F168" s="19">
        <f t="shared" si="23"/>
        <v>1.5673468099618173E-4</v>
      </c>
      <c r="G168" s="2"/>
      <c r="H168" s="2">
        <v>761.96</v>
      </c>
      <c r="I168" s="2"/>
      <c r="J168" s="19">
        <f t="shared" si="24"/>
        <v>9.6784821097648085E-4</v>
      </c>
      <c r="K168" s="2"/>
      <c r="L168" s="2">
        <f t="shared" si="25"/>
        <v>-720.64</v>
      </c>
      <c r="M168" s="2"/>
      <c r="N168" s="19">
        <f t="shared" si="26"/>
        <v>-0.94577143157121102</v>
      </c>
      <c r="O168" s="11"/>
      <c r="P168" s="2">
        <v>160.05000000000001</v>
      </c>
      <c r="Q168" s="2"/>
      <c r="R168" s="19">
        <f t="shared" si="27"/>
        <v>1.7730624501143386E-5</v>
      </c>
      <c r="S168" s="2"/>
      <c r="T168" s="2">
        <v>2342.73</v>
      </c>
      <c r="U168" s="2"/>
      <c r="V168" s="19">
        <f t="shared" si="28"/>
        <v>2.0867738841046055E-4</v>
      </c>
      <c r="W168" s="2"/>
      <c r="X168" s="2">
        <f t="shared" si="29"/>
        <v>-2182.6799999999998</v>
      </c>
      <c r="Y168" s="2"/>
      <c r="Z168" s="19">
        <f t="shared" si="30"/>
        <v>-0.93168226812308708</v>
      </c>
    </row>
    <row r="169" spans="1:26" x14ac:dyDescent="0.25">
      <c r="A169" s="9"/>
      <c r="B169" s="10"/>
      <c r="C169" s="10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O169" s="10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s="23" customFormat="1" x14ac:dyDescent="0.25">
      <c r="A170" s="10"/>
      <c r="B170" s="29" t="s">
        <v>6</v>
      </c>
      <c r="C170" s="29"/>
      <c r="D170" s="21">
        <f>D12-D117</f>
        <v>108802.59999999983</v>
      </c>
      <c r="E170" s="14"/>
      <c r="F170" s="20">
        <f>IF(D$12=0,0,D170/D$12)</f>
        <v>0.41270911913250574</v>
      </c>
      <c r="G170" s="14"/>
      <c r="H170" s="21">
        <f>H12-H117</f>
        <v>419721.01999999967</v>
      </c>
      <c r="I170" s="14"/>
      <c r="J170" s="20">
        <f>IF(H$12=0,0,H170/H$12)</f>
        <v>0.53313328562683526</v>
      </c>
      <c r="K170" s="16"/>
      <c r="L170" s="21">
        <f>+D170-H170</f>
        <v>-310918.41999999981</v>
      </c>
      <c r="M170" s="16"/>
      <c r="N170" s="20">
        <f>IF(H170=0,0,L170/H170)</f>
        <v>-0.74077400269350357</v>
      </c>
      <c r="O170" s="28"/>
      <c r="P170" s="21">
        <f>P12-P117</f>
        <v>3779573.2700000051</v>
      </c>
      <c r="Q170" s="14"/>
      <c r="R170" s="20">
        <f>IF(P$12=0,0,P170/P$12)</f>
        <v>0.4187078689467586</v>
      </c>
      <c r="S170" s="14"/>
      <c r="T170" s="21">
        <f>T12-T117</f>
        <v>4773420.2100000065</v>
      </c>
      <c r="U170" s="14"/>
      <c r="V170" s="20">
        <f>IF(T$12=0,0,T170/T$12)</f>
        <v>0.4251897842297292</v>
      </c>
      <c r="W170" s="16"/>
      <c r="X170" s="21">
        <f>+P170-T170</f>
        <v>-993846.94000000134</v>
      </c>
      <c r="Y170" s="16"/>
      <c r="Z170" s="20">
        <f>IF(T170=0,0,X170/T170)</f>
        <v>-0.20820436841448745</v>
      </c>
    </row>
    <row r="171" spans="1:26" x14ac:dyDescent="0.25">
      <c r="A171" s="9"/>
      <c r="B171" s="10"/>
      <c r="C171" s="9"/>
      <c r="D171" s="1"/>
      <c r="E171" s="1"/>
      <c r="F171" s="5"/>
      <c r="G171" s="1"/>
      <c r="H171" s="1"/>
      <c r="I171" s="1"/>
      <c r="J171" s="5"/>
      <c r="K171" s="1"/>
      <c r="L171" s="1"/>
      <c r="M171" s="1"/>
      <c r="N171" s="5"/>
      <c r="O171" s="37"/>
      <c r="P171" s="1"/>
      <c r="Q171" s="1"/>
      <c r="R171" s="5"/>
      <c r="S171" s="1"/>
      <c r="T171" s="1"/>
      <c r="U171" s="1"/>
      <c r="V171" s="5"/>
      <c r="W171" s="1"/>
      <c r="X171" s="1"/>
      <c r="Y171" s="1"/>
      <c r="Z171" s="5"/>
    </row>
    <row r="172" spans="1:26" s="23" customFormat="1" x14ac:dyDescent="0.25">
      <c r="A172" s="10"/>
      <c r="B172" s="28" t="s">
        <v>9</v>
      </c>
      <c r="C172" s="10"/>
      <c r="D172" s="22">
        <f>SUM(OSRRefD22x_0)</f>
        <v>246220.08</v>
      </c>
      <c r="E172" s="22"/>
      <c r="F172" s="31">
        <f t="shared" ref="F172:F182" si="31">IF(D$12=0,0,D172/D$12)</f>
        <v>0.9339599635443937</v>
      </c>
      <c r="G172" s="22"/>
      <c r="H172" s="22">
        <f>SUM(OSRRefH22x_0)</f>
        <v>407239.23</v>
      </c>
      <c r="I172" s="22"/>
      <c r="J172" s="31">
        <f t="shared" ref="J172:J182" si="32">IF(H$12=0,0,H172/H$12)</f>
        <v>0.51727880754231137</v>
      </c>
      <c r="K172" s="4"/>
      <c r="L172" s="22">
        <f t="shared" ref="L172:L182" si="33">+D172-H172</f>
        <v>-161019.15</v>
      </c>
      <c r="M172" s="4"/>
      <c r="N172" s="31">
        <f t="shared" ref="N172:N182" si="34">IF(H172=0,0,L172/H172)</f>
        <v>-0.39539204020202079</v>
      </c>
      <c r="O172" s="10"/>
      <c r="P172" s="22">
        <f>SUM(OSRRefP22x_0)</f>
        <v>3894900.24</v>
      </c>
      <c r="Q172" s="22"/>
      <c r="R172" s="31">
        <f t="shared" ref="R172:R182" si="35">IF(P$12=0,0,P172/P$12)</f>
        <v>0.43148399640645579</v>
      </c>
      <c r="S172" s="22"/>
      <c r="T172" s="22">
        <f>SUM(OSRRefT22x_0)</f>
        <v>4311337.5500000035</v>
      </c>
      <c r="U172" s="22"/>
      <c r="V172" s="31">
        <f t="shared" ref="V172:V182" si="36">IF(T$12=0,0,T172/T$12)</f>
        <v>0.38403002500926448</v>
      </c>
      <c r="W172" s="4"/>
      <c r="X172" s="22">
        <f t="shared" ref="X172:X182" si="37">+P172-T172</f>
        <v>-416437.31000000332</v>
      </c>
      <c r="Y172" s="4"/>
      <c r="Z172" s="31">
        <f t="shared" ref="Z172:Z182" si="38">IF(T172=0,0,X172/T172)</f>
        <v>-9.6591209843915601E-2</v>
      </c>
    </row>
    <row r="173" spans="1:26" s="27" customFormat="1" outlineLevel="1" collapsed="1" x14ac:dyDescent="0.25">
      <c r="A173" s="25"/>
      <c r="B173" s="13" t="str">
        <f>CONCATENATE("     ","*Benefits                                         ")</f>
        <v xml:space="preserve">     *Benefits                                         </v>
      </c>
      <c r="C173" s="13"/>
      <c r="D173" s="1">
        <f>SUM(OSRRefD22_0x_0)</f>
        <v>34546.320000000007</v>
      </c>
      <c r="E173" s="1"/>
      <c r="F173" s="5">
        <f t="shared" si="31"/>
        <v>0.13104081424956471</v>
      </c>
      <c r="G173" s="1"/>
      <c r="H173" s="1">
        <f>SUM(OSRRefH22_0x_0)</f>
        <v>55371.890000000007</v>
      </c>
      <c r="I173" s="1"/>
      <c r="J173" s="5">
        <f t="shared" si="32"/>
        <v>7.0333855681251625E-2</v>
      </c>
      <c r="K173" s="1"/>
      <c r="L173" s="1">
        <f t="shared" si="33"/>
        <v>-20825.57</v>
      </c>
      <c r="M173" s="1"/>
      <c r="N173" s="5">
        <f t="shared" si="34"/>
        <v>-0.37610365114862426</v>
      </c>
      <c r="O173" s="13"/>
      <c r="P173" s="1">
        <f>SUM(OSRRefP22_0x_0)</f>
        <v>485164.55</v>
      </c>
      <c r="Q173" s="1"/>
      <c r="R173" s="5">
        <f t="shared" si="35"/>
        <v>5.3747394297508307E-2</v>
      </c>
      <c r="S173" s="1"/>
      <c r="T173" s="1">
        <f>SUM(OSRRefT22_0x_0)</f>
        <v>556982.42999999993</v>
      </c>
      <c r="U173" s="1"/>
      <c r="V173" s="5">
        <f t="shared" si="36"/>
        <v>4.9612904125918116E-2</v>
      </c>
      <c r="W173" s="1"/>
      <c r="X173" s="1">
        <f t="shared" si="37"/>
        <v>-71817.879999999946</v>
      </c>
      <c r="Y173" s="1"/>
      <c r="Z173" s="5">
        <f t="shared" si="38"/>
        <v>-0.12894101524890103</v>
      </c>
    </row>
    <row r="174" spans="1:26" s="24" customFormat="1" hidden="1" outlineLevel="2" x14ac:dyDescent="0.25">
      <c r="A174" s="26"/>
      <c r="B174" s="11" t="str">
        <f>CONCATENATE("          ", "6111", " - ", "F.I.C.A.")</f>
        <v xml:space="preserve">          6111 - F.I.C.A.</v>
      </c>
      <c r="C174" s="11"/>
      <c r="D174" s="6">
        <v>6049.72</v>
      </c>
      <c r="E174" s="2"/>
      <c r="F174" s="7">
        <f t="shared" si="31"/>
        <v>2.294774768432286E-2</v>
      </c>
      <c r="G174" s="2"/>
      <c r="H174" s="6">
        <v>12976.03</v>
      </c>
      <c r="I174" s="2"/>
      <c r="J174" s="7">
        <f t="shared" si="32"/>
        <v>1.6482266025876876E-2</v>
      </c>
      <c r="K174" s="2"/>
      <c r="L174" s="6">
        <f t="shared" si="33"/>
        <v>-6926.31</v>
      </c>
      <c r="M174" s="2"/>
      <c r="N174" s="7">
        <f t="shared" si="34"/>
        <v>-0.53377728010801451</v>
      </c>
      <c r="O174" s="11"/>
      <c r="P174" s="6">
        <v>99844.84</v>
      </c>
      <c r="Q174" s="2"/>
      <c r="R174" s="7">
        <f t="shared" si="35"/>
        <v>1.1060989480891853E-2</v>
      </c>
      <c r="S174" s="2"/>
      <c r="T174" s="6">
        <v>103600.13</v>
      </c>
      <c r="U174" s="2"/>
      <c r="V174" s="7">
        <f t="shared" si="36"/>
        <v>9.22812469528465E-3</v>
      </c>
      <c r="W174" s="2"/>
      <c r="X174" s="6">
        <f t="shared" si="37"/>
        <v>-3755.2900000000081</v>
      </c>
      <c r="Y174" s="2"/>
      <c r="Z174" s="7">
        <f t="shared" si="38"/>
        <v>-3.6247927488121952E-2</v>
      </c>
    </row>
    <row r="175" spans="1:26" s="24" customFormat="1" hidden="1" outlineLevel="2" x14ac:dyDescent="0.25">
      <c r="A175" s="26"/>
      <c r="B175" s="11" t="str">
        <f>CONCATENATE("          ", "6112", " - ", "COMPENSATION INSURANCE")</f>
        <v xml:space="preserve">          6112 - COMPENSATION INSURANCE</v>
      </c>
      <c r="C175" s="11"/>
      <c r="D175" s="6">
        <v>1933.73</v>
      </c>
      <c r="E175" s="2"/>
      <c r="F175" s="7">
        <f t="shared" si="31"/>
        <v>7.3350085838031591E-3</v>
      </c>
      <c r="G175" s="2"/>
      <c r="H175" s="6">
        <v>1571.56</v>
      </c>
      <c r="I175" s="2"/>
      <c r="J175" s="7">
        <f t="shared" si="32"/>
        <v>1.9962091637910099E-3</v>
      </c>
      <c r="K175" s="2"/>
      <c r="L175" s="6">
        <f t="shared" si="33"/>
        <v>362.17000000000007</v>
      </c>
      <c r="M175" s="2"/>
      <c r="N175" s="7">
        <f t="shared" si="34"/>
        <v>0.23045254396904991</v>
      </c>
      <c r="O175" s="11"/>
      <c r="P175" s="6">
        <v>26308.79</v>
      </c>
      <c r="Q175" s="2"/>
      <c r="R175" s="7">
        <f t="shared" si="35"/>
        <v>2.9145346864694536E-3</v>
      </c>
      <c r="S175" s="2"/>
      <c r="T175" s="6">
        <v>16980.68</v>
      </c>
      <c r="U175" s="2"/>
      <c r="V175" s="7">
        <f t="shared" si="36"/>
        <v>1.5125447472964188E-3</v>
      </c>
      <c r="W175" s="2"/>
      <c r="X175" s="6">
        <f t="shared" si="37"/>
        <v>9328.11</v>
      </c>
      <c r="Y175" s="2"/>
      <c r="Z175" s="7">
        <f t="shared" si="38"/>
        <v>0.54933665789591468</v>
      </c>
    </row>
    <row r="176" spans="1:26" s="24" customFormat="1" hidden="1" outlineLevel="2" x14ac:dyDescent="0.25">
      <c r="A176" s="26"/>
      <c r="B176" s="11" t="str">
        <f>CONCATENATE("          ", "6113", " - ", "GROUP INSURANCE")</f>
        <v xml:space="preserve">          6113 - GROUP INSURANCE</v>
      </c>
      <c r="C176" s="11"/>
      <c r="D176" s="6">
        <v>13413.27</v>
      </c>
      <c r="E176" s="2"/>
      <c r="F176" s="7">
        <f t="shared" si="31"/>
        <v>5.087910441833627E-2</v>
      </c>
      <c r="G176" s="2"/>
      <c r="H176" s="6">
        <v>20662.68</v>
      </c>
      <c r="I176" s="2"/>
      <c r="J176" s="7">
        <f t="shared" si="32"/>
        <v>2.6245915628090071E-2</v>
      </c>
      <c r="K176" s="2"/>
      <c r="L176" s="6">
        <f t="shared" si="33"/>
        <v>-7249.41</v>
      </c>
      <c r="M176" s="2"/>
      <c r="N176" s="7">
        <f t="shared" si="34"/>
        <v>-0.35084558247042491</v>
      </c>
      <c r="O176" s="11"/>
      <c r="P176" s="6">
        <v>190029.07</v>
      </c>
      <c r="Q176" s="2"/>
      <c r="R176" s="7">
        <f t="shared" si="35"/>
        <v>2.1051759353148961E-2</v>
      </c>
      <c r="S176" s="2"/>
      <c r="T176" s="6">
        <v>215315.32</v>
      </c>
      <c r="U176" s="2"/>
      <c r="V176" s="7">
        <f t="shared" si="36"/>
        <v>1.9179093904275187E-2</v>
      </c>
      <c r="W176" s="2"/>
      <c r="X176" s="6">
        <f t="shared" si="37"/>
        <v>-25286.25</v>
      </c>
      <c r="Y176" s="2"/>
      <c r="Z176" s="7">
        <f t="shared" si="38"/>
        <v>-0.11743822966243182</v>
      </c>
    </row>
    <row r="177" spans="1:26" s="24" customFormat="1" hidden="1" outlineLevel="2" x14ac:dyDescent="0.25">
      <c r="A177" s="26"/>
      <c r="B177" s="11" t="str">
        <f>CONCATENATE("          ", "6114", " - ", "STATE UNEMPLOYMENT INSURANCE")</f>
        <v xml:space="preserve">          6114 - STATE UNEMPLOYMENT INSURANCE</v>
      </c>
      <c r="C177" s="11"/>
      <c r="D177" s="6">
        <v>338.46</v>
      </c>
      <c r="E177" s="2"/>
      <c r="F177" s="7">
        <f t="shared" si="31"/>
        <v>1.2838436623903114E-3</v>
      </c>
      <c r="G177" s="2"/>
      <c r="H177" s="6">
        <v>433.8</v>
      </c>
      <c r="I177" s="2"/>
      <c r="J177" s="7">
        <f t="shared" si="32"/>
        <v>5.5101652832379301E-4</v>
      </c>
      <c r="K177" s="2"/>
      <c r="L177" s="6">
        <f t="shared" si="33"/>
        <v>-95.340000000000032</v>
      </c>
      <c r="M177" s="2"/>
      <c r="N177" s="7">
        <f t="shared" si="34"/>
        <v>-0.21977869986168749</v>
      </c>
      <c r="O177" s="11"/>
      <c r="P177" s="6">
        <v>5103.99</v>
      </c>
      <c r="Q177" s="2"/>
      <c r="R177" s="7">
        <f t="shared" si="35"/>
        <v>5.6542911682343525E-4</v>
      </c>
      <c r="S177" s="2"/>
      <c r="T177" s="6">
        <v>5297.48</v>
      </c>
      <c r="U177" s="2"/>
      <c r="V177" s="7">
        <f t="shared" si="36"/>
        <v>4.7187012227471644E-4</v>
      </c>
      <c r="W177" s="2"/>
      <c r="X177" s="6">
        <f t="shared" si="37"/>
        <v>-193.48999999999978</v>
      </c>
      <c r="Y177" s="2"/>
      <c r="Z177" s="7">
        <f t="shared" si="38"/>
        <v>-3.6524913732567145E-2</v>
      </c>
    </row>
    <row r="178" spans="1:26" s="24" customFormat="1" hidden="1" outlineLevel="2" x14ac:dyDescent="0.25">
      <c r="A178" s="26"/>
      <c r="B178" s="11" t="str">
        <f>CONCATENATE("          ", "6115", " - ", "P.E.R.S.")</f>
        <v xml:space="preserve">          6115 - P.E.R.S.</v>
      </c>
      <c r="C178" s="11"/>
      <c r="D178" s="6">
        <v>4664.0600000000004</v>
      </c>
      <c r="E178" s="2"/>
      <c r="F178" s="7">
        <f t="shared" si="31"/>
        <v>1.7691673674904439E-2</v>
      </c>
      <c r="G178" s="2"/>
      <c r="H178" s="6">
        <v>5418.67</v>
      </c>
      <c r="I178" s="2"/>
      <c r="J178" s="7">
        <f t="shared" si="32"/>
        <v>6.8828417047770577E-3</v>
      </c>
      <c r="K178" s="2"/>
      <c r="L178" s="6">
        <f t="shared" si="33"/>
        <v>-754.60999999999967</v>
      </c>
      <c r="M178" s="2"/>
      <c r="N178" s="7">
        <f t="shared" si="34"/>
        <v>-0.13926111019862802</v>
      </c>
      <c r="O178" s="11"/>
      <c r="P178" s="6">
        <v>74460.61</v>
      </c>
      <c r="Q178" s="2"/>
      <c r="R178" s="7">
        <f t="shared" si="35"/>
        <v>8.2488792004753644E-3</v>
      </c>
      <c r="S178" s="2"/>
      <c r="T178" s="6">
        <v>71467.14</v>
      </c>
      <c r="U178" s="2"/>
      <c r="V178" s="7">
        <f t="shared" si="36"/>
        <v>6.3658962545256013E-3</v>
      </c>
      <c r="W178" s="2"/>
      <c r="X178" s="6">
        <f t="shared" si="37"/>
        <v>2993.4700000000012</v>
      </c>
      <c r="Y178" s="2"/>
      <c r="Z178" s="7">
        <f t="shared" si="38"/>
        <v>4.1885963255280698E-2</v>
      </c>
    </row>
    <row r="179" spans="1:26" s="24" customFormat="1" hidden="1" outlineLevel="2" x14ac:dyDescent="0.25">
      <c r="A179" s="26"/>
      <c r="B179" s="11" t="str">
        <f>CONCATENATE("          ", "6117", " - ", "RETIREMENT STAFF HOURLY")</f>
        <v xml:space="preserve">          6117 - RETIREMENT STAFF HOURLY</v>
      </c>
      <c r="C179" s="11"/>
      <c r="D179" s="6">
        <v>219.6</v>
      </c>
      <c r="E179" s="2"/>
      <c r="F179" s="7">
        <f t="shared" si="31"/>
        <v>8.3298489706586424E-4</v>
      </c>
      <c r="G179" s="2"/>
      <c r="H179" s="6">
        <v>255.75</v>
      </c>
      <c r="I179" s="2"/>
      <c r="J179" s="7">
        <f t="shared" si="32"/>
        <v>3.2485587164317672E-4</v>
      </c>
      <c r="K179" s="2"/>
      <c r="L179" s="6">
        <f t="shared" si="33"/>
        <v>-36.150000000000006</v>
      </c>
      <c r="M179" s="2"/>
      <c r="N179" s="7">
        <f t="shared" si="34"/>
        <v>-0.14134897360703816</v>
      </c>
      <c r="O179" s="11"/>
      <c r="P179" s="6">
        <v>1835.92</v>
      </c>
      <c r="Q179" s="2"/>
      <c r="R179" s="7">
        <f t="shared" si="35"/>
        <v>2.0338649255944495E-4</v>
      </c>
      <c r="S179" s="2"/>
      <c r="T179" s="6">
        <v>3203.98</v>
      </c>
      <c r="U179" s="2"/>
      <c r="V179" s="7">
        <f t="shared" si="36"/>
        <v>2.8539275926775488E-4</v>
      </c>
      <c r="W179" s="2"/>
      <c r="X179" s="6">
        <f t="shared" si="37"/>
        <v>-1368.06</v>
      </c>
      <c r="Y179" s="2"/>
      <c r="Z179" s="7">
        <f t="shared" si="38"/>
        <v>-0.42698768406794047</v>
      </c>
    </row>
    <row r="180" spans="1:26" s="24" customFormat="1" hidden="1" outlineLevel="2" x14ac:dyDescent="0.25">
      <c r="A180" s="26"/>
      <c r="B180" s="11" t="str">
        <f>CONCATENATE("          ", "6118", " - ", "VACATION")</f>
        <v xml:space="preserve">          6118 - VACATION</v>
      </c>
      <c r="C180" s="11"/>
      <c r="D180" s="6">
        <v>4493.24</v>
      </c>
      <c r="E180" s="2"/>
      <c r="F180" s="7">
        <f t="shared" si="31"/>
        <v>1.7043720668908122E-2</v>
      </c>
      <c r="G180" s="2"/>
      <c r="H180" s="6">
        <v>7164.35</v>
      </c>
      <c r="I180" s="2"/>
      <c r="J180" s="7">
        <f t="shared" si="32"/>
        <v>9.1002196051096513E-3</v>
      </c>
      <c r="K180" s="2"/>
      <c r="L180" s="6">
        <f t="shared" si="33"/>
        <v>-2671.1100000000006</v>
      </c>
      <c r="M180" s="2"/>
      <c r="N180" s="7">
        <f t="shared" si="34"/>
        <v>-0.37283354386650575</v>
      </c>
      <c r="O180" s="11"/>
      <c r="P180" s="6">
        <v>62712.65</v>
      </c>
      <c r="Q180" s="2"/>
      <c r="R180" s="7">
        <f t="shared" si="35"/>
        <v>6.9474192353741306E-3</v>
      </c>
      <c r="S180" s="2"/>
      <c r="T180" s="6">
        <v>67524.86</v>
      </c>
      <c r="U180" s="2"/>
      <c r="V180" s="7">
        <f t="shared" si="36"/>
        <v>6.0147398281415153E-3</v>
      </c>
      <c r="W180" s="2"/>
      <c r="X180" s="6">
        <f t="shared" si="37"/>
        <v>-4812.2099999999991</v>
      </c>
      <c r="Y180" s="2"/>
      <c r="Z180" s="7">
        <f t="shared" si="38"/>
        <v>-7.1265753087085243E-2</v>
      </c>
    </row>
    <row r="181" spans="1:26" s="24" customFormat="1" hidden="1" outlineLevel="2" x14ac:dyDescent="0.25">
      <c r="A181" s="26"/>
      <c r="B181" s="11" t="str">
        <f>CONCATENATE("          ", "6119", " - ", "SICK LEAVE")</f>
        <v xml:space="preserve">          6119 - SICK LEAVE</v>
      </c>
      <c r="C181" s="11"/>
      <c r="D181" s="6">
        <v>2857.44</v>
      </c>
      <c r="E181" s="2"/>
      <c r="F181" s="7">
        <f t="shared" si="31"/>
        <v>1.083881768794118E-2</v>
      </c>
      <c r="G181" s="2"/>
      <c r="H181" s="6">
        <v>4852.25</v>
      </c>
      <c r="I181" s="2"/>
      <c r="J181" s="7">
        <f t="shared" si="32"/>
        <v>6.1633701004129206E-3</v>
      </c>
      <c r="K181" s="2"/>
      <c r="L181" s="6">
        <f t="shared" si="33"/>
        <v>-1994.81</v>
      </c>
      <c r="M181" s="2"/>
      <c r="N181" s="7">
        <f t="shared" si="34"/>
        <v>-0.41111030965016226</v>
      </c>
      <c r="O181" s="11"/>
      <c r="P181" s="6">
        <v>6043.11</v>
      </c>
      <c r="Q181" s="2"/>
      <c r="R181" s="7">
        <f t="shared" si="35"/>
        <v>6.6946650564888839E-4</v>
      </c>
      <c r="S181" s="2"/>
      <c r="T181" s="6">
        <v>51157.85</v>
      </c>
      <c r="U181" s="2"/>
      <c r="V181" s="7">
        <f t="shared" si="36"/>
        <v>4.5568573991429141E-3</v>
      </c>
      <c r="W181" s="2"/>
      <c r="X181" s="6">
        <f t="shared" si="37"/>
        <v>-45114.74</v>
      </c>
      <c r="Y181" s="2"/>
      <c r="Z181" s="7">
        <f t="shared" si="38"/>
        <v>-0.88187326089739893</v>
      </c>
    </row>
    <row r="182" spans="1:26" s="24" customFormat="1" hidden="1" outlineLevel="2" x14ac:dyDescent="0.25">
      <c r="A182" s="26"/>
      <c r="B182" s="11" t="str">
        <f>CONCATENATE("          ", "6156", " - ", "EMPLOYEE MEALS")</f>
        <v xml:space="preserve">          6156 - EMPLOYEE MEALS</v>
      </c>
      <c r="C182" s="11"/>
      <c r="D182" s="6">
        <v>576.79999999999995</v>
      </c>
      <c r="E182" s="2"/>
      <c r="F182" s="7">
        <f t="shared" si="31"/>
        <v>2.1879129718924886E-3</v>
      </c>
      <c r="G182" s="2"/>
      <c r="H182" s="6">
        <v>2036.8</v>
      </c>
      <c r="I182" s="2"/>
      <c r="J182" s="7">
        <f t="shared" si="32"/>
        <v>2.587161053227067E-3</v>
      </c>
      <c r="K182" s="2"/>
      <c r="L182" s="6">
        <f t="shared" si="33"/>
        <v>-1460</v>
      </c>
      <c r="M182" s="2"/>
      <c r="N182" s="7">
        <f t="shared" si="34"/>
        <v>-0.71681068342498033</v>
      </c>
      <c r="O182" s="11"/>
      <c r="P182" s="6">
        <v>18825.57</v>
      </c>
      <c r="Q182" s="2"/>
      <c r="R182" s="7">
        <f t="shared" si="35"/>
        <v>2.085530226116775E-3</v>
      </c>
      <c r="S182" s="2"/>
      <c r="T182" s="6">
        <v>22434.99</v>
      </c>
      <c r="U182" s="2"/>
      <c r="V182" s="7">
        <f t="shared" si="36"/>
        <v>1.9983844157093643E-3</v>
      </c>
      <c r="W182" s="2"/>
      <c r="X182" s="6">
        <f t="shared" si="37"/>
        <v>-3609.4200000000019</v>
      </c>
      <c r="Y182" s="2"/>
      <c r="Z182" s="7">
        <f t="shared" si="38"/>
        <v>-0.16088351276287627</v>
      </c>
    </row>
    <row r="183" spans="1:26" s="27" customFormat="1" outlineLevel="1" collapsed="1" x14ac:dyDescent="0.25">
      <c r="A183" s="25"/>
      <c r="B183" s="13" t="str">
        <f>CONCATENATE("     ","*Payroll                                          ")</f>
        <v xml:space="preserve">     *Payroll                                          </v>
      </c>
      <c r="C183" s="13"/>
      <c r="D183" s="1">
        <f>SUM(OSRRefD22_1x_0)</f>
        <v>84495.489999999991</v>
      </c>
      <c r="E183" s="1"/>
      <c r="F183" s="5">
        <f t="shared" ref="F183:F190" si="39">IF(D$12=0,0,D183/D$12)</f>
        <v>0.32050759125764916</v>
      </c>
      <c r="G183" s="1"/>
      <c r="H183" s="1">
        <f>SUM(OSRRefH22_1x_0)</f>
        <v>199851.73</v>
      </c>
      <c r="I183" s="1"/>
      <c r="J183" s="5">
        <f t="shared" ref="J183:J190" si="40">IF(H$12=0,0,H183/H$12)</f>
        <v>0.25385340351337954</v>
      </c>
      <c r="K183" s="1"/>
      <c r="L183" s="1">
        <f t="shared" ref="L183:L190" si="41">+D183-H183</f>
        <v>-115356.24000000002</v>
      </c>
      <c r="M183" s="1"/>
      <c r="N183" s="5">
        <f t="shared" ref="N183:N190" si="42">IF(H183=0,0,L183/H183)</f>
        <v>-0.57720911397664665</v>
      </c>
      <c r="O183" s="13"/>
      <c r="P183" s="1">
        <f>SUM(OSRRefP22_1x_0)</f>
        <v>1794940.71</v>
      </c>
      <c r="Q183" s="1"/>
      <c r="R183" s="5">
        <f t="shared" ref="R183:R190" si="43">IF(P$12=0,0,P183/P$12)</f>
        <v>0.19884673371337519</v>
      </c>
      <c r="S183" s="1"/>
      <c r="T183" s="1">
        <f>SUM(OSRRefT22_1x_0)</f>
        <v>1900424.97</v>
      </c>
      <c r="U183" s="1"/>
      <c r="V183" s="5">
        <f t="shared" ref="V183:V190" si="44">IF(T$12=0,0,T183/T$12)</f>
        <v>0.16927931072280111</v>
      </c>
      <c r="W183" s="1"/>
      <c r="X183" s="1">
        <f t="shared" ref="X183:X190" si="45">+P183-T183</f>
        <v>-105484.26000000001</v>
      </c>
      <c r="Y183" s="1"/>
      <c r="Z183" s="5">
        <f t="shared" ref="Z183:Z190" si="46">IF(T183=0,0,X183/T183)</f>
        <v>-5.5505616725294873E-2</v>
      </c>
    </row>
    <row r="184" spans="1:26" s="24" customFormat="1" hidden="1" outlineLevel="2" x14ac:dyDescent="0.25">
      <c r="A184" s="26"/>
      <c r="B184" s="11" t="str">
        <f>CONCATENATE("          ", "6001", " - ", "ADMINISTRATIVE SALARIES")</f>
        <v xml:space="preserve">          6001 - ADMINISTRATIVE SALARIES</v>
      </c>
      <c r="C184" s="11"/>
      <c r="D184" s="6"/>
      <c r="E184" s="2"/>
      <c r="F184" s="7">
        <f t="shared" si="39"/>
        <v>0</v>
      </c>
      <c r="G184" s="2"/>
      <c r="H184" s="6">
        <v>11966</v>
      </c>
      <c r="I184" s="2"/>
      <c r="J184" s="7">
        <f t="shared" si="40"/>
        <v>1.5199317145971664E-2</v>
      </c>
      <c r="K184" s="2"/>
      <c r="L184" s="6">
        <f t="shared" si="41"/>
        <v>-11966</v>
      </c>
      <c r="M184" s="2"/>
      <c r="N184" s="7">
        <f t="shared" si="42"/>
        <v>-1</v>
      </c>
      <c r="O184" s="11"/>
      <c r="P184" s="6">
        <v>93238.31</v>
      </c>
      <c r="Q184" s="2"/>
      <c r="R184" s="7">
        <f t="shared" si="43"/>
        <v>1.0329106302600451E-2</v>
      </c>
      <c r="S184" s="2"/>
      <c r="T184" s="6">
        <v>118617</v>
      </c>
      <c r="U184" s="2"/>
      <c r="V184" s="7">
        <f t="shared" si="44"/>
        <v>1.0565744145114289E-2</v>
      </c>
      <c r="W184" s="2"/>
      <c r="X184" s="6">
        <f t="shared" si="45"/>
        <v>-25378.690000000002</v>
      </c>
      <c r="Y184" s="2"/>
      <c r="Z184" s="7">
        <f t="shared" si="46"/>
        <v>-0.21395491371388589</v>
      </c>
    </row>
    <row r="185" spans="1:26" s="24" customFormat="1" hidden="1" outlineLevel="2" x14ac:dyDescent="0.25">
      <c r="A185" s="26"/>
      <c r="B185" s="11" t="str">
        <f>CONCATENATE("          ", "6002", " - ", "STAFF SALARIES")</f>
        <v xml:space="preserve">          6002 - STAFF SALARIES</v>
      </c>
      <c r="C185" s="11"/>
      <c r="D185" s="6">
        <v>45369.93</v>
      </c>
      <c r="E185" s="2"/>
      <c r="F185" s="7">
        <f t="shared" si="39"/>
        <v>0.17209684185307589</v>
      </c>
      <c r="G185" s="2"/>
      <c r="H185" s="6">
        <v>60027.270000000004</v>
      </c>
      <c r="I185" s="2"/>
      <c r="J185" s="7">
        <f t="shared" si="40"/>
        <v>7.6247159797498784E-2</v>
      </c>
      <c r="K185" s="2"/>
      <c r="L185" s="6">
        <f t="shared" si="41"/>
        <v>-14657.340000000004</v>
      </c>
      <c r="M185" s="2"/>
      <c r="N185" s="7">
        <f t="shared" si="42"/>
        <v>-0.24417802108941492</v>
      </c>
      <c r="O185" s="11"/>
      <c r="P185" s="6">
        <v>611117.42000000004</v>
      </c>
      <c r="Q185" s="2"/>
      <c r="R185" s="7">
        <f t="shared" si="43"/>
        <v>6.7700677913948973E-2</v>
      </c>
      <c r="S185" s="2"/>
      <c r="T185" s="6">
        <v>610731.28999999992</v>
      </c>
      <c r="U185" s="2"/>
      <c r="V185" s="7">
        <f t="shared" si="44"/>
        <v>5.440055431814661E-2</v>
      </c>
      <c r="W185" s="2"/>
      <c r="X185" s="6">
        <f t="shared" si="45"/>
        <v>386.13000000012107</v>
      </c>
      <c r="Y185" s="2"/>
      <c r="Z185" s="7">
        <f t="shared" si="46"/>
        <v>6.3224204543396018E-4</v>
      </c>
    </row>
    <row r="186" spans="1:26" s="24" customFormat="1" hidden="1" outlineLevel="2" x14ac:dyDescent="0.25">
      <c r="A186" s="26"/>
      <c r="B186" s="11" t="str">
        <f>CONCATENATE("          ", "6004", " - ", "STAFF HOURLY")</f>
        <v xml:space="preserve">          6004 - STAFF HOURLY</v>
      </c>
      <c r="C186" s="11"/>
      <c r="D186" s="6">
        <v>11060.64</v>
      </c>
      <c r="E186" s="2"/>
      <c r="F186" s="7">
        <f t="shared" si="39"/>
        <v>4.1955127831887887E-2</v>
      </c>
      <c r="G186" s="2"/>
      <c r="H186" s="6">
        <v>8787.77</v>
      </c>
      <c r="I186" s="2"/>
      <c r="J186" s="7">
        <f t="shared" si="40"/>
        <v>1.1162301791396909E-2</v>
      </c>
      <c r="K186" s="2"/>
      <c r="L186" s="6">
        <f t="shared" si="41"/>
        <v>2272.869999999999</v>
      </c>
      <c r="M186" s="2"/>
      <c r="N186" s="7">
        <f t="shared" si="42"/>
        <v>0.25864013282095444</v>
      </c>
      <c r="O186" s="11"/>
      <c r="P186" s="6">
        <v>62836.97</v>
      </c>
      <c r="Q186" s="2"/>
      <c r="R186" s="7">
        <f t="shared" si="43"/>
        <v>6.9611916267392181E-3</v>
      </c>
      <c r="S186" s="2"/>
      <c r="T186" s="6">
        <v>67272.150000000009</v>
      </c>
      <c r="U186" s="2"/>
      <c r="V186" s="7">
        <f t="shared" si="44"/>
        <v>5.9922298236488054E-3</v>
      </c>
      <c r="W186" s="2"/>
      <c r="X186" s="6">
        <f t="shared" si="45"/>
        <v>-4435.1800000000076</v>
      </c>
      <c r="Y186" s="2"/>
      <c r="Z186" s="7">
        <f t="shared" si="46"/>
        <v>-6.5928917092734615E-2</v>
      </c>
    </row>
    <row r="187" spans="1:26" s="24" customFormat="1" hidden="1" outlineLevel="2" x14ac:dyDescent="0.25">
      <c r="A187" s="26"/>
      <c r="B187" s="11" t="str">
        <f>CONCATENATE("          ", "6005", " - ", "TEMPORARY WAGES-HOURLY")</f>
        <v xml:space="preserve">          6005 - TEMPORARY WAGES-HOURLY</v>
      </c>
      <c r="C187" s="11"/>
      <c r="D187" s="6">
        <v>8052.32</v>
      </c>
      <c r="E187" s="2"/>
      <c r="F187" s="7">
        <f t="shared" si="39"/>
        <v>3.0543993380425318E-2</v>
      </c>
      <c r="G187" s="2"/>
      <c r="H187" s="6">
        <v>27477.809999999998</v>
      </c>
      <c r="I187" s="2"/>
      <c r="J187" s="7">
        <f t="shared" si="40"/>
        <v>3.4902552955603509E-2</v>
      </c>
      <c r="K187" s="2"/>
      <c r="L187" s="6">
        <f t="shared" si="41"/>
        <v>-19425.489999999998</v>
      </c>
      <c r="M187" s="2"/>
      <c r="N187" s="7">
        <f t="shared" si="42"/>
        <v>-0.70695190046077183</v>
      </c>
      <c r="O187" s="11"/>
      <c r="P187" s="6">
        <v>188348.22</v>
      </c>
      <c r="Q187" s="2"/>
      <c r="R187" s="7">
        <f t="shared" si="43"/>
        <v>2.0865551791807213E-2</v>
      </c>
      <c r="S187" s="2"/>
      <c r="T187" s="6">
        <v>214593.52000000002</v>
      </c>
      <c r="U187" s="2"/>
      <c r="V187" s="7">
        <f t="shared" si="44"/>
        <v>1.9114799965599082E-2</v>
      </c>
      <c r="W187" s="2"/>
      <c r="X187" s="6">
        <f t="shared" si="45"/>
        <v>-26245.300000000017</v>
      </c>
      <c r="Y187" s="2"/>
      <c r="Z187" s="7">
        <f t="shared" si="46"/>
        <v>-0.12230238825478056</v>
      </c>
    </row>
    <row r="188" spans="1:26" s="24" customFormat="1" hidden="1" outlineLevel="2" x14ac:dyDescent="0.25">
      <c r="A188" s="26"/>
      <c r="B188" s="11" t="str">
        <f>CONCATENATE("          ", "6006", " - ", "TEMPORARY PART TIME")</f>
        <v xml:space="preserve">          6006 - TEMPORARY PART TIME</v>
      </c>
      <c r="C188" s="11"/>
      <c r="D188" s="6">
        <v>1929.14</v>
      </c>
      <c r="E188" s="2"/>
      <c r="F188" s="7">
        <f t="shared" si="39"/>
        <v>7.3175978339054711E-3</v>
      </c>
      <c r="G188" s="2"/>
      <c r="H188" s="6">
        <v>4297.51</v>
      </c>
      <c r="I188" s="2"/>
      <c r="J188" s="7">
        <f t="shared" si="40"/>
        <v>5.4587345335103364E-3</v>
      </c>
      <c r="K188" s="2"/>
      <c r="L188" s="6">
        <f t="shared" si="41"/>
        <v>-2368.37</v>
      </c>
      <c r="M188" s="2"/>
      <c r="N188" s="7">
        <f t="shared" si="42"/>
        <v>-0.55110284792821884</v>
      </c>
      <c r="O188" s="11"/>
      <c r="P188" s="6">
        <v>35085.4</v>
      </c>
      <c r="Q188" s="2"/>
      <c r="R188" s="7">
        <f t="shared" si="43"/>
        <v>3.8868231982031624E-3</v>
      </c>
      <c r="S188" s="2"/>
      <c r="T188" s="6">
        <v>61168.94</v>
      </c>
      <c r="U188" s="2"/>
      <c r="V188" s="7">
        <f t="shared" si="44"/>
        <v>5.4485897440320298E-3</v>
      </c>
      <c r="W188" s="2"/>
      <c r="X188" s="6">
        <f t="shared" si="45"/>
        <v>-26083.54</v>
      </c>
      <c r="Y188" s="2"/>
      <c r="Z188" s="7">
        <f t="shared" si="46"/>
        <v>-0.42641804811396111</v>
      </c>
    </row>
    <row r="189" spans="1:26" s="24" customFormat="1" hidden="1" outlineLevel="2" x14ac:dyDescent="0.25">
      <c r="A189" s="26"/>
      <c r="B189" s="11" t="str">
        <f>CONCATENATE("          ", "6007", " - ", "STUDENT HOURLY")</f>
        <v xml:space="preserve">          6007 - STUDENT HOURLY</v>
      </c>
      <c r="C189" s="11"/>
      <c r="D189" s="6">
        <v>18083.46</v>
      </c>
      <c r="E189" s="2"/>
      <c r="F189" s="7">
        <f t="shared" si="39"/>
        <v>6.859403035835461E-2</v>
      </c>
      <c r="G189" s="2"/>
      <c r="H189" s="6">
        <v>84478.37000000001</v>
      </c>
      <c r="I189" s="2"/>
      <c r="J189" s="7">
        <f t="shared" si="40"/>
        <v>0.10730515941874798</v>
      </c>
      <c r="K189" s="2"/>
      <c r="L189" s="6">
        <f t="shared" si="41"/>
        <v>-66394.91</v>
      </c>
      <c r="M189" s="2"/>
      <c r="N189" s="7">
        <f t="shared" si="42"/>
        <v>-0.78593976185856795</v>
      </c>
      <c r="O189" s="11"/>
      <c r="P189" s="6">
        <v>788834.47</v>
      </c>
      <c r="Q189" s="2"/>
      <c r="R189" s="7">
        <f t="shared" si="43"/>
        <v>8.7388489729012531E-2</v>
      </c>
      <c r="S189" s="2"/>
      <c r="T189" s="6">
        <v>800556.12</v>
      </c>
      <c r="U189" s="2"/>
      <c r="V189" s="7">
        <f t="shared" si="44"/>
        <v>7.1309096821917703E-2</v>
      </c>
      <c r="W189" s="2"/>
      <c r="X189" s="6">
        <f t="shared" si="45"/>
        <v>-11721.650000000023</v>
      </c>
      <c r="Y189" s="2"/>
      <c r="Z189" s="7">
        <f t="shared" si="46"/>
        <v>-1.4641884194202429E-2</v>
      </c>
    </row>
    <row r="190" spans="1:26" s="24" customFormat="1" hidden="1" outlineLevel="2" x14ac:dyDescent="0.25">
      <c r="A190" s="26"/>
      <c r="B190" s="11" t="str">
        <f>CONCATENATE("          ", "6008", " - ", "STUDENT HOURLY-FICA EXEMPT")</f>
        <v xml:space="preserve">          6008 - STUDENT HOURLY-FICA EXEMPT</v>
      </c>
      <c r="C190" s="11"/>
      <c r="D190" s="6"/>
      <c r="E190" s="2"/>
      <c r="F190" s="7">
        <f t="shared" si="39"/>
        <v>0</v>
      </c>
      <c r="G190" s="2"/>
      <c r="H190" s="6">
        <v>2817</v>
      </c>
      <c r="I190" s="2"/>
      <c r="J190" s="7">
        <f t="shared" si="40"/>
        <v>3.5781778706503575E-3</v>
      </c>
      <c r="K190" s="2"/>
      <c r="L190" s="6">
        <f t="shared" si="41"/>
        <v>-2817</v>
      </c>
      <c r="M190" s="2"/>
      <c r="N190" s="7">
        <f t="shared" si="42"/>
        <v>-1</v>
      </c>
      <c r="O190" s="11"/>
      <c r="P190" s="6">
        <v>15479.92</v>
      </c>
      <c r="Q190" s="2"/>
      <c r="R190" s="7">
        <f t="shared" si="43"/>
        <v>1.7148931510636645E-3</v>
      </c>
      <c r="S190" s="2"/>
      <c r="T190" s="6">
        <v>27485.95</v>
      </c>
      <c r="U190" s="2"/>
      <c r="V190" s="7">
        <f t="shared" si="44"/>
        <v>2.4482959043425827E-3</v>
      </c>
      <c r="W190" s="2"/>
      <c r="X190" s="6">
        <f t="shared" si="45"/>
        <v>-12006.03</v>
      </c>
      <c r="Y190" s="2"/>
      <c r="Z190" s="7">
        <f t="shared" si="46"/>
        <v>-0.43680607728675924</v>
      </c>
    </row>
    <row r="191" spans="1:26" s="27" customFormat="1" outlineLevel="1" collapsed="1" x14ac:dyDescent="0.25">
      <c r="A191" s="25"/>
      <c r="B191" s="13" t="str">
        <f>CONCATENATE("     ","Advertising/Promo                                 ")</f>
        <v xml:space="preserve">     Advertising/Promo                                 </v>
      </c>
      <c r="C191" s="13"/>
      <c r="D191" s="1">
        <f>SUM(OSRRefD22_2x_0)</f>
        <v>1029</v>
      </c>
      <c r="E191" s="1"/>
      <c r="F191" s="5">
        <f t="shared" ref="F191:F195" si="47">IF(D$12=0,0,D191/D$12)</f>
        <v>3.9031942581091725E-3</v>
      </c>
      <c r="G191" s="1"/>
      <c r="H191" s="1">
        <f>SUM(OSRRefH22_2x_0)</f>
        <v>5620.36</v>
      </c>
      <c r="I191" s="1"/>
      <c r="J191" s="5">
        <f t="shared" ref="J191:J195" si="48">IF(H$12=0,0,H191/H$12)</f>
        <v>7.1390300948130786E-3</v>
      </c>
      <c r="K191" s="1"/>
      <c r="L191" s="1">
        <f t="shared" ref="L191:L195" si="49">+D191-H191</f>
        <v>-4591.3599999999997</v>
      </c>
      <c r="M191" s="1"/>
      <c r="N191" s="5">
        <f t="shared" ref="N191:N195" si="50">IF(H191=0,0,L191/H191)</f>
        <v>-0.81691564241436487</v>
      </c>
      <c r="O191" s="13"/>
      <c r="P191" s="1">
        <f>SUM(OSRRefP22_2x_0)</f>
        <v>45471.49</v>
      </c>
      <c r="Q191" s="1"/>
      <c r="R191" s="5">
        <f t="shared" ref="R191:R195" si="51">IF(P$12=0,0,P191/P$12)</f>
        <v>5.0374127753670499E-3</v>
      </c>
      <c r="S191" s="1"/>
      <c r="T191" s="1">
        <f>SUM(OSRRefT22_2x_0)</f>
        <v>66248.22</v>
      </c>
      <c r="U191" s="1"/>
      <c r="V191" s="5">
        <f t="shared" ref="V191:V195" si="52">IF(T$12=0,0,T191/T$12)</f>
        <v>5.9010238211153832E-3</v>
      </c>
      <c r="W191" s="1"/>
      <c r="X191" s="1">
        <f t="shared" ref="X191:X195" si="53">+P191-T191</f>
        <v>-20776.730000000003</v>
      </c>
      <c r="Y191" s="1"/>
      <c r="Z191" s="5">
        <f t="shared" ref="Z191:Z195" si="54">IF(T191=0,0,X191/T191)</f>
        <v>-0.31361944517150803</v>
      </c>
    </row>
    <row r="192" spans="1:26" s="24" customFormat="1" hidden="1" outlineLevel="2" x14ac:dyDescent="0.25">
      <c r="A192" s="26"/>
      <c r="B192" s="11" t="str">
        <f>CONCATENATE("          ", "6362", " - ", "ADVERTISING EXPENSE")</f>
        <v xml:space="preserve">          6362 - ADVERTISING EXPENSE</v>
      </c>
      <c r="C192" s="11"/>
      <c r="D192" s="6">
        <v>1029</v>
      </c>
      <c r="E192" s="2"/>
      <c r="F192" s="7">
        <f t="shared" si="47"/>
        <v>3.9031942581091725E-3</v>
      </c>
      <c r="G192" s="2"/>
      <c r="H192" s="6">
        <v>5620.36</v>
      </c>
      <c r="I192" s="2"/>
      <c r="J192" s="7">
        <f t="shared" si="48"/>
        <v>7.1390300948130786E-3</v>
      </c>
      <c r="K192" s="2"/>
      <c r="L192" s="6">
        <f t="shared" si="49"/>
        <v>-4591.3599999999997</v>
      </c>
      <c r="M192" s="2"/>
      <c r="N192" s="7">
        <f t="shared" si="50"/>
        <v>-0.81691564241436487</v>
      </c>
      <c r="O192" s="11"/>
      <c r="P192" s="6">
        <v>45471.49</v>
      </c>
      <c r="Q192" s="2"/>
      <c r="R192" s="7">
        <f t="shared" si="51"/>
        <v>5.0374127753670499E-3</v>
      </c>
      <c r="S192" s="2"/>
      <c r="T192" s="6">
        <v>66248.22</v>
      </c>
      <c r="U192" s="2"/>
      <c r="V192" s="7">
        <f t="shared" si="52"/>
        <v>5.9010238211153832E-3</v>
      </c>
      <c r="W192" s="2"/>
      <c r="X192" s="6">
        <f t="shared" si="53"/>
        <v>-20776.730000000003</v>
      </c>
      <c r="Y192" s="2"/>
      <c r="Z192" s="7">
        <f t="shared" si="54"/>
        <v>-0.31361944517150803</v>
      </c>
    </row>
    <row r="193" spans="1:26" s="27" customFormat="1" outlineLevel="1" collapsed="1" x14ac:dyDescent="0.25">
      <c r="A193" s="25"/>
      <c r="B193" s="13" t="str">
        <f>CONCATENATE("     ","Bad Debts/Over/Short                              ")</f>
        <v xml:space="preserve">     Bad Debts/Over/Short                              </v>
      </c>
      <c r="C193" s="13"/>
      <c r="D193" s="1">
        <f>SUM(OSRRefD22_3x_0)</f>
        <v>-4.55</v>
      </c>
      <c r="E193" s="1"/>
      <c r="F193" s="5">
        <f t="shared" si="47"/>
        <v>-1.7259022229734436E-5</v>
      </c>
      <c r="G193" s="1"/>
      <c r="H193" s="1">
        <f>SUM(OSRRefH22_3x_0)</f>
        <v>-1149.06</v>
      </c>
      <c r="I193" s="1"/>
      <c r="J193" s="5">
        <f t="shared" si="48"/>
        <v>-1.4595459936277953E-3</v>
      </c>
      <c r="K193" s="1"/>
      <c r="L193" s="1">
        <f t="shared" si="49"/>
        <v>1144.51</v>
      </c>
      <c r="M193" s="1"/>
      <c r="N193" s="5">
        <f t="shared" si="50"/>
        <v>-0.99604024158877691</v>
      </c>
      <c r="O193" s="13"/>
      <c r="P193" s="1">
        <f>SUM(OSRRefP22_3x_0)</f>
        <v>-30.92</v>
      </c>
      <c r="Q193" s="1"/>
      <c r="R193" s="5">
        <f t="shared" si="51"/>
        <v>-3.4253727558597531E-6</v>
      </c>
      <c r="S193" s="1"/>
      <c r="T193" s="1">
        <f>SUM(OSRRefT22_3x_0)</f>
        <v>284.35000000000002</v>
      </c>
      <c r="U193" s="1"/>
      <c r="V193" s="5">
        <f t="shared" si="52"/>
        <v>2.5328320119909021E-5</v>
      </c>
      <c r="W193" s="1"/>
      <c r="X193" s="1">
        <f t="shared" si="53"/>
        <v>-315.27000000000004</v>
      </c>
      <c r="Y193" s="1"/>
      <c r="Z193" s="5">
        <f t="shared" si="54"/>
        <v>-1.1087392298224019</v>
      </c>
    </row>
    <row r="194" spans="1:26" s="24" customFormat="1" hidden="1" outlineLevel="2" x14ac:dyDescent="0.25">
      <c r="A194" s="26"/>
      <c r="B194" s="11" t="str">
        <f>CONCATENATE("          ", "6272", " - ", "CASH (OVER/SHORT)")</f>
        <v xml:space="preserve">          6272 - CASH (OVER/SHORT)</v>
      </c>
      <c r="C194" s="11"/>
      <c r="D194" s="6">
        <v>-4.55</v>
      </c>
      <c r="E194" s="2"/>
      <c r="F194" s="7">
        <f t="shared" si="47"/>
        <v>-1.7259022229734436E-5</v>
      </c>
      <c r="G194" s="2"/>
      <c r="H194" s="6">
        <v>-1149.06</v>
      </c>
      <c r="I194" s="2"/>
      <c r="J194" s="7">
        <f t="shared" si="48"/>
        <v>-1.4595459936277953E-3</v>
      </c>
      <c r="K194" s="2"/>
      <c r="L194" s="6">
        <f t="shared" si="49"/>
        <v>1144.51</v>
      </c>
      <c r="M194" s="2"/>
      <c r="N194" s="7">
        <f t="shared" si="50"/>
        <v>-0.99604024158877691</v>
      </c>
      <c r="O194" s="11"/>
      <c r="P194" s="6">
        <v>-75.72</v>
      </c>
      <c r="Q194" s="2"/>
      <c r="R194" s="7">
        <f t="shared" si="51"/>
        <v>-8.3883966712063545E-6</v>
      </c>
      <c r="S194" s="2"/>
      <c r="T194" s="6">
        <v>284.35000000000002</v>
      </c>
      <c r="U194" s="2"/>
      <c r="V194" s="7">
        <f t="shared" si="52"/>
        <v>2.5328320119909021E-5</v>
      </c>
      <c r="W194" s="2"/>
      <c r="X194" s="6">
        <f t="shared" si="53"/>
        <v>-360.07000000000005</v>
      </c>
      <c r="Y194" s="2"/>
      <c r="Z194" s="7">
        <f t="shared" si="54"/>
        <v>-1.2662915421135925</v>
      </c>
    </row>
    <row r="195" spans="1:26" s="24" customFormat="1" hidden="1" outlineLevel="2" x14ac:dyDescent="0.25">
      <c r="A195" s="26"/>
      <c r="B195" s="11" t="str">
        <f>CONCATENATE("          ", "6342", " - ", "BAD DEBT")</f>
        <v xml:space="preserve">          6342 - BAD DEBT</v>
      </c>
      <c r="C195" s="11"/>
      <c r="D195" s="6"/>
      <c r="E195" s="2"/>
      <c r="F195" s="7">
        <f t="shared" si="47"/>
        <v>0</v>
      </c>
      <c r="G195" s="2"/>
      <c r="H195" s="6"/>
      <c r="I195" s="2"/>
      <c r="J195" s="7">
        <f t="shared" si="48"/>
        <v>0</v>
      </c>
      <c r="K195" s="2"/>
      <c r="L195" s="6">
        <f t="shared" si="49"/>
        <v>0</v>
      </c>
      <c r="M195" s="2"/>
      <c r="N195" s="7">
        <f t="shared" si="50"/>
        <v>0</v>
      </c>
      <c r="O195" s="11"/>
      <c r="P195" s="6">
        <v>44.8</v>
      </c>
      <c r="Q195" s="2"/>
      <c r="R195" s="7">
        <f t="shared" si="51"/>
        <v>4.963023915346601E-6</v>
      </c>
      <c r="S195" s="2"/>
      <c r="T195" s="6"/>
      <c r="U195" s="2"/>
      <c r="V195" s="7">
        <f t="shared" si="52"/>
        <v>0</v>
      </c>
      <c r="W195" s="2"/>
      <c r="X195" s="6">
        <f t="shared" si="53"/>
        <v>44.8</v>
      </c>
      <c r="Y195" s="2"/>
      <c r="Z195" s="7">
        <f t="shared" si="54"/>
        <v>0</v>
      </c>
    </row>
    <row r="196" spans="1:26" s="27" customFormat="1" outlineLevel="1" collapsed="1" x14ac:dyDescent="0.25">
      <c r="A196" s="25"/>
      <c r="B196" s="13" t="str">
        <f>CONCATENATE("     ","Bank/card Fees                                    ")</f>
        <v xml:space="preserve">     Bank/card Fees                                    </v>
      </c>
      <c r="C196" s="13"/>
      <c r="D196" s="1">
        <f>SUM(OSRRefD22_4x_0)</f>
        <v>5413.34</v>
      </c>
      <c r="E196" s="1"/>
      <c r="F196" s="5">
        <f t="shared" ref="F196:F200" si="55">IF(D$12=0,0,D196/D$12)</f>
        <v>2.0533836351013322E-2</v>
      </c>
      <c r="G196" s="1"/>
      <c r="H196" s="1">
        <f>SUM(OSRRefH22_4x_0)</f>
        <v>16000.729999999998</v>
      </c>
      <c r="I196" s="1"/>
      <c r="J196" s="5">
        <f t="shared" ref="J196:J200" si="56">IF(H$12=0,0,H196/H$12)</f>
        <v>2.0324266240770779E-2</v>
      </c>
      <c r="K196" s="1"/>
      <c r="L196" s="1">
        <f t="shared" ref="L196:L200" si="57">+D196-H196</f>
        <v>-10587.389999999998</v>
      </c>
      <c r="M196" s="1"/>
      <c r="N196" s="5">
        <f t="shared" ref="N196:N200" si="58">IF(H196=0,0,L196/H196)</f>
        <v>-0.6616816857730865</v>
      </c>
      <c r="O196" s="13"/>
      <c r="P196" s="1">
        <f>SUM(OSRRefP22_4x_0)</f>
        <v>145245.03</v>
      </c>
      <c r="Q196" s="1"/>
      <c r="R196" s="5">
        <f t="shared" ref="R196:R200" si="59">IF(P$12=0,0,P196/P$12)</f>
        <v>1.6090503515072203E-2</v>
      </c>
      <c r="S196" s="1"/>
      <c r="T196" s="1">
        <f>SUM(OSRRefT22_4x_0)</f>
        <v>169807.62</v>
      </c>
      <c r="U196" s="1"/>
      <c r="V196" s="5">
        <f t="shared" ref="V196:V200" si="60">IF(T$12=0,0,T196/T$12)</f>
        <v>1.5125520514013944E-2</v>
      </c>
      <c r="W196" s="1"/>
      <c r="X196" s="1">
        <f t="shared" ref="X196:X200" si="61">+P196-T196</f>
        <v>-24562.589999999997</v>
      </c>
      <c r="Y196" s="1"/>
      <c r="Z196" s="5">
        <f t="shared" ref="Z196:Z200" si="62">IF(T196=0,0,X196/T196)</f>
        <v>-0.14464951572844609</v>
      </c>
    </row>
    <row r="197" spans="1:26" s="24" customFormat="1" hidden="1" outlineLevel="2" x14ac:dyDescent="0.25">
      <c r="A197" s="26"/>
      <c r="B197" s="11" t="str">
        <f>CONCATENATE("          ", "6381", " - ", "BANK/CREDIT CARD FEES")</f>
        <v xml:space="preserve">          6381 - BANK/CREDIT CARD FEES</v>
      </c>
      <c r="C197" s="11"/>
      <c r="D197" s="6">
        <v>5413.34</v>
      </c>
      <c r="E197" s="2"/>
      <c r="F197" s="7">
        <f t="shared" si="55"/>
        <v>2.0533836351013322E-2</v>
      </c>
      <c r="G197" s="2"/>
      <c r="H197" s="6">
        <v>16000.729999999998</v>
      </c>
      <c r="I197" s="2"/>
      <c r="J197" s="7">
        <f t="shared" si="56"/>
        <v>2.0324266240770779E-2</v>
      </c>
      <c r="K197" s="2"/>
      <c r="L197" s="6">
        <f t="shared" si="57"/>
        <v>-10587.389999999998</v>
      </c>
      <c r="M197" s="2"/>
      <c r="N197" s="7">
        <f t="shared" si="58"/>
        <v>-0.6616816857730865</v>
      </c>
      <c r="O197" s="11"/>
      <c r="P197" s="6">
        <v>145245.03</v>
      </c>
      <c r="Q197" s="2"/>
      <c r="R197" s="7">
        <f t="shared" si="59"/>
        <v>1.6090503515072203E-2</v>
      </c>
      <c r="S197" s="2"/>
      <c r="T197" s="6">
        <v>169807.62</v>
      </c>
      <c r="U197" s="2"/>
      <c r="V197" s="7">
        <f t="shared" si="60"/>
        <v>1.5125520514013944E-2</v>
      </c>
      <c r="W197" s="2"/>
      <c r="X197" s="6">
        <f t="shared" si="61"/>
        <v>-24562.589999999997</v>
      </c>
      <c r="Y197" s="2"/>
      <c r="Z197" s="7">
        <f t="shared" si="62"/>
        <v>-0.14464951572844609</v>
      </c>
    </row>
    <row r="198" spans="1:26" s="27" customFormat="1" outlineLevel="1" collapsed="1" x14ac:dyDescent="0.25">
      <c r="A198" s="25"/>
      <c r="B198" s="13" t="str">
        <f>CONCATENATE("     ","Depreciation                                      ")</f>
        <v xml:space="preserve">     Depreciation                                      </v>
      </c>
      <c r="C198" s="13"/>
      <c r="D198" s="1">
        <f>SUM(OSRRefD22_5x_0)</f>
        <v>30349.48</v>
      </c>
      <c r="E198" s="1"/>
      <c r="F198" s="5">
        <f t="shared" si="55"/>
        <v>0.11512139560019355</v>
      </c>
      <c r="G198" s="1"/>
      <c r="H198" s="1">
        <f>SUM(OSRRefH22_5x_0)</f>
        <v>29774.85</v>
      </c>
      <c r="I198" s="1"/>
      <c r="J198" s="5">
        <f t="shared" si="56"/>
        <v>3.7820273117477383E-2</v>
      </c>
      <c r="K198" s="1"/>
      <c r="L198" s="1">
        <f t="shared" si="57"/>
        <v>574.63000000000102</v>
      </c>
      <c r="M198" s="1"/>
      <c r="N198" s="5">
        <f t="shared" si="58"/>
        <v>1.9299173631437305E-2</v>
      </c>
      <c r="O198" s="13"/>
      <c r="P198" s="1">
        <f>SUM(OSRRefP22_5x_0)</f>
        <v>329032.42000000004</v>
      </c>
      <c r="Q198" s="1"/>
      <c r="R198" s="5">
        <f t="shared" si="59"/>
        <v>3.6450798423758209E-2</v>
      </c>
      <c r="S198" s="1"/>
      <c r="T198" s="1">
        <f>SUM(OSRRefT22_5x_0)</f>
        <v>323507.46999999997</v>
      </c>
      <c r="U198" s="1"/>
      <c r="V198" s="5">
        <f t="shared" si="60"/>
        <v>2.8816250259686524E-2</v>
      </c>
      <c r="W198" s="1"/>
      <c r="X198" s="1">
        <f t="shared" si="61"/>
        <v>5524.9500000000698</v>
      </c>
      <c r="Y198" s="1"/>
      <c r="Z198" s="5">
        <f t="shared" si="62"/>
        <v>1.7078276430525917E-2</v>
      </c>
    </row>
    <row r="199" spans="1:26" s="24" customFormat="1" hidden="1" outlineLevel="2" x14ac:dyDescent="0.25">
      <c r="A199" s="26"/>
      <c r="B199" s="11" t="str">
        <f>CONCATENATE("          ", "6321", " - ", "BUILDING DEPRECIATION")</f>
        <v xml:space="preserve">          6321 - BUILDING DEPRECIATION</v>
      </c>
      <c r="C199" s="11"/>
      <c r="D199" s="6">
        <v>16396.52</v>
      </c>
      <c r="E199" s="2"/>
      <c r="F199" s="7">
        <f t="shared" si="55"/>
        <v>6.2195143553908858E-2</v>
      </c>
      <c r="G199" s="2"/>
      <c r="H199" s="6">
        <v>16453.38</v>
      </c>
      <c r="I199" s="2"/>
      <c r="J199" s="7">
        <f t="shared" si="56"/>
        <v>2.0899226202840321E-2</v>
      </c>
      <c r="K199" s="2"/>
      <c r="L199" s="6">
        <f t="shared" si="57"/>
        <v>-56.860000000000582</v>
      </c>
      <c r="M199" s="2"/>
      <c r="N199" s="7">
        <f t="shared" si="58"/>
        <v>-3.4558248821822978E-3</v>
      </c>
      <c r="O199" s="11"/>
      <c r="P199" s="6">
        <v>180361.72</v>
      </c>
      <c r="Q199" s="2"/>
      <c r="R199" s="7">
        <f t="shared" si="59"/>
        <v>1.9980793075291239E-2</v>
      </c>
      <c r="S199" s="2"/>
      <c r="T199" s="6">
        <v>180987.18</v>
      </c>
      <c r="U199" s="2"/>
      <c r="V199" s="7">
        <f t="shared" si="60"/>
        <v>1.6121333682572868E-2</v>
      </c>
      <c r="W199" s="2"/>
      <c r="X199" s="6">
        <f t="shared" si="61"/>
        <v>-625.45999999999185</v>
      </c>
      <c r="Y199" s="2"/>
      <c r="Z199" s="7">
        <f t="shared" si="62"/>
        <v>-3.455824882182218E-3</v>
      </c>
    </row>
    <row r="200" spans="1:26" s="24" customFormat="1" hidden="1" outlineLevel="2" x14ac:dyDescent="0.25">
      <c r="A200" s="26"/>
      <c r="B200" s="11" t="str">
        <f>CONCATENATE("          ", "6322", " - ", "EQUIPMENT DEPRECIATION EXPENSE")</f>
        <v xml:space="preserve">          6322 - EQUIPMENT DEPRECIATION EXPENSE</v>
      </c>
      <c r="C200" s="11"/>
      <c r="D200" s="6">
        <v>13952.96</v>
      </c>
      <c r="E200" s="2"/>
      <c r="F200" s="7">
        <f t="shared" si="55"/>
        <v>5.2926252046284698E-2</v>
      </c>
      <c r="G200" s="2"/>
      <c r="H200" s="6">
        <v>13321.47</v>
      </c>
      <c r="I200" s="2"/>
      <c r="J200" s="7">
        <f t="shared" si="56"/>
        <v>1.6921046914637066E-2</v>
      </c>
      <c r="K200" s="2"/>
      <c r="L200" s="6">
        <f t="shared" si="57"/>
        <v>631.48999999999978</v>
      </c>
      <c r="M200" s="2"/>
      <c r="N200" s="7">
        <f t="shared" si="58"/>
        <v>4.7403927644621785E-2</v>
      </c>
      <c r="O200" s="11"/>
      <c r="P200" s="6">
        <v>148670.70000000001</v>
      </c>
      <c r="Q200" s="2"/>
      <c r="R200" s="7">
        <f t="shared" si="59"/>
        <v>1.6470005348466966E-2</v>
      </c>
      <c r="S200" s="2"/>
      <c r="T200" s="6">
        <v>142520.28999999998</v>
      </c>
      <c r="U200" s="2"/>
      <c r="V200" s="7">
        <f t="shared" si="60"/>
        <v>1.2694916577113654E-2</v>
      </c>
      <c r="W200" s="2"/>
      <c r="X200" s="6">
        <f t="shared" si="61"/>
        <v>6150.4100000000326</v>
      </c>
      <c r="Y200" s="2"/>
      <c r="Z200" s="7">
        <f t="shared" si="62"/>
        <v>4.3154627316573893E-2</v>
      </c>
    </row>
    <row r="201" spans="1:26" s="27" customFormat="1" outlineLevel="1" collapsed="1" x14ac:dyDescent="0.25">
      <c r="A201" s="25"/>
      <c r="B201" s="13" t="str">
        <f>CONCATENATE("     ","Discounts and Markdowns                           ")</f>
        <v xml:space="preserve">     Discounts and Markdowns                           </v>
      </c>
      <c r="C201" s="13"/>
      <c r="D201" s="1">
        <f>SUM(OSRRefD22_6x_0)</f>
        <v>43517.71</v>
      </c>
      <c r="E201" s="1"/>
      <c r="F201" s="5">
        <f t="shared" ref="F201:F203" si="63">IF(D$12=0,0,D201/D$12)</f>
        <v>0.16507101632464541</v>
      </c>
      <c r="G201" s="1"/>
      <c r="H201" s="1">
        <f>SUM(OSRRefH22_6x_0)</f>
        <v>23881.969999999998</v>
      </c>
      <c r="I201" s="1"/>
      <c r="J201" s="5">
        <f t="shared" ref="J201:J203" si="64">IF(H$12=0,0,H201/H$12)</f>
        <v>3.0335085751343877E-2</v>
      </c>
      <c r="K201" s="1"/>
      <c r="L201" s="1">
        <f t="shared" ref="L201:L203" si="65">+D201-H201</f>
        <v>19635.740000000002</v>
      </c>
      <c r="M201" s="1"/>
      <c r="N201" s="5">
        <f t="shared" ref="N201:N203" si="66">IF(H201=0,0,L201/H201)</f>
        <v>0.82219934117662841</v>
      </c>
      <c r="O201" s="13"/>
      <c r="P201" s="1">
        <f>SUM(OSRRefP22_6x_0)</f>
        <v>347412.28</v>
      </c>
      <c r="Q201" s="1"/>
      <c r="R201" s="5">
        <f t="shared" ref="R201:R203" si="67">IF(P$12=0,0,P201/P$12)</f>
        <v>3.8486952101006472E-2</v>
      </c>
      <c r="S201" s="1"/>
      <c r="T201" s="1">
        <f>SUM(OSRRefT22_6x_0)</f>
        <v>338405.99000000005</v>
      </c>
      <c r="U201" s="1"/>
      <c r="V201" s="5">
        <f t="shared" ref="V201:V203" si="68">IF(T$12=0,0,T201/T$12)</f>
        <v>3.0143327748249453E-2</v>
      </c>
      <c r="W201" s="1"/>
      <c r="X201" s="1">
        <f t="shared" ref="X201:X203" si="69">+P201-T201</f>
        <v>9006.289999999979</v>
      </c>
      <c r="Y201" s="1"/>
      <c r="Z201" s="5">
        <f t="shared" ref="Z201:Z203" si="70">IF(T201=0,0,X201/T201)</f>
        <v>2.6613861060792623E-2</v>
      </c>
    </row>
    <row r="202" spans="1:26" s="24" customFormat="1" hidden="1" outlineLevel="2" x14ac:dyDescent="0.25">
      <c r="A202" s="26"/>
      <c r="B202" s="11" t="str">
        <f>CONCATENATE("          ", "6382", " - ", "DISCOUNTS/MARK DOWNS")</f>
        <v xml:space="preserve">          6382 - DISCOUNTS/MARK DOWNS</v>
      </c>
      <c r="C202" s="11"/>
      <c r="D202" s="6">
        <v>43517.71</v>
      </c>
      <c r="E202" s="2"/>
      <c r="F202" s="7">
        <f t="shared" si="63"/>
        <v>0.16507101632464541</v>
      </c>
      <c r="G202" s="2"/>
      <c r="H202" s="6">
        <v>23963.759999999998</v>
      </c>
      <c r="I202" s="2"/>
      <c r="J202" s="7">
        <f t="shared" si="64"/>
        <v>3.0438976119835356E-2</v>
      </c>
      <c r="K202" s="2"/>
      <c r="L202" s="6">
        <f t="shared" si="65"/>
        <v>19553.95</v>
      </c>
      <c r="M202" s="2"/>
      <c r="N202" s="7">
        <f t="shared" si="66"/>
        <v>0.81598004653693756</v>
      </c>
      <c r="O202" s="11"/>
      <c r="P202" s="6">
        <v>350643.9</v>
      </c>
      <c r="Q202" s="2"/>
      <c r="R202" s="7">
        <f t="shared" si="67"/>
        <v>3.8844956729250056E-2</v>
      </c>
      <c r="S202" s="2"/>
      <c r="T202" s="6">
        <v>342982.15</v>
      </c>
      <c r="U202" s="2"/>
      <c r="V202" s="7">
        <f t="shared" si="68"/>
        <v>3.0550946687584506E-2</v>
      </c>
      <c r="W202" s="2"/>
      <c r="X202" s="6">
        <f t="shared" si="69"/>
        <v>7661.75</v>
      </c>
      <c r="Y202" s="2"/>
      <c r="Z202" s="7">
        <f t="shared" si="70"/>
        <v>2.2338626077187982E-2</v>
      </c>
    </row>
    <row r="203" spans="1:26" s="24" customFormat="1" hidden="1" outlineLevel="2" x14ac:dyDescent="0.25">
      <c r="A203" s="26"/>
      <c r="B203" s="11" t="str">
        <f>CONCATENATE("          ", "9175", " - ", "EARNED DISCOUNTS")</f>
        <v xml:space="preserve">          9175 - EARNED DISCOUNTS</v>
      </c>
      <c r="C203" s="11"/>
      <c r="D203" s="6"/>
      <c r="E203" s="2"/>
      <c r="F203" s="7">
        <f t="shared" si="63"/>
        <v>0</v>
      </c>
      <c r="G203" s="2"/>
      <c r="H203" s="6">
        <v>-81.790000000000006</v>
      </c>
      <c r="I203" s="2"/>
      <c r="J203" s="7">
        <f t="shared" si="64"/>
        <v>-1.0389036849147772E-4</v>
      </c>
      <c r="K203" s="2"/>
      <c r="L203" s="6">
        <f t="shared" si="65"/>
        <v>81.790000000000006</v>
      </c>
      <c r="M203" s="2"/>
      <c r="N203" s="7">
        <f t="shared" si="66"/>
        <v>-1</v>
      </c>
      <c r="O203" s="11"/>
      <c r="P203" s="6">
        <v>-3231.62</v>
      </c>
      <c r="Q203" s="2"/>
      <c r="R203" s="7">
        <f t="shared" si="67"/>
        <v>-3.5800462824358003E-4</v>
      </c>
      <c r="S203" s="2"/>
      <c r="T203" s="6">
        <v>-4576.16</v>
      </c>
      <c r="U203" s="2"/>
      <c r="V203" s="7">
        <f t="shared" si="68"/>
        <v>-4.0761893933505489E-4</v>
      </c>
      <c r="W203" s="2"/>
      <c r="X203" s="6">
        <f t="shared" si="69"/>
        <v>1344.54</v>
      </c>
      <c r="Y203" s="2"/>
      <c r="Z203" s="7">
        <f t="shared" si="70"/>
        <v>-0.29381402748155661</v>
      </c>
    </row>
    <row r="204" spans="1:26" s="27" customFormat="1" outlineLevel="1" collapsed="1" x14ac:dyDescent="0.25">
      <c r="A204" s="25"/>
      <c r="B204" s="13" t="str">
        <f>CONCATENATE("     ","Donations                                         ")</f>
        <v xml:space="preserve">     Donations                                         </v>
      </c>
      <c r="C204" s="13"/>
      <c r="D204" s="1">
        <f>SUM(OSRRefD22_7x_0)</f>
        <v>-1385.81</v>
      </c>
      <c r="E204" s="1"/>
      <c r="F204" s="5">
        <f t="shared" ref="F204:F212" si="71">IF(D$12=0,0,D204/D$12)</f>
        <v>-5.2566429881732478E-3</v>
      </c>
      <c r="G204" s="1"/>
      <c r="H204" s="1">
        <f>SUM(OSRRefH22_7x_0)</f>
        <v>296.94</v>
      </c>
      <c r="I204" s="1"/>
      <c r="J204" s="5">
        <f t="shared" ref="J204:J212" si="72">IF(H$12=0,0,H204/H$12)</f>
        <v>3.7717576745151477E-4</v>
      </c>
      <c r="K204" s="1"/>
      <c r="L204" s="1">
        <f t="shared" ref="L204:L212" si="73">+D204-H204</f>
        <v>-1682.75</v>
      </c>
      <c r="M204" s="1"/>
      <c r="N204" s="5">
        <f t="shared" ref="N204:N212" si="74">IF(H204=0,0,L204/H204)</f>
        <v>-5.6669697582003096</v>
      </c>
      <c r="O204" s="13"/>
      <c r="P204" s="1">
        <f>SUM(OSRRefP22_7x_0)</f>
        <v>10985.64</v>
      </c>
      <c r="Q204" s="1"/>
      <c r="R204" s="5">
        <f t="shared" ref="R204:R212" si="75">IF(P$12=0,0,P204/P$12)</f>
        <v>1.2170087956559874E-3</v>
      </c>
      <c r="S204" s="1"/>
      <c r="T204" s="1">
        <f>SUM(OSRRefT22_7x_0)</f>
        <v>9184</v>
      </c>
      <c r="U204" s="1"/>
      <c r="V204" s="5">
        <f t="shared" ref="V204:V212" si="76">IF(T$12=0,0,T204/T$12)</f>
        <v>8.1805975727534529E-4</v>
      </c>
      <c r="W204" s="1"/>
      <c r="X204" s="1">
        <f t="shared" ref="X204:X212" si="77">+P204-T204</f>
        <v>1801.6399999999994</v>
      </c>
      <c r="Y204" s="1"/>
      <c r="Z204" s="5">
        <f t="shared" ref="Z204:Z212" si="78">IF(T204=0,0,X204/T204)</f>
        <v>0.19617160278745638</v>
      </c>
    </row>
    <row r="205" spans="1:26" s="24" customFormat="1" hidden="1" outlineLevel="2" x14ac:dyDescent="0.25">
      <c r="A205" s="26"/>
      <c r="B205" s="11" t="str">
        <f>CONCATENATE("          ", "6399", " - ", "DONATION-ON CAMPUS")</f>
        <v xml:space="preserve">          6399 - DONATION-ON CAMPUS</v>
      </c>
      <c r="C205" s="11"/>
      <c r="D205" s="6">
        <v>-1385.81</v>
      </c>
      <c r="E205" s="2"/>
      <c r="F205" s="7">
        <f t="shared" si="71"/>
        <v>-5.2566429881732478E-3</v>
      </c>
      <c r="G205" s="2"/>
      <c r="H205" s="6">
        <v>296.94</v>
      </c>
      <c r="I205" s="2"/>
      <c r="J205" s="7">
        <f t="shared" si="72"/>
        <v>3.7717576745151477E-4</v>
      </c>
      <c r="K205" s="2"/>
      <c r="L205" s="6">
        <f t="shared" si="73"/>
        <v>-1682.75</v>
      </c>
      <c r="M205" s="2"/>
      <c r="N205" s="7">
        <f t="shared" si="74"/>
        <v>-5.6669697582003096</v>
      </c>
      <c r="O205" s="11"/>
      <c r="P205" s="6">
        <v>10985.64</v>
      </c>
      <c r="Q205" s="2"/>
      <c r="R205" s="7">
        <f t="shared" si="75"/>
        <v>1.2170087956559874E-3</v>
      </c>
      <c r="S205" s="2"/>
      <c r="T205" s="6">
        <v>9184</v>
      </c>
      <c r="U205" s="2"/>
      <c r="V205" s="7">
        <f t="shared" si="76"/>
        <v>8.1805975727534529E-4</v>
      </c>
      <c r="W205" s="2"/>
      <c r="X205" s="6">
        <f t="shared" si="77"/>
        <v>1801.6399999999994</v>
      </c>
      <c r="Y205" s="2"/>
      <c r="Z205" s="7">
        <f t="shared" si="78"/>
        <v>0.19617160278745638</v>
      </c>
    </row>
    <row r="206" spans="1:26" s="27" customFormat="1" outlineLevel="1" collapsed="1" x14ac:dyDescent="0.25">
      <c r="A206" s="25"/>
      <c r="B206" s="13" t="str">
        <f>CONCATENATE("     ","Employees' Appreciation                           ")</f>
        <v xml:space="preserve">     Employees' Appreciation                           </v>
      </c>
      <c r="C206" s="13"/>
      <c r="D206" s="1">
        <f>SUM(OSRRefD22_8x_0)</f>
        <v>0</v>
      </c>
      <c r="E206" s="1"/>
      <c r="F206" s="5">
        <f t="shared" si="71"/>
        <v>0</v>
      </c>
      <c r="G206" s="1"/>
      <c r="H206" s="1">
        <f>SUM(OSRRefH22_8x_0)</f>
        <v>136.44</v>
      </c>
      <c r="I206" s="1"/>
      <c r="J206" s="5">
        <f t="shared" si="72"/>
        <v>1.73307273223832E-4</v>
      </c>
      <c r="K206" s="1"/>
      <c r="L206" s="1">
        <f t="shared" si="73"/>
        <v>-136.44</v>
      </c>
      <c r="M206" s="1"/>
      <c r="N206" s="5">
        <f t="shared" si="74"/>
        <v>-1</v>
      </c>
      <c r="O206" s="13"/>
      <c r="P206" s="1">
        <f>SUM(OSRRefP22_8x_0)</f>
        <v>1554.27</v>
      </c>
      <c r="Q206" s="1"/>
      <c r="R206" s="5">
        <f t="shared" si="75"/>
        <v>1.7218480314521792E-4</v>
      </c>
      <c r="S206" s="1"/>
      <c r="T206" s="1">
        <f>SUM(OSRRefT22_8x_0)</f>
        <v>3981.88</v>
      </c>
      <c r="U206" s="1"/>
      <c r="V206" s="5">
        <f t="shared" si="76"/>
        <v>3.5468377464063067E-4</v>
      </c>
      <c r="W206" s="1"/>
      <c r="X206" s="1">
        <f t="shared" si="77"/>
        <v>-2427.61</v>
      </c>
      <c r="Y206" s="1"/>
      <c r="Z206" s="5">
        <f t="shared" si="78"/>
        <v>-0.60966427918470678</v>
      </c>
    </row>
    <row r="207" spans="1:26" s="24" customFormat="1" hidden="1" outlineLevel="2" x14ac:dyDescent="0.25">
      <c r="A207" s="26"/>
      <c r="B207" s="11" t="str">
        <f>CONCATENATE("          ", "6277", " - ", "EMPLOYEE APPRECIATION")</f>
        <v xml:space="preserve">          6277 - EMPLOYEE APPRECIATION</v>
      </c>
      <c r="C207" s="11"/>
      <c r="D207" s="6"/>
      <c r="E207" s="2"/>
      <c r="F207" s="7">
        <f t="shared" si="71"/>
        <v>0</v>
      </c>
      <c r="G207" s="2"/>
      <c r="H207" s="6">
        <v>136.44</v>
      </c>
      <c r="I207" s="2"/>
      <c r="J207" s="7">
        <f t="shared" si="72"/>
        <v>1.73307273223832E-4</v>
      </c>
      <c r="K207" s="2"/>
      <c r="L207" s="6">
        <f t="shared" si="73"/>
        <v>-136.44</v>
      </c>
      <c r="M207" s="2"/>
      <c r="N207" s="7">
        <f t="shared" si="74"/>
        <v>-1</v>
      </c>
      <c r="O207" s="11"/>
      <c r="P207" s="6">
        <v>1554.27</v>
      </c>
      <c r="Q207" s="2"/>
      <c r="R207" s="7">
        <f t="shared" si="75"/>
        <v>1.7218480314521792E-4</v>
      </c>
      <c r="S207" s="2"/>
      <c r="T207" s="6">
        <v>3981.88</v>
      </c>
      <c r="U207" s="2"/>
      <c r="V207" s="7">
        <f t="shared" si="76"/>
        <v>3.5468377464063067E-4</v>
      </c>
      <c r="W207" s="2"/>
      <c r="X207" s="6">
        <f t="shared" si="77"/>
        <v>-2427.61</v>
      </c>
      <c r="Y207" s="2"/>
      <c r="Z207" s="7">
        <f t="shared" si="78"/>
        <v>-0.60966427918470678</v>
      </c>
    </row>
    <row r="208" spans="1:26" s="27" customFormat="1" outlineLevel="1" collapsed="1" x14ac:dyDescent="0.25">
      <c r="A208" s="25"/>
      <c r="B208" s="13" t="str">
        <f>CONCATENATE("     ","Equipment Rental                                  ")</f>
        <v xml:space="preserve">     Equipment Rental                                  </v>
      </c>
      <c r="C208" s="13"/>
      <c r="D208" s="1">
        <f>SUM(OSRRefD22_9x_0)</f>
        <v>1687.5</v>
      </c>
      <c r="E208" s="1"/>
      <c r="F208" s="5">
        <f t="shared" si="71"/>
        <v>6.4010109917971127E-3</v>
      </c>
      <c r="G208" s="1"/>
      <c r="H208" s="1">
        <f>SUM(OSRRefH22_9x_0)</f>
        <v>3431.48</v>
      </c>
      <c r="I208" s="1"/>
      <c r="J208" s="5">
        <f t="shared" si="72"/>
        <v>4.3586957045009898E-3</v>
      </c>
      <c r="K208" s="1"/>
      <c r="L208" s="1">
        <f t="shared" si="73"/>
        <v>-1743.98</v>
      </c>
      <c r="M208" s="1"/>
      <c r="N208" s="5">
        <f t="shared" si="74"/>
        <v>-0.50822968515043077</v>
      </c>
      <c r="O208" s="13"/>
      <c r="P208" s="1">
        <f>SUM(OSRRefP22_9x_0)</f>
        <v>18451.63</v>
      </c>
      <c r="Q208" s="1"/>
      <c r="R208" s="5">
        <f t="shared" si="75"/>
        <v>2.0441044858733664E-3</v>
      </c>
      <c r="S208" s="1"/>
      <c r="T208" s="1">
        <f>SUM(OSRRefT22_9x_0)</f>
        <v>37554.910000000003</v>
      </c>
      <c r="U208" s="1"/>
      <c r="V208" s="5">
        <f t="shared" si="76"/>
        <v>3.3451829877066026E-3</v>
      </c>
      <c r="W208" s="1"/>
      <c r="X208" s="1">
        <f t="shared" si="77"/>
        <v>-19103.280000000002</v>
      </c>
      <c r="Y208" s="1"/>
      <c r="Z208" s="5">
        <f t="shared" si="78"/>
        <v>-0.50867596274361992</v>
      </c>
    </row>
    <row r="209" spans="1:26" s="24" customFormat="1" hidden="1" outlineLevel="2" x14ac:dyDescent="0.25">
      <c r="A209" s="26"/>
      <c r="B209" s="11" t="str">
        <f>CONCATENATE("          ", "6351", " - ", "EQUIPMENT RENTAL")</f>
        <v xml:space="preserve">          6351 - EQUIPMENT RENTAL</v>
      </c>
      <c r="C209" s="11"/>
      <c r="D209" s="6">
        <v>1687.5</v>
      </c>
      <c r="E209" s="2"/>
      <c r="F209" s="7">
        <f t="shared" si="71"/>
        <v>6.4010109917971127E-3</v>
      </c>
      <c r="G209" s="2"/>
      <c r="H209" s="6">
        <v>3431.48</v>
      </c>
      <c r="I209" s="2"/>
      <c r="J209" s="7">
        <f t="shared" si="72"/>
        <v>4.3586957045009898E-3</v>
      </c>
      <c r="K209" s="2"/>
      <c r="L209" s="6">
        <f t="shared" si="73"/>
        <v>-1743.98</v>
      </c>
      <c r="M209" s="2"/>
      <c r="N209" s="7">
        <f t="shared" si="74"/>
        <v>-0.50822968515043077</v>
      </c>
      <c r="O209" s="11"/>
      <c r="P209" s="6">
        <v>18451.63</v>
      </c>
      <c r="Q209" s="2"/>
      <c r="R209" s="7">
        <f t="shared" si="75"/>
        <v>2.0441044858733664E-3</v>
      </c>
      <c r="S209" s="2"/>
      <c r="T209" s="6">
        <v>37554.910000000003</v>
      </c>
      <c r="U209" s="2"/>
      <c r="V209" s="7">
        <f t="shared" si="76"/>
        <v>3.3451829877066026E-3</v>
      </c>
      <c r="W209" s="2"/>
      <c r="X209" s="6">
        <f t="shared" si="77"/>
        <v>-19103.280000000002</v>
      </c>
      <c r="Y209" s="2"/>
      <c r="Z209" s="7">
        <f t="shared" si="78"/>
        <v>-0.50867596274361992</v>
      </c>
    </row>
    <row r="210" spans="1:26" s="27" customFormat="1" outlineLevel="1" collapsed="1" x14ac:dyDescent="0.25">
      <c r="A210" s="25"/>
      <c r="B210" s="13" t="str">
        <f>CONCATENATE("     ","Freight out/Postage                               ")</f>
        <v xml:space="preserve">     Freight out/Postage                               </v>
      </c>
      <c r="C210" s="13"/>
      <c r="D210" s="1">
        <f>SUM(OSRRefD22_10x_0)</f>
        <v>6098.17</v>
      </c>
      <c r="E210" s="1"/>
      <c r="F210" s="5">
        <f t="shared" si="71"/>
        <v>2.3131527822131792E-2</v>
      </c>
      <c r="G210" s="1"/>
      <c r="H210" s="1">
        <f>SUM(OSRRefH22_10x_0)</f>
        <v>1261.96</v>
      </c>
      <c r="I210" s="1"/>
      <c r="J210" s="5">
        <f t="shared" si="72"/>
        <v>1.6029525543649007E-3</v>
      </c>
      <c r="K210" s="1"/>
      <c r="L210" s="1">
        <f t="shared" si="73"/>
        <v>4836.21</v>
      </c>
      <c r="M210" s="1"/>
      <c r="N210" s="5">
        <f t="shared" si="74"/>
        <v>3.8323005483533552</v>
      </c>
      <c r="O210" s="13"/>
      <c r="P210" s="1">
        <f>SUM(OSRRefP22_10x_0)</f>
        <v>15992.370000000003</v>
      </c>
      <c r="Q210" s="1"/>
      <c r="R210" s="5">
        <f t="shared" si="75"/>
        <v>1.7716632761846328E-3</v>
      </c>
      <c r="S210" s="1"/>
      <c r="T210" s="1">
        <f>SUM(OSRRefT22_10x_0)</f>
        <v>-2889.1100000000006</v>
      </c>
      <c r="U210" s="1"/>
      <c r="V210" s="5">
        <f t="shared" si="76"/>
        <v>-2.5734588690568087E-4</v>
      </c>
      <c r="W210" s="1"/>
      <c r="X210" s="1">
        <f t="shared" si="77"/>
        <v>18881.480000000003</v>
      </c>
      <c r="Y210" s="1"/>
      <c r="Z210" s="5">
        <f t="shared" si="78"/>
        <v>-6.5353967138669002</v>
      </c>
    </row>
    <row r="211" spans="1:26" s="24" customFormat="1" hidden="1" outlineLevel="2" x14ac:dyDescent="0.25">
      <c r="A211" s="26"/>
      <c r="B211" s="11" t="str">
        <f>CONCATENATE("          ", "6305", " - ", "FREIGHT OUT")</f>
        <v xml:space="preserve">          6305 - FREIGHT OUT</v>
      </c>
      <c r="C211" s="11"/>
      <c r="D211" s="6">
        <v>7586</v>
      </c>
      <c r="E211" s="2"/>
      <c r="F211" s="7">
        <f t="shared" si="71"/>
        <v>2.8775152227420976E-2</v>
      </c>
      <c r="G211" s="2"/>
      <c r="H211" s="6">
        <v>3570.7</v>
      </c>
      <c r="I211" s="2"/>
      <c r="J211" s="7">
        <f t="shared" si="72"/>
        <v>4.535534157874061E-3</v>
      </c>
      <c r="K211" s="2"/>
      <c r="L211" s="6">
        <f t="shared" si="73"/>
        <v>4015.3</v>
      </c>
      <c r="M211" s="2"/>
      <c r="N211" s="7">
        <f t="shared" si="74"/>
        <v>1.1245134007337498</v>
      </c>
      <c r="O211" s="11"/>
      <c r="P211" s="6">
        <v>69911.19</v>
      </c>
      <c r="Q211" s="2"/>
      <c r="R211" s="7">
        <f t="shared" si="75"/>
        <v>7.7448863375075934E-3</v>
      </c>
      <c r="S211" s="2"/>
      <c r="T211" s="6">
        <v>71146.899999999994</v>
      </c>
      <c r="U211" s="2"/>
      <c r="V211" s="7">
        <f t="shared" si="76"/>
        <v>6.3373710523620709E-3</v>
      </c>
      <c r="W211" s="2"/>
      <c r="X211" s="6">
        <f t="shared" si="77"/>
        <v>-1235.7099999999919</v>
      </c>
      <c r="Y211" s="2"/>
      <c r="Z211" s="7">
        <f t="shared" si="78"/>
        <v>-1.7368430669502003E-2</v>
      </c>
    </row>
    <row r="212" spans="1:26" s="24" customFormat="1" hidden="1" outlineLevel="2" x14ac:dyDescent="0.25">
      <c r="A212" s="26"/>
      <c r="B212" s="11" t="str">
        <f>CONCATENATE("          ", "6307", " - ", "POSTAGE")</f>
        <v xml:space="preserve">          6307 - POSTAGE</v>
      </c>
      <c r="C212" s="11"/>
      <c r="D212" s="6">
        <v>-1487.83</v>
      </c>
      <c r="E212" s="2"/>
      <c r="F212" s="7">
        <f t="shared" si="71"/>
        <v>-5.643624405289184E-3</v>
      </c>
      <c r="G212" s="2"/>
      <c r="H212" s="6">
        <v>-2308.7399999999998</v>
      </c>
      <c r="I212" s="2"/>
      <c r="J212" s="7">
        <f t="shared" si="72"/>
        <v>-2.9325816035091607E-3</v>
      </c>
      <c r="K212" s="2"/>
      <c r="L212" s="6">
        <f t="shared" si="73"/>
        <v>820.90999999999985</v>
      </c>
      <c r="M212" s="2"/>
      <c r="N212" s="7">
        <f t="shared" si="74"/>
        <v>-0.355566239593891</v>
      </c>
      <c r="O212" s="11"/>
      <c r="P212" s="6">
        <v>-53918.82</v>
      </c>
      <c r="Q212" s="2"/>
      <c r="R212" s="7">
        <f t="shared" si="75"/>
        <v>-5.9732230613229612E-3</v>
      </c>
      <c r="S212" s="2"/>
      <c r="T212" s="6">
        <v>-74036.009999999995</v>
      </c>
      <c r="U212" s="2"/>
      <c r="V212" s="7">
        <f t="shared" si="76"/>
        <v>-6.5947169392677517E-3</v>
      </c>
      <c r="W212" s="2"/>
      <c r="X212" s="6">
        <f t="shared" si="77"/>
        <v>20117.189999999995</v>
      </c>
      <c r="Y212" s="2"/>
      <c r="Z212" s="7">
        <f t="shared" si="78"/>
        <v>-0.27172169326791107</v>
      </c>
    </row>
    <row r="213" spans="1:26" s="27" customFormat="1" outlineLevel="1" collapsed="1" x14ac:dyDescent="0.25">
      <c r="A213" s="25"/>
      <c r="B213" s="13" t="str">
        <f>CONCATENATE("     ","General                                           ")</f>
        <v xml:space="preserve">     General                                           </v>
      </c>
      <c r="C213" s="13"/>
      <c r="D213" s="1">
        <f>SUM(OSRRefD22_11x_0)</f>
        <v>120.99</v>
      </c>
      <c r="E213" s="1"/>
      <c r="F213" s="5">
        <f t="shared" ref="F213:F227" si="79">IF(D$12=0,0,D213/D$12)</f>
        <v>4.5893826364298227E-4</v>
      </c>
      <c r="G213" s="1"/>
      <c r="H213" s="1">
        <f>SUM(OSRRefH22_11x_0)</f>
        <v>-0.18</v>
      </c>
      <c r="I213" s="1"/>
      <c r="J213" s="5">
        <f t="shared" ref="J213:J227" si="80">IF(H$12=0,0,H213/H$12)</f>
        <v>-2.2863756361983114E-7</v>
      </c>
      <c r="K213" s="1"/>
      <c r="L213" s="1">
        <f t="shared" ref="L213:L227" si="81">+D213-H213</f>
        <v>121.17</v>
      </c>
      <c r="M213" s="1"/>
      <c r="N213" s="5">
        <f t="shared" ref="N213:N227" si="82">IF(H213=0,0,L213/H213)</f>
        <v>-673.16666666666674</v>
      </c>
      <c r="O213" s="13"/>
      <c r="P213" s="1">
        <f>SUM(OSRRefP22_11x_0)</f>
        <v>-1570.63</v>
      </c>
      <c r="Q213" s="1"/>
      <c r="R213" s="5">
        <f t="shared" ref="R213:R227" si="83">IF(P$12=0,0,P213/P$12)</f>
        <v>-1.7399719312859003E-4</v>
      </c>
      <c r="S213" s="1"/>
      <c r="T213" s="1">
        <f>SUM(OSRRefT22_11x_0)</f>
        <v>25117.16</v>
      </c>
      <c r="U213" s="1"/>
      <c r="V213" s="5">
        <f t="shared" ref="V213:V227" si="84">IF(T$12=0,0,T213/T$12)</f>
        <v>2.2372972357410726E-3</v>
      </c>
      <c r="W213" s="1"/>
      <c r="X213" s="1">
        <f t="shared" ref="X213:X227" si="85">+P213-T213</f>
        <v>-26687.79</v>
      </c>
      <c r="Y213" s="1"/>
      <c r="Z213" s="5">
        <f t="shared" ref="Z213:Z227" si="86">IF(T213=0,0,X213/T213)</f>
        <v>-1.0625321493353548</v>
      </c>
    </row>
    <row r="214" spans="1:26" s="24" customFormat="1" hidden="1" outlineLevel="2" x14ac:dyDescent="0.25">
      <c r="A214" s="26"/>
      <c r="B214" s="11" t="str">
        <f>CONCATENATE("          ", "6279", " - ", "GENERAL EXPENSE")</f>
        <v xml:space="preserve">          6279 - GENERAL EXPENSE</v>
      </c>
      <c r="C214" s="11"/>
      <c r="D214" s="6">
        <v>120.99</v>
      </c>
      <c r="E214" s="2"/>
      <c r="F214" s="7">
        <f t="shared" si="79"/>
        <v>4.5893826364298227E-4</v>
      </c>
      <c r="G214" s="2"/>
      <c r="H214" s="6">
        <v>-0.18</v>
      </c>
      <c r="I214" s="2"/>
      <c r="J214" s="7">
        <f t="shared" si="80"/>
        <v>-2.2863756361983114E-7</v>
      </c>
      <c r="K214" s="2"/>
      <c r="L214" s="6">
        <f t="shared" si="81"/>
        <v>121.17</v>
      </c>
      <c r="M214" s="2"/>
      <c r="N214" s="7">
        <f t="shared" si="82"/>
        <v>-673.16666666666674</v>
      </c>
      <c r="O214" s="11"/>
      <c r="P214" s="6">
        <v>-1570.63</v>
      </c>
      <c r="Q214" s="2"/>
      <c r="R214" s="7">
        <f t="shared" si="83"/>
        <v>-1.7399719312859003E-4</v>
      </c>
      <c r="S214" s="2"/>
      <c r="T214" s="6">
        <v>25117.16</v>
      </c>
      <c r="U214" s="2"/>
      <c r="V214" s="7">
        <f t="shared" si="84"/>
        <v>2.2372972357410726E-3</v>
      </c>
      <c r="W214" s="2"/>
      <c r="X214" s="6">
        <f t="shared" si="85"/>
        <v>-26687.79</v>
      </c>
      <c r="Y214" s="2"/>
      <c r="Z214" s="7">
        <f t="shared" si="86"/>
        <v>-1.0625321493353548</v>
      </c>
    </row>
    <row r="215" spans="1:26" s="27" customFormat="1" outlineLevel="1" collapsed="1" x14ac:dyDescent="0.25">
      <c r="A215" s="25"/>
      <c r="B215" s="13" t="str">
        <f>CONCATENATE("     ","Insurance                                         ")</f>
        <v xml:space="preserve">     Insurance                                         </v>
      </c>
      <c r="C215" s="13"/>
      <c r="D215" s="1">
        <f>SUM(OSRRefD22_12x_0)</f>
        <v>4044.74</v>
      </c>
      <c r="E215" s="1"/>
      <c r="F215" s="5">
        <f t="shared" si="79"/>
        <v>1.5342474191977156E-2</v>
      </c>
      <c r="G215" s="1"/>
      <c r="H215" s="1">
        <f>SUM(OSRRefH22_12x_0)</f>
        <v>3809.97</v>
      </c>
      <c r="I215" s="1"/>
      <c r="J215" s="5">
        <f t="shared" si="80"/>
        <v>4.8394569903591556E-3</v>
      </c>
      <c r="K215" s="1"/>
      <c r="L215" s="1">
        <f t="shared" si="81"/>
        <v>234.76999999999998</v>
      </c>
      <c r="M215" s="1"/>
      <c r="N215" s="5">
        <f t="shared" si="82"/>
        <v>6.1619907768302638E-2</v>
      </c>
      <c r="O215" s="13"/>
      <c r="P215" s="1">
        <f>SUM(OSRRefP22_12x_0)</f>
        <v>44492.140000000007</v>
      </c>
      <c r="Q215" s="1"/>
      <c r="R215" s="5">
        <f t="shared" si="83"/>
        <v>4.9289186353783298E-3</v>
      </c>
      <c r="S215" s="1"/>
      <c r="T215" s="1">
        <f>SUM(OSRRefT22_12x_0)</f>
        <v>35120.899999999994</v>
      </c>
      <c r="U215" s="1"/>
      <c r="V215" s="5">
        <f t="shared" si="84"/>
        <v>3.1283748834159048E-3</v>
      </c>
      <c r="W215" s="1"/>
      <c r="X215" s="1">
        <f t="shared" si="85"/>
        <v>9371.2400000000125</v>
      </c>
      <c r="Y215" s="1"/>
      <c r="Z215" s="5">
        <f t="shared" si="86"/>
        <v>0.26682801408847762</v>
      </c>
    </row>
    <row r="216" spans="1:26" s="24" customFormat="1" hidden="1" outlineLevel="2" x14ac:dyDescent="0.25">
      <c r="A216" s="26"/>
      <c r="B216" s="11" t="str">
        <f>CONCATENATE("          ", "6314", " - ", "LIABILITY INSURANCE")</f>
        <v xml:space="preserve">          6314 - LIABILITY INSURANCE</v>
      </c>
      <c r="C216" s="11"/>
      <c r="D216" s="6">
        <v>4044.74</v>
      </c>
      <c r="E216" s="2"/>
      <c r="F216" s="7">
        <f t="shared" si="79"/>
        <v>1.5342474191977156E-2</v>
      </c>
      <c r="G216" s="2"/>
      <c r="H216" s="6">
        <v>3809.97</v>
      </c>
      <c r="I216" s="2"/>
      <c r="J216" s="7">
        <f t="shared" si="80"/>
        <v>4.8394569903591556E-3</v>
      </c>
      <c r="K216" s="2"/>
      <c r="L216" s="6">
        <f t="shared" si="81"/>
        <v>234.76999999999998</v>
      </c>
      <c r="M216" s="2"/>
      <c r="N216" s="7">
        <f t="shared" si="82"/>
        <v>6.1619907768302638E-2</v>
      </c>
      <c r="O216" s="11"/>
      <c r="P216" s="6">
        <v>44492.140000000007</v>
      </c>
      <c r="Q216" s="2"/>
      <c r="R216" s="7">
        <f t="shared" si="83"/>
        <v>4.9289186353783298E-3</v>
      </c>
      <c r="S216" s="2"/>
      <c r="T216" s="6">
        <v>35120.899999999994</v>
      </c>
      <c r="U216" s="2"/>
      <c r="V216" s="7">
        <f t="shared" si="84"/>
        <v>3.1283748834159048E-3</v>
      </c>
      <c r="W216" s="2"/>
      <c r="X216" s="6">
        <f t="shared" si="85"/>
        <v>9371.2400000000125</v>
      </c>
      <c r="Y216" s="2"/>
      <c r="Z216" s="7">
        <f t="shared" si="86"/>
        <v>0.26682801408847762</v>
      </c>
    </row>
    <row r="217" spans="1:26" s="27" customFormat="1" outlineLevel="1" collapsed="1" x14ac:dyDescent="0.25">
      <c r="A217" s="25"/>
      <c r="B217" s="13" t="str">
        <f>CONCATENATE("     ","Inventory Adjustment                              ")</f>
        <v xml:space="preserve">     Inventory Adjustment                              </v>
      </c>
      <c r="C217" s="13"/>
      <c r="D217" s="1">
        <f>SUM(OSRRefD22_13x_0)</f>
        <v>4550</v>
      </c>
      <c r="E217" s="1"/>
      <c r="F217" s="5">
        <f t="shared" si="79"/>
        <v>1.7259022229734435E-2</v>
      </c>
      <c r="G217" s="1"/>
      <c r="H217" s="1">
        <f>SUM(OSRRefH22_13x_0)</f>
        <v>9050</v>
      </c>
      <c r="I217" s="1"/>
      <c r="J217" s="5">
        <f t="shared" si="80"/>
        <v>1.1495388615330398E-2</v>
      </c>
      <c r="K217" s="1"/>
      <c r="L217" s="1">
        <f t="shared" si="81"/>
        <v>-4500</v>
      </c>
      <c r="M217" s="1"/>
      <c r="N217" s="5">
        <f t="shared" si="82"/>
        <v>-0.49723756906077349</v>
      </c>
      <c r="O217" s="13"/>
      <c r="P217" s="1">
        <f>SUM(OSRRefP22_13x_0)</f>
        <v>53350</v>
      </c>
      <c r="Q217" s="1"/>
      <c r="R217" s="5">
        <f t="shared" si="83"/>
        <v>5.910208167047795E-3</v>
      </c>
      <c r="S217" s="1"/>
      <c r="T217" s="1">
        <f>SUM(OSRRefT22_13x_0)</f>
        <v>96750</v>
      </c>
      <c r="U217" s="1"/>
      <c r="V217" s="5">
        <f t="shared" si="84"/>
        <v>8.6179531267845874E-3</v>
      </c>
      <c r="W217" s="1"/>
      <c r="X217" s="1">
        <f t="shared" si="85"/>
        <v>-43400</v>
      </c>
      <c r="Y217" s="1"/>
      <c r="Z217" s="5">
        <f t="shared" si="86"/>
        <v>-0.44857881136950906</v>
      </c>
    </row>
    <row r="218" spans="1:26" s="24" customFormat="1" hidden="1" outlineLevel="2" x14ac:dyDescent="0.25">
      <c r="A218" s="26"/>
      <c r="B218" s="11" t="str">
        <f>CONCATENATE("          ", "6408", " - ", "INVENTORY ADJUSTMENT")</f>
        <v xml:space="preserve">          6408 - INVENTORY ADJUSTMENT</v>
      </c>
      <c r="C218" s="11"/>
      <c r="D218" s="6">
        <v>4550</v>
      </c>
      <c r="E218" s="2"/>
      <c r="F218" s="7">
        <f t="shared" si="79"/>
        <v>1.7259022229734435E-2</v>
      </c>
      <c r="G218" s="2"/>
      <c r="H218" s="6">
        <v>9050</v>
      </c>
      <c r="I218" s="2"/>
      <c r="J218" s="7">
        <f t="shared" si="80"/>
        <v>1.1495388615330398E-2</v>
      </c>
      <c r="K218" s="2"/>
      <c r="L218" s="6">
        <f t="shared" si="81"/>
        <v>-4500</v>
      </c>
      <c r="M218" s="2"/>
      <c r="N218" s="7">
        <f t="shared" si="82"/>
        <v>-0.49723756906077349</v>
      </c>
      <c r="O218" s="11"/>
      <c r="P218" s="6">
        <v>53350</v>
      </c>
      <c r="Q218" s="2"/>
      <c r="R218" s="7">
        <f t="shared" si="83"/>
        <v>5.910208167047795E-3</v>
      </c>
      <c r="S218" s="2"/>
      <c r="T218" s="6">
        <v>96750</v>
      </c>
      <c r="U218" s="2"/>
      <c r="V218" s="7">
        <f t="shared" si="84"/>
        <v>8.6179531267845874E-3</v>
      </c>
      <c r="W218" s="2"/>
      <c r="X218" s="6">
        <f t="shared" si="85"/>
        <v>-43400</v>
      </c>
      <c r="Y218" s="2"/>
      <c r="Z218" s="7">
        <f t="shared" si="86"/>
        <v>-0.44857881136950906</v>
      </c>
    </row>
    <row r="219" spans="1:26" s="27" customFormat="1" outlineLevel="1" collapsed="1" x14ac:dyDescent="0.25">
      <c r="A219" s="25"/>
      <c r="B219" s="13" t="str">
        <f>CONCATENATE("     ","Professional Services                             ")</f>
        <v xml:space="preserve">     Professional Services                             </v>
      </c>
      <c r="C219" s="13"/>
      <c r="D219" s="1">
        <f>SUM(OSRRefD22_14x_0)</f>
        <v>0</v>
      </c>
      <c r="E219" s="1"/>
      <c r="F219" s="5">
        <f t="shared" si="79"/>
        <v>0</v>
      </c>
      <c r="G219" s="1"/>
      <c r="H219" s="1">
        <f>SUM(OSRRefH22_14x_0)</f>
        <v>0</v>
      </c>
      <c r="I219" s="1"/>
      <c r="J219" s="5">
        <f t="shared" si="80"/>
        <v>0</v>
      </c>
      <c r="K219" s="1"/>
      <c r="L219" s="1">
        <f t="shared" si="81"/>
        <v>0</v>
      </c>
      <c r="M219" s="1"/>
      <c r="N219" s="5">
        <f t="shared" si="82"/>
        <v>0</v>
      </c>
      <c r="O219" s="13"/>
      <c r="P219" s="1">
        <f>SUM(OSRRefP22_14x_0)</f>
        <v>9129.56</v>
      </c>
      <c r="Q219" s="1"/>
      <c r="R219" s="5">
        <f t="shared" si="83"/>
        <v>1.0113889423346365E-3</v>
      </c>
      <c r="S219" s="1"/>
      <c r="T219" s="1">
        <f>SUM(OSRRefT22_14x_0)</f>
        <v>8276.43</v>
      </c>
      <c r="U219" s="1"/>
      <c r="V219" s="5">
        <f t="shared" si="84"/>
        <v>7.3721845785130514E-4</v>
      </c>
      <c r="W219" s="1"/>
      <c r="X219" s="1">
        <f t="shared" si="85"/>
        <v>853.1299999999992</v>
      </c>
      <c r="Y219" s="1"/>
      <c r="Z219" s="5">
        <f t="shared" si="86"/>
        <v>0.10307946783818617</v>
      </c>
    </row>
    <row r="220" spans="1:26" s="24" customFormat="1" hidden="1" outlineLevel="2" x14ac:dyDescent="0.25">
      <c r="A220" s="26"/>
      <c r="B220" s="11" t="str">
        <f>CONCATENATE("          ", "6336", " - ", "PROFESSIONAL SERVICES")</f>
        <v xml:space="preserve">          6336 - PROFESSIONAL SERVICES</v>
      </c>
      <c r="C220" s="11"/>
      <c r="D220" s="6"/>
      <c r="E220" s="2"/>
      <c r="F220" s="7">
        <f t="shared" si="79"/>
        <v>0</v>
      </c>
      <c r="G220" s="2"/>
      <c r="H220" s="6"/>
      <c r="I220" s="2"/>
      <c r="J220" s="7">
        <f t="shared" si="80"/>
        <v>0</v>
      </c>
      <c r="K220" s="2"/>
      <c r="L220" s="6">
        <f t="shared" si="81"/>
        <v>0</v>
      </c>
      <c r="M220" s="2"/>
      <c r="N220" s="7">
        <f t="shared" si="82"/>
        <v>0</v>
      </c>
      <c r="O220" s="11"/>
      <c r="P220" s="6">
        <v>9129.56</v>
      </c>
      <c r="Q220" s="2"/>
      <c r="R220" s="7">
        <f t="shared" si="83"/>
        <v>1.0113889423346365E-3</v>
      </c>
      <c r="S220" s="2"/>
      <c r="T220" s="6">
        <v>8276.43</v>
      </c>
      <c r="U220" s="2"/>
      <c r="V220" s="7">
        <f t="shared" si="84"/>
        <v>7.3721845785130514E-4</v>
      </c>
      <c r="W220" s="2"/>
      <c r="X220" s="6">
        <f t="shared" si="85"/>
        <v>853.1299999999992</v>
      </c>
      <c r="Y220" s="2"/>
      <c r="Z220" s="7">
        <f t="shared" si="86"/>
        <v>0.10307946783818617</v>
      </c>
    </row>
    <row r="221" spans="1:26" s="27" customFormat="1" outlineLevel="1" collapsed="1" x14ac:dyDescent="0.25">
      <c r="A221" s="25"/>
      <c r="B221" s="13" t="str">
        <f>CONCATENATE("     ","Rent                                              ")</f>
        <v xml:space="preserve">     Rent                                              </v>
      </c>
      <c r="C221" s="13"/>
      <c r="D221" s="1">
        <f>SUM(OSRRefD22_15x_0)</f>
        <v>6100</v>
      </c>
      <c r="E221" s="1"/>
      <c r="F221" s="5">
        <f t="shared" si="79"/>
        <v>2.3138469362940672E-2</v>
      </c>
      <c r="G221" s="1"/>
      <c r="H221" s="1">
        <f>SUM(OSRRefH22_15x_0)</f>
        <v>6100</v>
      </c>
      <c r="I221" s="1"/>
      <c r="J221" s="5">
        <f t="shared" si="80"/>
        <v>7.7482729893387217E-3</v>
      </c>
      <c r="K221" s="1"/>
      <c r="L221" s="1">
        <f t="shared" si="81"/>
        <v>0</v>
      </c>
      <c r="M221" s="1"/>
      <c r="N221" s="5">
        <f t="shared" si="82"/>
        <v>0</v>
      </c>
      <c r="O221" s="13"/>
      <c r="P221" s="1">
        <f>SUM(OSRRefP22_15x_0)</f>
        <v>68700</v>
      </c>
      <c r="Q221" s="1"/>
      <c r="R221" s="5">
        <f t="shared" si="83"/>
        <v>7.6107085487569538E-3</v>
      </c>
      <c r="S221" s="1"/>
      <c r="T221" s="1">
        <f>SUM(OSRRefT22_15x_0)</f>
        <v>68001.08</v>
      </c>
      <c r="U221" s="1"/>
      <c r="V221" s="5">
        <f t="shared" si="84"/>
        <v>6.0571588631599888E-3</v>
      </c>
      <c r="W221" s="1"/>
      <c r="X221" s="1">
        <f t="shared" si="85"/>
        <v>698.91999999999825</v>
      </c>
      <c r="Y221" s="1"/>
      <c r="Z221" s="5">
        <f t="shared" si="86"/>
        <v>1.0278072054149703E-2</v>
      </c>
    </row>
    <row r="222" spans="1:26" s="24" customFormat="1" hidden="1" outlineLevel="2" x14ac:dyDescent="0.25">
      <c r="A222" s="26"/>
      <c r="B222" s="11" t="str">
        <f>CONCATENATE("          ", "6273", " - ", "RENT")</f>
        <v xml:space="preserve">          6273 - RENT</v>
      </c>
      <c r="C222" s="11"/>
      <c r="D222" s="6">
        <v>6100</v>
      </c>
      <c r="E222" s="2"/>
      <c r="F222" s="7">
        <f t="shared" si="79"/>
        <v>2.3138469362940672E-2</v>
      </c>
      <c r="G222" s="2"/>
      <c r="H222" s="6">
        <v>6100</v>
      </c>
      <c r="I222" s="2"/>
      <c r="J222" s="7">
        <f t="shared" si="80"/>
        <v>7.7482729893387217E-3</v>
      </c>
      <c r="K222" s="2"/>
      <c r="L222" s="6">
        <f t="shared" si="81"/>
        <v>0</v>
      </c>
      <c r="M222" s="2"/>
      <c r="N222" s="7">
        <f t="shared" si="82"/>
        <v>0</v>
      </c>
      <c r="O222" s="11"/>
      <c r="P222" s="6">
        <v>68700</v>
      </c>
      <c r="Q222" s="2"/>
      <c r="R222" s="7">
        <f t="shared" si="83"/>
        <v>7.6107085487569538E-3</v>
      </c>
      <c r="S222" s="2"/>
      <c r="T222" s="6">
        <v>68001.08</v>
      </c>
      <c r="U222" s="2"/>
      <c r="V222" s="7">
        <f t="shared" si="84"/>
        <v>6.0571588631599888E-3</v>
      </c>
      <c r="W222" s="2"/>
      <c r="X222" s="6">
        <f t="shared" si="85"/>
        <v>698.91999999999825</v>
      </c>
      <c r="Y222" s="2"/>
      <c r="Z222" s="7">
        <f t="shared" si="86"/>
        <v>1.0278072054149703E-2</v>
      </c>
    </row>
    <row r="223" spans="1:26" s="27" customFormat="1" outlineLevel="1" collapsed="1" x14ac:dyDescent="0.25">
      <c r="A223" s="25"/>
      <c r="B223" s="13" t="str">
        <f>CONCATENATE("     ","Repair and Maintenance                            ")</f>
        <v xml:space="preserve">     Repair and Maintenance                            </v>
      </c>
      <c r="C223" s="13"/>
      <c r="D223" s="1">
        <f>SUM(OSRRefD22_16x_0)</f>
        <v>5285.57</v>
      </c>
      <c r="E223" s="1"/>
      <c r="F223" s="5">
        <f t="shared" si="79"/>
        <v>2.0049180247652183E-2</v>
      </c>
      <c r="G223" s="1"/>
      <c r="H223" s="1">
        <f>SUM(OSRRefH22_16x_0)</f>
        <v>20865.419999999998</v>
      </c>
      <c r="I223" s="1"/>
      <c r="J223" s="5">
        <f t="shared" si="80"/>
        <v>2.6503437737247205E-2</v>
      </c>
      <c r="K223" s="1"/>
      <c r="L223" s="1">
        <f t="shared" si="81"/>
        <v>-15579.849999999999</v>
      </c>
      <c r="M223" s="1"/>
      <c r="N223" s="5">
        <f t="shared" si="82"/>
        <v>-0.74668278903563889</v>
      </c>
      <c r="O223" s="13"/>
      <c r="P223" s="1">
        <f>SUM(OSRRefP22_16x_0)</f>
        <v>133639.59</v>
      </c>
      <c r="Q223" s="1"/>
      <c r="R223" s="5">
        <f t="shared" si="83"/>
        <v>1.4804832169801664E-2</v>
      </c>
      <c r="S223" s="1"/>
      <c r="T223" s="1">
        <f>SUM(OSRRefT22_16x_0)</f>
        <v>177021.72</v>
      </c>
      <c r="U223" s="1"/>
      <c r="V223" s="5">
        <f t="shared" si="84"/>
        <v>1.5768112510416391E-2</v>
      </c>
      <c r="W223" s="1"/>
      <c r="X223" s="1">
        <f t="shared" si="85"/>
        <v>-43382.130000000005</v>
      </c>
      <c r="Y223" s="1"/>
      <c r="Z223" s="5">
        <f t="shared" si="86"/>
        <v>-0.24506670706848857</v>
      </c>
    </row>
    <row r="224" spans="1:26" s="24" customFormat="1" hidden="1" outlineLevel="2" x14ac:dyDescent="0.25">
      <c r="A224" s="26"/>
      <c r="B224" s="11" t="str">
        <f>CONCATENATE("          ", "6371", " - ", "COMPUTER SOFTWARE MAINTENANCE")</f>
        <v xml:space="preserve">          6371 - COMPUTER SOFTWARE MAINTENANCE</v>
      </c>
      <c r="C224" s="11"/>
      <c r="D224" s="6"/>
      <c r="E224" s="2"/>
      <c r="F224" s="7">
        <f t="shared" si="79"/>
        <v>0</v>
      </c>
      <c r="G224" s="2"/>
      <c r="H224" s="6">
        <v>12101</v>
      </c>
      <c r="I224" s="2"/>
      <c r="J224" s="7">
        <f t="shared" si="80"/>
        <v>1.5370795318686537E-2</v>
      </c>
      <c r="K224" s="2"/>
      <c r="L224" s="6">
        <f t="shared" si="81"/>
        <v>-12101</v>
      </c>
      <c r="M224" s="2"/>
      <c r="N224" s="7">
        <f t="shared" si="82"/>
        <v>-1</v>
      </c>
      <c r="O224" s="11"/>
      <c r="P224" s="6">
        <v>16417.5</v>
      </c>
      <c r="Q224" s="2"/>
      <c r="R224" s="7">
        <f t="shared" si="83"/>
        <v>1.8187599359420275E-3</v>
      </c>
      <c r="S224" s="2"/>
      <c r="T224" s="6">
        <v>58391.83</v>
      </c>
      <c r="U224" s="2"/>
      <c r="V224" s="7">
        <f t="shared" si="84"/>
        <v>5.2012201956297063E-3</v>
      </c>
      <c r="W224" s="2"/>
      <c r="X224" s="6">
        <f t="shared" si="85"/>
        <v>-41974.33</v>
      </c>
      <c r="Y224" s="2"/>
      <c r="Z224" s="7">
        <f t="shared" si="86"/>
        <v>-0.71883909101667132</v>
      </c>
    </row>
    <row r="225" spans="1:26" s="24" customFormat="1" hidden="1" outlineLevel="2" x14ac:dyDescent="0.25">
      <c r="A225" s="26"/>
      <c r="B225" s="11" t="str">
        <f>CONCATENATE("          ", "6372", " - ", "COMPUTER HARDWARE MAINTENANCE")</f>
        <v xml:space="preserve">          6372 - COMPUTER HARDWARE MAINTENANCE</v>
      </c>
      <c r="C225" s="11"/>
      <c r="D225" s="6"/>
      <c r="E225" s="2"/>
      <c r="F225" s="7">
        <f t="shared" si="79"/>
        <v>0</v>
      </c>
      <c r="G225" s="2"/>
      <c r="H225" s="6"/>
      <c r="I225" s="2"/>
      <c r="J225" s="7">
        <f t="shared" si="80"/>
        <v>0</v>
      </c>
      <c r="K225" s="2"/>
      <c r="L225" s="6">
        <f t="shared" si="81"/>
        <v>0</v>
      </c>
      <c r="M225" s="2"/>
      <c r="N225" s="7">
        <f t="shared" si="82"/>
        <v>0</v>
      </c>
      <c r="O225" s="11"/>
      <c r="P225" s="6">
        <v>52.32</v>
      </c>
      <c r="Q225" s="2"/>
      <c r="R225" s="7">
        <f t="shared" si="83"/>
        <v>5.7961029297083527E-6</v>
      </c>
      <c r="S225" s="2"/>
      <c r="T225" s="6">
        <v>51.79</v>
      </c>
      <c r="U225" s="2"/>
      <c r="V225" s="7">
        <f t="shared" si="84"/>
        <v>4.6131658132937863E-6</v>
      </c>
      <c r="W225" s="2"/>
      <c r="X225" s="6">
        <f t="shared" si="85"/>
        <v>0.53000000000000114</v>
      </c>
      <c r="Y225" s="2"/>
      <c r="Z225" s="7">
        <f t="shared" si="86"/>
        <v>1.0233635837034199E-2</v>
      </c>
    </row>
    <row r="226" spans="1:26" s="24" customFormat="1" hidden="1" outlineLevel="2" x14ac:dyDescent="0.25">
      <c r="A226" s="26"/>
      <c r="B226" s="11" t="str">
        <f>CONCATENATE("          ", "6373", " - ", "MAINTENANCE CONTRACTS")</f>
        <v xml:space="preserve">          6373 - MAINTENANCE CONTRACTS</v>
      </c>
      <c r="C226" s="11"/>
      <c r="D226" s="6">
        <v>3743.93</v>
      </c>
      <c r="E226" s="2"/>
      <c r="F226" s="7">
        <f t="shared" si="79"/>
        <v>1.4201444197048274E-2</v>
      </c>
      <c r="G226" s="2"/>
      <c r="H226" s="6">
        <v>7875.74</v>
      </c>
      <c r="I226" s="2"/>
      <c r="J226" s="7">
        <f t="shared" si="80"/>
        <v>1.0003833362795827E-2</v>
      </c>
      <c r="K226" s="2"/>
      <c r="L226" s="6">
        <f t="shared" si="81"/>
        <v>-4131.8099999999995</v>
      </c>
      <c r="M226" s="2"/>
      <c r="N226" s="7">
        <f t="shared" si="82"/>
        <v>-0.52462498762021093</v>
      </c>
      <c r="O226" s="11"/>
      <c r="P226" s="6">
        <v>78674.05</v>
      </c>
      <c r="Q226" s="2"/>
      <c r="R226" s="7">
        <f t="shared" si="83"/>
        <v>8.7156515997137123E-3</v>
      </c>
      <c r="S226" s="2"/>
      <c r="T226" s="6">
        <v>89767.59</v>
      </c>
      <c r="U226" s="2"/>
      <c r="V226" s="7">
        <f t="shared" si="84"/>
        <v>7.9959987899164541E-3</v>
      </c>
      <c r="W226" s="2"/>
      <c r="X226" s="6">
        <f t="shared" si="85"/>
        <v>-11093.539999999994</v>
      </c>
      <c r="Y226" s="2"/>
      <c r="Z226" s="7">
        <f t="shared" si="86"/>
        <v>-0.12358068207022149</v>
      </c>
    </row>
    <row r="227" spans="1:26" s="24" customFormat="1" hidden="1" outlineLevel="2" x14ac:dyDescent="0.25">
      <c r="A227" s="26"/>
      <c r="B227" s="11" t="str">
        <f>CONCATENATE("          ", "6375", " - ", "OUTSIDE REPAIRS &amp; MAINTENANCE")</f>
        <v xml:space="preserve">          6375 - OUTSIDE REPAIRS &amp; MAINTENANCE</v>
      </c>
      <c r="C227" s="11"/>
      <c r="D227" s="6">
        <v>1541.64</v>
      </c>
      <c r="E227" s="2"/>
      <c r="F227" s="7">
        <f t="shared" si="79"/>
        <v>5.8477360506039118E-3</v>
      </c>
      <c r="G227" s="2"/>
      <c r="H227" s="6">
        <v>888.68</v>
      </c>
      <c r="I227" s="2"/>
      <c r="J227" s="7">
        <f t="shared" si="80"/>
        <v>1.1288090557648419E-3</v>
      </c>
      <c r="K227" s="2"/>
      <c r="L227" s="6">
        <f t="shared" si="81"/>
        <v>652.96000000000015</v>
      </c>
      <c r="M227" s="2"/>
      <c r="N227" s="7">
        <f t="shared" si="82"/>
        <v>0.73475266687671625</v>
      </c>
      <c r="O227" s="11"/>
      <c r="P227" s="6">
        <v>38495.72</v>
      </c>
      <c r="Q227" s="2"/>
      <c r="R227" s="7">
        <f t="shared" si="83"/>
        <v>4.2646245312162158E-3</v>
      </c>
      <c r="S227" s="2"/>
      <c r="T227" s="6">
        <v>28810.510000000002</v>
      </c>
      <c r="U227" s="2"/>
      <c r="V227" s="7">
        <f t="shared" si="84"/>
        <v>2.5662803590569372E-3</v>
      </c>
      <c r="W227" s="2"/>
      <c r="X227" s="6">
        <f t="shared" si="85"/>
        <v>9685.2099999999991</v>
      </c>
      <c r="Y227" s="2"/>
      <c r="Z227" s="7">
        <f t="shared" si="86"/>
        <v>0.33616933542655086</v>
      </c>
    </row>
    <row r="228" spans="1:26" s="27" customFormat="1" outlineLevel="1" collapsed="1" x14ac:dyDescent="0.25">
      <c r="A228" s="25"/>
      <c r="B228" s="13" t="str">
        <f>CONCATENATE("     ","Royalty &amp; Commissions                             ")</f>
        <v xml:space="preserve">     Royalty &amp; Commissions                             </v>
      </c>
      <c r="C228" s="13"/>
      <c r="D228" s="1">
        <f>SUM(OSRRefD22_17x_0)</f>
        <v>0</v>
      </c>
      <c r="E228" s="1"/>
      <c r="F228" s="5">
        <f t="shared" ref="F228:F231" si="87">IF(D$12=0,0,D228/D$12)</f>
        <v>0</v>
      </c>
      <c r="G228" s="1"/>
      <c r="H228" s="1">
        <f>SUM(OSRRefH22_17x_0)</f>
        <v>10277.049999999999</v>
      </c>
      <c r="I228" s="1"/>
      <c r="J228" s="5">
        <f t="shared" ref="J228:J231" si="88">IF(H$12=0,0,H228/H$12)</f>
        <v>1.3053998184439919E-2</v>
      </c>
      <c r="K228" s="1"/>
      <c r="L228" s="1">
        <f t="shared" ref="L228:L231" si="89">+D228-H228</f>
        <v>-10277.049999999999</v>
      </c>
      <c r="M228" s="1"/>
      <c r="N228" s="5">
        <f t="shared" ref="N228:N231" si="90">IF(H228=0,0,L228/H228)</f>
        <v>-1</v>
      </c>
      <c r="O228" s="13"/>
      <c r="P228" s="1">
        <f>SUM(OSRRefP22_17x_0)</f>
        <v>123449.40000000001</v>
      </c>
      <c r="Q228" s="1"/>
      <c r="R228" s="5">
        <f t="shared" ref="R228:R231" si="91">IF(P$12=0,0,P228/P$12)</f>
        <v>1.3675944744089036E-2</v>
      </c>
      <c r="S228" s="1"/>
      <c r="T228" s="1">
        <f>SUM(OSRRefT22_17x_0)</f>
        <v>168126.15</v>
      </c>
      <c r="U228" s="1"/>
      <c r="V228" s="5">
        <f t="shared" ref="V228:V231" si="92">IF(T$12=0,0,T228/T$12)</f>
        <v>1.4975744497020719E-2</v>
      </c>
      <c r="W228" s="1"/>
      <c r="X228" s="1">
        <f t="shared" ref="X228:X231" si="93">+P228-T228</f>
        <v>-44676.749999999985</v>
      </c>
      <c r="Y228" s="1"/>
      <c r="Z228" s="5">
        <f t="shared" ref="Z228:Z231" si="94">IF(T228=0,0,X228/T228)</f>
        <v>-0.26573349832848719</v>
      </c>
    </row>
    <row r="229" spans="1:26" s="24" customFormat="1" hidden="1" outlineLevel="2" x14ac:dyDescent="0.25">
      <c r="A229" s="26"/>
      <c r="B229" s="11" t="str">
        <f>CONCATENATE("          ", "6253", " - ", "ROYALTY DUE ATHLETICS-LRG")</f>
        <v xml:space="preserve">          6253 - ROYALTY DUE ATHLETICS-LRG</v>
      </c>
      <c r="C229" s="11"/>
      <c r="D229" s="6"/>
      <c r="E229" s="2"/>
      <c r="F229" s="7">
        <f t="shared" si="87"/>
        <v>0</v>
      </c>
      <c r="G229" s="2"/>
      <c r="H229" s="6"/>
      <c r="I229" s="2"/>
      <c r="J229" s="7">
        <f t="shared" si="88"/>
        <v>0</v>
      </c>
      <c r="K229" s="2"/>
      <c r="L229" s="6">
        <f t="shared" si="89"/>
        <v>0</v>
      </c>
      <c r="M229" s="2"/>
      <c r="N229" s="7">
        <f t="shared" si="90"/>
        <v>0</v>
      </c>
      <c r="O229" s="11"/>
      <c r="P229" s="6">
        <v>32870.44</v>
      </c>
      <c r="Q229" s="2"/>
      <c r="R229" s="7">
        <f t="shared" si="91"/>
        <v>3.6414459783028026E-3</v>
      </c>
      <c r="S229" s="2"/>
      <c r="T229" s="6">
        <v>41365.990000000005</v>
      </c>
      <c r="U229" s="2"/>
      <c r="V229" s="7">
        <f t="shared" si="92"/>
        <v>3.6846528461296131E-3</v>
      </c>
      <c r="W229" s="2"/>
      <c r="X229" s="6">
        <f t="shared" si="93"/>
        <v>-8495.5500000000029</v>
      </c>
      <c r="Y229" s="2"/>
      <c r="Z229" s="7">
        <f t="shared" si="94"/>
        <v>-0.20537523700025073</v>
      </c>
    </row>
    <row r="230" spans="1:26" s="24" customFormat="1" hidden="1" outlineLevel="2" x14ac:dyDescent="0.25">
      <c r="A230" s="26"/>
      <c r="B230" s="11" t="str">
        <f>CONCATENATE("          ", "6254", " - ", "ROYALTY &amp; COMMISSIONS")</f>
        <v xml:space="preserve">          6254 - ROYALTY &amp; COMMISSIONS</v>
      </c>
      <c r="C230" s="11"/>
      <c r="D230" s="6"/>
      <c r="E230" s="2"/>
      <c r="F230" s="7">
        <f t="shared" si="87"/>
        <v>0</v>
      </c>
      <c r="G230" s="2"/>
      <c r="H230" s="6">
        <v>2865.23</v>
      </c>
      <c r="I230" s="2"/>
      <c r="J230" s="7">
        <f t="shared" si="88"/>
        <v>3.6394400356136044E-3</v>
      </c>
      <c r="K230" s="2"/>
      <c r="L230" s="6">
        <f t="shared" si="89"/>
        <v>-2865.23</v>
      </c>
      <c r="M230" s="2"/>
      <c r="N230" s="7">
        <f t="shared" si="90"/>
        <v>-1</v>
      </c>
      <c r="O230" s="11"/>
      <c r="P230" s="6">
        <v>7971.22</v>
      </c>
      <c r="Q230" s="2"/>
      <c r="R230" s="7">
        <f t="shared" si="91"/>
        <v>8.8306597085913261E-4</v>
      </c>
      <c r="S230" s="2"/>
      <c r="T230" s="6">
        <v>16509.43</v>
      </c>
      <c r="U230" s="2"/>
      <c r="V230" s="7">
        <f t="shared" si="92"/>
        <v>1.4705684122990313E-3</v>
      </c>
      <c r="W230" s="2"/>
      <c r="X230" s="6">
        <f t="shared" si="93"/>
        <v>-8538.2099999999991</v>
      </c>
      <c r="Y230" s="2"/>
      <c r="Z230" s="7">
        <f t="shared" si="94"/>
        <v>-0.51717170126406542</v>
      </c>
    </row>
    <row r="231" spans="1:26" s="24" customFormat="1" hidden="1" outlineLevel="2" x14ac:dyDescent="0.25">
      <c r="A231" s="26"/>
      <c r="B231" s="11" t="str">
        <f>CONCATENATE("          ", "6259", " - ", "ROYALTY &amp; COMMISSIONS")</f>
        <v xml:space="preserve">          6259 - ROYALTY &amp; COMMISSIONS</v>
      </c>
      <c r="C231" s="11"/>
      <c r="D231" s="6"/>
      <c r="E231" s="2"/>
      <c r="F231" s="7">
        <f t="shared" si="87"/>
        <v>0</v>
      </c>
      <c r="G231" s="2"/>
      <c r="H231" s="6">
        <v>7411.82</v>
      </c>
      <c r="I231" s="2"/>
      <c r="J231" s="7">
        <f t="shared" si="88"/>
        <v>9.4145581488263158E-3</v>
      </c>
      <c r="K231" s="2"/>
      <c r="L231" s="6">
        <f t="shared" si="89"/>
        <v>-7411.82</v>
      </c>
      <c r="M231" s="2"/>
      <c r="N231" s="7">
        <f t="shared" si="90"/>
        <v>-1</v>
      </c>
      <c r="O231" s="11"/>
      <c r="P231" s="6">
        <v>82607.740000000005</v>
      </c>
      <c r="Q231" s="2"/>
      <c r="R231" s="7">
        <f t="shared" si="91"/>
        <v>9.1514327949271008E-3</v>
      </c>
      <c r="S231" s="2"/>
      <c r="T231" s="6">
        <v>110250.73</v>
      </c>
      <c r="U231" s="2"/>
      <c r="V231" s="7">
        <f t="shared" si="92"/>
        <v>9.8205232385920761E-3</v>
      </c>
      <c r="W231" s="2"/>
      <c r="X231" s="6">
        <f t="shared" si="93"/>
        <v>-27642.989999999991</v>
      </c>
      <c r="Y231" s="2"/>
      <c r="Z231" s="7">
        <f t="shared" si="94"/>
        <v>-0.25072840787539447</v>
      </c>
    </row>
    <row r="232" spans="1:26" s="27" customFormat="1" outlineLevel="1" collapsed="1" x14ac:dyDescent="0.25">
      <c r="A232" s="25"/>
      <c r="B232" s="13" t="str">
        <f>CONCATENATE("     ","Services                                          ")</f>
        <v xml:space="preserve">     Services                                          </v>
      </c>
      <c r="C232" s="13"/>
      <c r="D232" s="1">
        <f>SUM(OSRRefD22_18x_0)</f>
        <v>4376.38</v>
      </c>
      <c r="E232" s="1"/>
      <c r="F232" s="5">
        <f t="shared" ref="F232:F236" si="95">IF(D$12=0,0,D232/D$12)</f>
        <v>1.6600448286981363E-2</v>
      </c>
      <c r="G232" s="1"/>
      <c r="H232" s="1">
        <f>SUM(OSRRefH22_18x_0)</f>
        <v>4665.8100000000004</v>
      </c>
      <c r="I232" s="1"/>
      <c r="J232" s="5">
        <f t="shared" ref="J232:J236" si="96">IF(H$12=0,0,H232/H$12)</f>
        <v>5.926552392850247E-3</v>
      </c>
      <c r="K232" s="1"/>
      <c r="L232" s="1">
        <f t="shared" ref="L232:L236" si="97">+D232-H232</f>
        <v>-289.43000000000029</v>
      </c>
      <c r="M232" s="1"/>
      <c r="N232" s="5">
        <f t="shared" ref="N232:N236" si="98">IF(H232=0,0,L232/H232)</f>
        <v>-6.2032101607223666E-2</v>
      </c>
      <c r="O232" s="13"/>
      <c r="P232" s="1">
        <f>SUM(OSRRefP22_18x_0)</f>
        <v>50633.25</v>
      </c>
      <c r="Q232" s="1"/>
      <c r="R232" s="5">
        <f t="shared" ref="R232:R236" si="99">IF(P$12=0,0,P232/P$12)</f>
        <v>5.6092417558420383E-3</v>
      </c>
      <c r="S232" s="1"/>
      <c r="T232" s="1">
        <f>SUM(OSRRefT22_18x_0)</f>
        <v>49208</v>
      </c>
      <c r="U232" s="1"/>
      <c r="V232" s="5">
        <f t="shared" ref="V232:V236" si="100">IF(T$12=0,0,T232/T$12)</f>
        <v>4.3831755810110184E-3</v>
      </c>
      <c r="W232" s="1"/>
      <c r="X232" s="1">
        <f t="shared" ref="X232:X236" si="101">+P232-T232</f>
        <v>1425.25</v>
      </c>
      <c r="Y232" s="1"/>
      <c r="Z232" s="5">
        <f t="shared" ref="Z232:Z236" si="102">IF(T232=0,0,X232/T232)</f>
        <v>2.896378637619899E-2</v>
      </c>
    </row>
    <row r="233" spans="1:26" s="24" customFormat="1" hidden="1" outlineLevel="2" x14ac:dyDescent="0.25">
      <c r="A233" s="26"/>
      <c r="B233" s="11" t="str">
        <f>CONCATENATE("          ", "6282", " - ", "JANITORIAL/EXTERMINATOR EXPENS")</f>
        <v xml:space="preserve">          6282 - JANITORIAL/EXTERMINATOR EXPENS</v>
      </c>
      <c r="C233" s="11"/>
      <c r="D233" s="6"/>
      <c r="E233" s="2"/>
      <c r="F233" s="7">
        <f t="shared" si="95"/>
        <v>0</v>
      </c>
      <c r="G233" s="2"/>
      <c r="H233" s="6">
        <v>252</v>
      </c>
      <c r="I233" s="2"/>
      <c r="J233" s="7">
        <f t="shared" si="96"/>
        <v>3.200925890677636E-4</v>
      </c>
      <c r="K233" s="2"/>
      <c r="L233" s="6">
        <f t="shared" si="97"/>
        <v>-252</v>
      </c>
      <c r="M233" s="2"/>
      <c r="N233" s="7">
        <f t="shared" si="98"/>
        <v>-1</v>
      </c>
      <c r="O233" s="11"/>
      <c r="P233" s="6">
        <v>2686.02</v>
      </c>
      <c r="Q233" s="2"/>
      <c r="R233" s="7">
        <f t="shared" si="99"/>
        <v>2.9756208698882318E-4</v>
      </c>
      <c r="S233" s="2"/>
      <c r="T233" s="6">
        <v>2617.29</v>
      </c>
      <c r="U233" s="2"/>
      <c r="V233" s="7">
        <f t="shared" si="100"/>
        <v>2.3313366965583497E-4</v>
      </c>
      <c r="W233" s="2"/>
      <c r="X233" s="6">
        <f t="shared" si="101"/>
        <v>68.730000000000018</v>
      </c>
      <c r="Y233" s="2"/>
      <c r="Z233" s="7">
        <f t="shared" si="102"/>
        <v>2.6259986474559571E-2</v>
      </c>
    </row>
    <row r="234" spans="1:26" s="24" customFormat="1" hidden="1" outlineLevel="2" x14ac:dyDescent="0.25">
      <c r="A234" s="26"/>
      <c r="B234" s="11" t="str">
        <f>CONCATENATE("          ", "6283", " - ", "PLANT SERVICE")</f>
        <v xml:space="preserve">          6283 - PLANT SERVICE</v>
      </c>
      <c r="C234" s="11"/>
      <c r="D234" s="6"/>
      <c r="E234" s="2"/>
      <c r="F234" s="7">
        <f t="shared" si="95"/>
        <v>0</v>
      </c>
      <c r="G234" s="2"/>
      <c r="H234" s="6">
        <v>173</v>
      </c>
      <c r="I234" s="2"/>
      <c r="J234" s="7">
        <f t="shared" si="96"/>
        <v>2.1974610281239328E-4</v>
      </c>
      <c r="K234" s="2"/>
      <c r="L234" s="6">
        <f t="shared" si="97"/>
        <v>-173</v>
      </c>
      <c r="M234" s="2"/>
      <c r="N234" s="7">
        <f t="shared" si="98"/>
        <v>-1</v>
      </c>
      <c r="O234" s="11"/>
      <c r="P234" s="6">
        <v>541.98</v>
      </c>
      <c r="Q234" s="2"/>
      <c r="R234" s="7">
        <f t="shared" si="99"/>
        <v>6.0041511197311413E-5</v>
      </c>
      <c r="S234" s="2"/>
      <c r="T234" s="6">
        <v>2025.5</v>
      </c>
      <c r="U234" s="2"/>
      <c r="V234" s="7">
        <f t="shared" si="100"/>
        <v>1.8042030034420861E-4</v>
      </c>
      <c r="W234" s="2"/>
      <c r="X234" s="6">
        <f t="shared" si="101"/>
        <v>-1483.52</v>
      </c>
      <c r="Y234" s="2"/>
      <c r="Z234" s="7">
        <f t="shared" si="102"/>
        <v>-0.73242162429029867</v>
      </c>
    </row>
    <row r="235" spans="1:26" s="24" customFormat="1" hidden="1" outlineLevel="2" x14ac:dyDescent="0.25">
      <c r="A235" s="26"/>
      <c r="B235" s="11" t="str">
        <f>CONCATENATE("          ", "6284", " - ", "TRASH REMOVAL EXPENSE")</f>
        <v xml:space="preserve">          6284 - TRASH REMOVAL EXPENSE</v>
      </c>
      <c r="C235" s="11"/>
      <c r="D235" s="6">
        <v>134.82</v>
      </c>
      <c r="E235" s="2"/>
      <c r="F235" s="7">
        <f t="shared" si="95"/>
        <v>5.1139810483797731E-4</v>
      </c>
      <c r="G235" s="2"/>
      <c r="H235" s="6">
        <v>121.46</v>
      </c>
      <c r="I235" s="2"/>
      <c r="J235" s="7">
        <f t="shared" si="96"/>
        <v>1.5427954709591494E-4</v>
      </c>
      <c r="K235" s="2"/>
      <c r="L235" s="6">
        <f t="shared" si="97"/>
        <v>13.36</v>
      </c>
      <c r="M235" s="2"/>
      <c r="N235" s="7">
        <f t="shared" si="98"/>
        <v>0.10999506010209123</v>
      </c>
      <c r="O235" s="11"/>
      <c r="P235" s="6">
        <v>1483.02</v>
      </c>
      <c r="Q235" s="2"/>
      <c r="R235" s="7">
        <f t="shared" si="99"/>
        <v>1.6429160104770797E-4</v>
      </c>
      <c r="S235" s="2"/>
      <c r="T235" s="6">
        <v>1336.06</v>
      </c>
      <c r="U235" s="2"/>
      <c r="V235" s="7">
        <f t="shared" si="100"/>
        <v>1.190088108999671E-4</v>
      </c>
      <c r="W235" s="2"/>
      <c r="X235" s="6">
        <f t="shared" si="101"/>
        <v>146.96000000000004</v>
      </c>
      <c r="Y235" s="2"/>
      <c r="Z235" s="7">
        <f t="shared" si="102"/>
        <v>0.10999506010209126</v>
      </c>
    </row>
    <row r="236" spans="1:26" s="24" customFormat="1" hidden="1" outlineLevel="2" x14ac:dyDescent="0.25">
      <c r="A236" s="26"/>
      <c r="B236" s="11" t="str">
        <f>CONCATENATE("          ", "6285", " - ", "JANITORIAL SERVICES")</f>
        <v xml:space="preserve">          6285 - JANITORIAL SERVICES</v>
      </c>
      <c r="C236" s="11"/>
      <c r="D236" s="6">
        <v>4241.5600000000004</v>
      </c>
      <c r="E236" s="2"/>
      <c r="F236" s="7">
        <f t="shared" si="95"/>
        <v>1.6089050182143384E-2</v>
      </c>
      <c r="G236" s="2"/>
      <c r="H236" s="6">
        <v>4119.3500000000004</v>
      </c>
      <c r="I236" s="2"/>
      <c r="J236" s="7">
        <f t="shared" si="96"/>
        <v>5.2324341538741749E-3</v>
      </c>
      <c r="K236" s="2"/>
      <c r="L236" s="6">
        <f t="shared" si="97"/>
        <v>122.21000000000004</v>
      </c>
      <c r="M236" s="2"/>
      <c r="N236" s="7">
        <f t="shared" si="98"/>
        <v>2.9667301880151001E-2</v>
      </c>
      <c r="O236" s="11"/>
      <c r="P236" s="6">
        <v>45922.23</v>
      </c>
      <c r="Q236" s="2"/>
      <c r="R236" s="7">
        <f t="shared" si="99"/>
        <v>5.0873465566081966E-3</v>
      </c>
      <c r="S236" s="2"/>
      <c r="T236" s="6">
        <v>43229.15</v>
      </c>
      <c r="U236" s="2"/>
      <c r="V236" s="7">
        <f t="shared" si="100"/>
        <v>3.8506128001110076E-3</v>
      </c>
      <c r="W236" s="2"/>
      <c r="X236" s="6">
        <f t="shared" si="101"/>
        <v>2693.0800000000017</v>
      </c>
      <c r="Y236" s="2"/>
      <c r="Z236" s="7">
        <f t="shared" si="102"/>
        <v>6.229777823528803E-2</v>
      </c>
    </row>
    <row r="237" spans="1:26" s="27" customFormat="1" outlineLevel="1" collapsed="1" x14ac:dyDescent="0.25">
      <c r="A237" s="25"/>
      <c r="B237" s="13" t="str">
        <f>CONCATENATE("     ","Subscriptions &amp; Dues                              ")</f>
        <v xml:space="preserve">     Subscriptions &amp; Dues                              </v>
      </c>
      <c r="C237" s="13"/>
      <c r="D237" s="1">
        <f>SUM(OSRRefD22_19x_0)</f>
        <v>260</v>
      </c>
      <c r="E237" s="1"/>
      <c r="F237" s="5">
        <f t="shared" ref="F237:F239" si="103">IF(D$12=0,0,D237/D$12)</f>
        <v>9.8622984169911073E-4</v>
      </c>
      <c r="G237" s="1"/>
      <c r="H237" s="1">
        <f>SUM(OSRRefH22_19x_0)</f>
        <v>541.96</v>
      </c>
      <c r="I237" s="1"/>
      <c r="J237" s="5">
        <f t="shared" ref="J237:J239" si="104">IF(H$12=0,0,H237/H$12)</f>
        <v>6.8840229988557607E-4</v>
      </c>
      <c r="K237" s="1"/>
      <c r="L237" s="1">
        <f t="shared" ref="L237:L239" si="105">+D237-H237</f>
        <v>-281.96000000000004</v>
      </c>
      <c r="M237" s="1"/>
      <c r="N237" s="5">
        <f t="shared" ref="N237:N239" si="106">IF(H237=0,0,L237/H237)</f>
        <v>-0.52025979777105325</v>
      </c>
      <c r="O237" s="13"/>
      <c r="P237" s="1">
        <f>SUM(OSRRefP22_19x_0)</f>
        <v>7358.85</v>
      </c>
      <c r="Q237" s="1"/>
      <c r="R237" s="5">
        <f t="shared" ref="R237:R239" si="107">IF(P$12=0,0,P237/P$12)</f>
        <v>8.152265298984005E-4</v>
      </c>
      <c r="S237" s="1"/>
      <c r="T237" s="1">
        <f>SUM(OSRRefT22_19x_0)</f>
        <v>15597.82</v>
      </c>
      <c r="U237" s="1"/>
      <c r="V237" s="5">
        <f t="shared" ref="V237:V239" si="108">IF(T$12=0,0,T237/T$12)</f>
        <v>1.3893672520932628E-3</v>
      </c>
      <c r="W237" s="1"/>
      <c r="X237" s="1">
        <f t="shared" ref="X237:X239" si="109">+P237-T237</f>
        <v>-8238.9699999999993</v>
      </c>
      <c r="Y237" s="1"/>
      <c r="Z237" s="5">
        <f t="shared" ref="Z237:Z239" si="110">IF(T237=0,0,X237/T237)</f>
        <v>-0.52821291693326367</v>
      </c>
    </row>
    <row r="238" spans="1:26" s="24" customFormat="1" hidden="1" outlineLevel="2" x14ac:dyDescent="0.25">
      <c r="A238" s="26"/>
      <c r="B238" s="11" t="str">
        <f>CONCATENATE("          ", "6258", " - ", "MEMBERSHIP DUES")</f>
        <v xml:space="preserve">          6258 - MEMBERSHIP DUES</v>
      </c>
      <c r="C238" s="11"/>
      <c r="D238" s="6">
        <v>260</v>
      </c>
      <c r="E238" s="2"/>
      <c r="F238" s="7">
        <f t="shared" si="103"/>
        <v>9.8622984169911073E-4</v>
      </c>
      <c r="G238" s="2"/>
      <c r="H238" s="6">
        <v>250</v>
      </c>
      <c r="I238" s="2"/>
      <c r="J238" s="7">
        <f t="shared" si="104"/>
        <v>3.1755217169420993E-4</v>
      </c>
      <c r="K238" s="2"/>
      <c r="L238" s="6">
        <f t="shared" si="105"/>
        <v>10</v>
      </c>
      <c r="M238" s="2"/>
      <c r="N238" s="7">
        <f t="shared" si="106"/>
        <v>0.04</v>
      </c>
      <c r="O238" s="11"/>
      <c r="P238" s="6">
        <v>4566.41</v>
      </c>
      <c r="Q238" s="2"/>
      <c r="R238" s="7">
        <f t="shared" si="107"/>
        <v>5.0587504547495261E-4</v>
      </c>
      <c r="S238" s="2"/>
      <c r="T238" s="6">
        <v>6307.6</v>
      </c>
      <c r="U238" s="2"/>
      <c r="V238" s="7">
        <f t="shared" si="108"/>
        <v>5.6184600664089374E-4</v>
      </c>
      <c r="W238" s="2"/>
      <c r="X238" s="6">
        <f t="shared" si="109"/>
        <v>-1741.1900000000005</v>
      </c>
      <c r="Y238" s="2"/>
      <c r="Z238" s="7">
        <f t="shared" si="110"/>
        <v>-0.27604635677595291</v>
      </c>
    </row>
    <row r="239" spans="1:26" s="24" customFormat="1" hidden="1" outlineLevel="2" x14ac:dyDescent="0.25">
      <c r="A239" s="26"/>
      <c r="B239" s="11" t="str">
        <f>CONCATENATE("          ", "6275", " - ", "SUBSCRIPTIONS")</f>
        <v xml:space="preserve">          6275 - SUBSCRIPTIONS</v>
      </c>
      <c r="C239" s="11"/>
      <c r="D239" s="6"/>
      <c r="E239" s="2"/>
      <c r="F239" s="7">
        <f t="shared" si="103"/>
        <v>0</v>
      </c>
      <c r="G239" s="2"/>
      <c r="H239" s="6">
        <v>291.95999999999998</v>
      </c>
      <c r="I239" s="2"/>
      <c r="J239" s="7">
        <f t="shared" si="104"/>
        <v>3.7085012819136609E-4</v>
      </c>
      <c r="K239" s="2"/>
      <c r="L239" s="6">
        <f t="shared" si="105"/>
        <v>-291.95999999999998</v>
      </c>
      <c r="M239" s="2"/>
      <c r="N239" s="7">
        <f t="shared" si="106"/>
        <v>-1</v>
      </c>
      <c r="O239" s="11"/>
      <c r="P239" s="6">
        <v>2792.44</v>
      </c>
      <c r="Q239" s="2"/>
      <c r="R239" s="7">
        <f t="shared" si="107"/>
        <v>3.0935148442344789E-4</v>
      </c>
      <c r="S239" s="2"/>
      <c r="T239" s="6">
        <v>9290.2199999999993</v>
      </c>
      <c r="U239" s="2"/>
      <c r="V239" s="7">
        <f t="shared" si="108"/>
        <v>8.2752124545236905E-4</v>
      </c>
      <c r="W239" s="2"/>
      <c r="X239" s="6">
        <f t="shared" si="109"/>
        <v>-6497.7799999999988</v>
      </c>
      <c r="Y239" s="2"/>
      <c r="Z239" s="7">
        <f t="shared" si="110"/>
        <v>-0.69942154222397313</v>
      </c>
    </row>
    <row r="240" spans="1:26" s="27" customFormat="1" outlineLevel="1" collapsed="1" x14ac:dyDescent="0.25">
      <c r="A240" s="25"/>
      <c r="B240" s="13" t="str">
        <f>CONCATENATE("     ","Supplies                                          ")</f>
        <v xml:space="preserve">     Supplies                                          </v>
      </c>
      <c r="C240" s="13"/>
      <c r="D240" s="1">
        <f>SUM(OSRRefD22_20x_0)</f>
        <v>4697.6100000000006</v>
      </c>
      <c r="E240" s="1"/>
      <c r="F240" s="5">
        <f t="shared" ref="F240:F248" si="111">IF(D$12=0,0,D240/D$12)</f>
        <v>1.7818935256400614E-2</v>
      </c>
      <c r="G240" s="1"/>
      <c r="H240" s="1">
        <f>SUM(OSRRefH22_20x_0)</f>
        <v>8723.2200000000012</v>
      </c>
      <c r="I240" s="1"/>
      <c r="J240" s="5">
        <f t="shared" ref="J240:J248" si="112">IF(H$12=0,0,H240/H$12)</f>
        <v>1.1080309820665464E-2</v>
      </c>
      <c r="K240" s="1"/>
      <c r="L240" s="1">
        <f t="shared" ref="L240:L248" si="113">+D240-H240</f>
        <v>-4025.6100000000006</v>
      </c>
      <c r="M240" s="1"/>
      <c r="N240" s="5">
        <f t="shared" ref="N240:N248" si="114">IF(H240=0,0,L240/H240)</f>
        <v>-0.46148211325634342</v>
      </c>
      <c r="O240" s="13"/>
      <c r="P240" s="1">
        <f>SUM(OSRRefP22_20x_0)</f>
        <v>93102.56</v>
      </c>
      <c r="Q240" s="1"/>
      <c r="R240" s="5">
        <f t="shared" ref="R240:R248" si="115">IF(P$12=0,0,P240/P$12)</f>
        <v>1.0314067675446247E-2</v>
      </c>
      <c r="S240" s="1"/>
      <c r="T240" s="1">
        <f>SUM(OSRRefT22_20x_0)</f>
        <v>157550.64000000001</v>
      </c>
      <c r="U240" s="1"/>
      <c r="V240" s="5">
        <f t="shared" ref="V240:V248" si="116">IF(T$12=0,0,T240/T$12)</f>
        <v>1.4033736750541738E-2</v>
      </c>
      <c r="W240" s="1"/>
      <c r="X240" s="1">
        <f t="shared" ref="X240:X248" si="117">+P240-T240</f>
        <v>-64448.080000000016</v>
      </c>
      <c r="Y240" s="1"/>
      <c r="Z240" s="5">
        <f t="shared" ref="Z240:Z248" si="118">IF(T240=0,0,X240/T240)</f>
        <v>-0.40906263535330617</v>
      </c>
    </row>
    <row r="241" spans="1:26" s="24" customFormat="1" hidden="1" outlineLevel="2" x14ac:dyDescent="0.25">
      <c r="A241" s="26"/>
      <c r="B241" s="11" t="str">
        <f>CONCATENATE("          ", "6234", " - ", "EXPENDABLE SUPPLIES &amp; EQUIPMEN")</f>
        <v xml:space="preserve">          6234 - EXPENDABLE SUPPLIES &amp; EQUIPMEN</v>
      </c>
      <c r="C241" s="11"/>
      <c r="D241" s="6">
        <v>700.76</v>
      </c>
      <c r="E241" s="2"/>
      <c r="F241" s="7">
        <f t="shared" si="111"/>
        <v>2.6581170148810337E-3</v>
      </c>
      <c r="G241" s="2"/>
      <c r="H241" s="6"/>
      <c r="I241" s="2"/>
      <c r="J241" s="7">
        <f t="shared" si="112"/>
        <v>0</v>
      </c>
      <c r="K241" s="2"/>
      <c r="L241" s="6">
        <f t="shared" si="113"/>
        <v>700.76</v>
      </c>
      <c r="M241" s="2"/>
      <c r="N241" s="7">
        <f t="shared" si="114"/>
        <v>0</v>
      </c>
      <c r="O241" s="11"/>
      <c r="P241" s="6">
        <v>4142.5600000000004</v>
      </c>
      <c r="Q241" s="2"/>
      <c r="R241" s="7">
        <f t="shared" si="115"/>
        <v>4.5892018640085312E-4</v>
      </c>
      <c r="S241" s="2"/>
      <c r="T241" s="6">
        <v>3681.43</v>
      </c>
      <c r="U241" s="2"/>
      <c r="V241" s="7">
        <f t="shared" si="116"/>
        <v>3.2792135586086395E-4</v>
      </c>
      <c r="W241" s="2"/>
      <c r="X241" s="6">
        <f t="shared" si="117"/>
        <v>461.13000000000056</v>
      </c>
      <c r="Y241" s="2"/>
      <c r="Z241" s="7">
        <f t="shared" si="118"/>
        <v>0.12525839144028286</v>
      </c>
    </row>
    <row r="242" spans="1:26" s="24" customFormat="1" hidden="1" outlineLevel="2" x14ac:dyDescent="0.25">
      <c r="A242" s="26"/>
      <c r="B242" s="11" t="str">
        <f>CONCATENATE("          ", "6235", " - ", "COVID-19 EXPENSES")</f>
        <v xml:space="preserve">          6235 - COVID-19 EXPENSES</v>
      </c>
      <c r="C242" s="11"/>
      <c r="D242" s="6">
        <v>1550</v>
      </c>
      <c r="E242" s="2"/>
      <c r="F242" s="7">
        <f t="shared" si="111"/>
        <v>5.8794471332062363E-3</v>
      </c>
      <c r="G242" s="2"/>
      <c r="H242" s="6"/>
      <c r="I242" s="2"/>
      <c r="J242" s="7">
        <f t="shared" si="112"/>
        <v>0</v>
      </c>
      <c r="K242" s="2"/>
      <c r="L242" s="6">
        <f t="shared" si="113"/>
        <v>1550</v>
      </c>
      <c r="M242" s="2"/>
      <c r="N242" s="7">
        <f t="shared" si="114"/>
        <v>0</v>
      </c>
      <c r="O242" s="11"/>
      <c r="P242" s="6">
        <v>1550</v>
      </c>
      <c r="Q242" s="2"/>
      <c r="R242" s="7">
        <f t="shared" si="115"/>
        <v>1.7171176492828644E-4</v>
      </c>
      <c r="S242" s="2"/>
      <c r="T242" s="6"/>
      <c r="U242" s="2"/>
      <c r="V242" s="7">
        <f t="shared" si="116"/>
        <v>0</v>
      </c>
      <c r="W242" s="2"/>
      <c r="X242" s="6">
        <f t="shared" si="117"/>
        <v>1550</v>
      </c>
      <c r="Y242" s="2"/>
      <c r="Z242" s="7">
        <f t="shared" si="118"/>
        <v>0</v>
      </c>
    </row>
    <row r="243" spans="1:26" s="24" customFormat="1" hidden="1" outlineLevel="2" x14ac:dyDescent="0.25">
      <c r="A243" s="26"/>
      <c r="B243" s="11" t="str">
        <f>CONCATENATE("          ", "6237", " - ", "JANITORIAL SUPPLIES")</f>
        <v xml:space="preserve">          6237 - JANITORIAL SUPPLIES</v>
      </c>
      <c r="C243" s="11"/>
      <c r="D243" s="6"/>
      <c r="E243" s="2"/>
      <c r="F243" s="7">
        <f t="shared" si="111"/>
        <v>0</v>
      </c>
      <c r="G243" s="2"/>
      <c r="H243" s="6">
        <v>407.67</v>
      </c>
      <c r="I243" s="2"/>
      <c r="J243" s="7">
        <f t="shared" si="112"/>
        <v>5.1782597533831421E-4</v>
      </c>
      <c r="K243" s="2"/>
      <c r="L243" s="6">
        <f t="shared" si="113"/>
        <v>-407.67</v>
      </c>
      <c r="M243" s="2"/>
      <c r="N243" s="7">
        <f t="shared" si="114"/>
        <v>-1</v>
      </c>
      <c r="O243" s="11"/>
      <c r="P243" s="6">
        <v>5305.04</v>
      </c>
      <c r="Q243" s="2"/>
      <c r="R243" s="7">
        <f t="shared" si="115"/>
        <v>5.8770179446139147E-4</v>
      </c>
      <c r="S243" s="2"/>
      <c r="T243" s="6">
        <v>6284.89</v>
      </c>
      <c r="U243" s="2"/>
      <c r="V243" s="7">
        <f t="shared" si="116"/>
        <v>5.598231258604361E-4</v>
      </c>
      <c r="W243" s="2"/>
      <c r="X243" s="6">
        <f t="shared" si="117"/>
        <v>-979.85000000000036</v>
      </c>
      <c r="Y243" s="2"/>
      <c r="Z243" s="7">
        <f t="shared" si="118"/>
        <v>-0.15590567217564671</v>
      </c>
    </row>
    <row r="244" spans="1:26" s="24" customFormat="1" hidden="1" outlineLevel="2" x14ac:dyDescent="0.25">
      <c r="A244" s="26"/>
      <c r="B244" s="11" t="str">
        <f>CONCATENATE("          ", "6241", " - ", "OFFICE EXPENSE")</f>
        <v xml:space="preserve">          6241 - OFFICE EXPENSE</v>
      </c>
      <c r="C244" s="11"/>
      <c r="D244" s="6">
        <v>1299.8699999999999</v>
      </c>
      <c r="E244" s="2"/>
      <c r="F244" s="7">
        <f t="shared" si="111"/>
        <v>4.9306560935747029E-3</v>
      </c>
      <c r="G244" s="2"/>
      <c r="H244" s="6">
        <v>1198.24</v>
      </c>
      <c r="I244" s="2"/>
      <c r="J244" s="7">
        <f t="shared" si="112"/>
        <v>1.5220148568434804E-3</v>
      </c>
      <c r="K244" s="2"/>
      <c r="L244" s="6">
        <f t="shared" si="113"/>
        <v>101.62999999999988</v>
      </c>
      <c r="M244" s="2"/>
      <c r="N244" s="7">
        <f t="shared" si="114"/>
        <v>8.481606355988773E-2</v>
      </c>
      <c r="O244" s="11"/>
      <c r="P244" s="6">
        <v>24380.550000000003</v>
      </c>
      <c r="Q244" s="2"/>
      <c r="R244" s="7">
        <f t="shared" si="115"/>
        <v>2.7009208196273125E-3</v>
      </c>
      <c r="S244" s="2"/>
      <c r="T244" s="6">
        <v>33890.080000000002</v>
      </c>
      <c r="U244" s="2"/>
      <c r="V244" s="7">
        <f t="shared" si="116"/>
        <v>3.018740267731058E-3</v>
      </c>
      <c r="W244" s="2"/>
      <c r="X244" s="6">
        <f t="shared" si="117"/>
        <v>-9509.5299999999988</v>
      </c>
      <c r="Y244" s="2"/>
      <c r="Z244" s="7">
        <f t="shared" si="118"/>
        <v>-0.2805992195946424</v>
      </c>
    </row>
    <row r="245" spans="1:26" s="24" customFormat="1" hidden="1" outlineLevel="2" x14ac:dyDescent="0.25">
      <c r="A245" s="26"/>
      <c r="B245" s="11" t="str">
        <f>CONCATENATE("          ", "6243", " - ", "PAPER SUPPLIES")</f>
        <v xml:space="preserve">          6243 - PAPER SUPPLIES</v>
      </c>
      <c r="C245" s="11"/>
      <c r="D245" s="6">
        <v>50.85</v>
      </c>
      <c r="E245" s="2"/>
      <c r="F245" s="7">
        <f t="shared" si="111"/>
        <v>1.9288379788615298E-4</v>
      </c>
      <c r="G245" s="2"/>
      <c r="H245" s="6">
        <v>3035.13</v>
      </c>
      <c r="I245" s="2"/>
      <c r="J245" s="7">
        <f t="shared" si="112"/>
        <v>3.8552484914969897E-3</v>
      </c>
      <c r="K245" s="2"/>
      <c r="L245" s="6">
        <f t="shared" si="113"/>
        <v>-2984.28</v>
      </c>
      <c r="M245" s="2"/>
      <c r="N245" s="7">
        <f t="shared" si="114"/>
        <v>-0.98324618714849121</v>
      </c>
      <c r="O245" s="11"/>
      <c r="P245" s="6">
        <v>17939.21</v>
      </c>
      <c r="Q245" s="2"/>
      <c r="R245" s="7">
        <f t="shared" si="115"/>
        <v>1.9873376842059129E-3</v>
      </c>
      <c r="S245" s="2"/>
      <c r="T245" s="6">
        <v>34120.870000000003</v>
      </c>
      <c r="U245" s="2"/>
      <c r="V245" s="7">
        <f t="shared" si="116"/>
        <v>3.0392977602595396E-3</v>
      </c>
      <c r="W245" s="2"/>
      <c r="X245" s="6">
        <f t="shared" si="117"/>
        <v>-16181.660000000003</v>
      </c>
      <c r="Y245" s="2"/>
      <c r="Z245" s="7">
        <f t="shared" si="118"/>
        <v>-0.47424523466136714</v>
      </c>
    </row>
    <row r="246" spans="1:26" s="24" customFormat="1" hidden="1" outlineLevel="2" x14ac:dyDescent="0.25">
      <c r="A246" s="26"/>
      <c r="B246" s="11" t="str">
        <f>CONCATENATE("          ", "6245", " - ", "PRINTING")</f>
        <v xml:space="preserve">          6245 - PRINTING</v>
      </c>
      <c r="C246" s="11"/>
      <c r="D246" s="6">
        <v>66.150000000000006</v>
      </c>
      <c r="E246" s="2"/>
      <c r="F246" s="7">
        <f t="shared" si="111"/>
        <v>2.5091963087844682E-4</v>
      </c>
      <c r="G246" s="2"/>
      <c r="H246" s="6">
        <v>2527.31</v>
      </c>
      <c r="I246" s="2"/>
      <c r="J246" s="7">
        <f t="shared" si="112"/>
        <v>3.2102111161779745E-3</v>
      </c>
      <c r="K246" s="2"/>
      <c r="L246" s="6">
        <f t="shared" si="113"/>
        <v>-2461.16</v>
      </c>
      <c r="M246" s="2"/>
      <c r="N246" s="7">
        <f t="shared" si="114"/>
        <v>-0.97382592558886716</v>
      </c>
      <c r="O246" s="11"/>
      <c r="P246" s="6">
        <v>10627.6</v>
      </c>
      <c r="Q246" s="2"/>
      <c r="R246" s="7">
        <f t="shared" si="115"/>
        <v>1.1773444857753916E-3</v>
      </c>
      <c r="S246" s="2"/>
      <c r="T246" s="6">
        <v>14820.350000000002</v>
      </c>
      <c r="U246" s="2"/>
      <c r="V246" s="7">
        <f t="shared" si="116"/>
        <v>1.320114538734284E-3</v>
      </c>
      <c r="W246" s="2"/>
      <c r="X246" s="6">
        <f t="shared" si="117"/>
        <v>-4192.7500000000018</v>
      </c>
      <c r="Y246" s="2"/>
      <c r="Z246" s="7">
        <f t="shared" si="118"/>
        <v>-0.28290492464752864</v>
      </c>
    </row>
    <row r="247" spans="1:26" s="24" customFormat="1" hidden="1" outlineLevel="2" x14ac:dyDescent="0.25">
      <c r="A247" s="26"/>
      <c r="B247" s="11" t="str">
        <f>CONCATENATE("          ", "6247", " - ", "STORE SUPPLIES")</f>
        <v xml:space="preserve">          6247 - STORE SUPPLIES</v>
      </c>
      <c r="C247" s="11"/>
      <c r="D247" s="6">
        <v>1029.98</v>
      </c>
      <c r="E247" s="2"/>
      <c r="F247" s="7">
        <f t="shared" si="111"/>
        <v>3.9069115859740383E-3</v>
      </c>
      <c r="G247" s="2"/>
      <c r="H247" s="6">
        <v>1554.87</v>
      </c>
      <c r="I247" s="2"/>
      <c r="J247" s="7">
        <f t="shared" si="112"/>
        <v>1.9750093808087047E-3</v>
      </c>
      <c r="K247" s="2"/>
      <c r="L247" s="6">
        <f t="shared" si="113"/>
        <v>-524.88999999999987</v>
      </c>
      <c r="M247" s="2"/>
      <c r="N247" s="7">
        <f t="shared" si="114"/>
        <v>-0.33757806118839512</v>
      </c>
      <c r="O247" s="11"/>
      <c r="P247" s="6">
        <v>29113.69</v>
      </c>
      <c r="Q247" s="2"/>
      <c r="R247" s="7">
        <f t="shared" si="115"/>
        <v>3.2252665119193572E-3</v>
      </c>
      <c r="S247" s="2"/>
      <c r="T247" s="6">
        <v>62776.24</v>
      </c>
      <c r="U247" s="2"/>
      <c r="V247" s="7">
        <f t="shared" si="116"/>
        <v>5.591759109000307E-3</v>
      </c>
      <c r="W247" s="2"/>
      <c r="X247" s="6">
        <f t="shared" si="117"/>
        <v>-33662.550000000003</v>
      </c>
      <c r="Y247" s="2"/>
      <c r="Z247" s="7">
        <f t="shared" si="118"/>
        <v>-0.53623074590004127</v>
      </c>
    </row>
    <row r="248" spans="1:26" s="24" customFormat="1" hidden="1" outlineLevel="2" x14ac:dyDescent="0.25">
      <c r="A248" s="26"/>
      <c r="B248" s="11" t="str">
        <f>CONCATENATE("          ", "6248", " - ", "UNIFORMS")</f>
        <v xml:space="preserve">          6248 - UNIFORMS</v>
      </c>
      <c r="C248" s="11"/>
      <c r="D248" s="6"/>
      <c r="E248" s="2"/>
      <c r="F248" s="7">
        <f t="shared" si="111"/>
        <v>0</v>
      </c>
      <c r="G248" s="2"/>
      <c r="H248" s="6"/>
      <c r="I248" s="2"/>
      <c r="J248" s="7">
        <f t="shared" si="112"/>
        <v>0</v>
      </c>
      <c r="K248" s="2"/>
      <c r="L248" s="6">
        <f t="shared" si="113"/>
        <v>0</v>
      </c>
      <c r="M248" s="2"/>
      <c r="N248" s="7">
        <f t="shared" si="114"/>
        <v>0</v>
      </c>
      <c r="O248" s="11"/>
      <c r="P248" s="6">
        <v>43.91</v>
      </c>
      <c r="Q248" s="2"/>
      <c r="R248" s="7">
        <f t="shared" si="115"/>
        <v>4.8644281277426171E-6</v>
      </c>
      <c r="S248" s="2"/>
      <c r="T248" s="6">
        <v>1976.78</v>
      </c>
      <c r="U248" s="2"/>
      <c r="V248" s="7">
        <f t="shared" si="116"/>
        <v>1.7608059309524794E-4</v>
      </c>
      <c r="W248" s="2"/>
      <c r="X248" s="6">
        <f t="shared" si="117"/>
        <v>-1932.87</v>
      </c>
      <c r="Y248" s="2"/>
      <c r="Z248" s="7">
        <f t="shared" si="118"/>
        <v>-0.97778710832768434</v>
      </c>
    </row>
    <row r="249" spans="1:26" s="27" customFormat="1" outlineLevel="1" collapsed="1" x14ac:dyDescent="0.25">
      <c r="A249" s="25"/>
      <c r="B249" s="13" t="str">
        <f>CONCATENATE("     ","Telephone/Data Lines                              ")</f>
        <v xml:space="preserve">     Telephone/Data Lines                              </v>
      </c>
      <c r="C249" s="13"/>
      <c r="D249" s="1">
        <f>SUM(OSRRefD22_21x_0)</f>
        <v>2738.58</v>
      </c>
      <c r="E249" s="1"/>
      <c r="F249" s="5">
        <f t="shared" ref="F249:F251" si="119">IF(D$12=0,0,D249/D$12)</f>
        <v>1.0387958922616732E-2</v>
      </c>
      <c r="G249" s="1"/>
      <c r="H249" s="1">
        <f>SUM(OSRRefH22_21x_0)</f>
        <v>2939.87</v>
      </c>
      <c r="I249" s="1"/>
      <c r="J249" s="5">
        <f t="shared" ref="J249:J251" si="120">IF(H$12=0,0,H249/H$12)</f>
        <v>3.7342484119946276E-3</v>
      </c>
      <c r="K249" s="1"/>
      <c r="L249" s="1">
        <f t="shared" ref="L249:L251" si="121">+D249-H249</f>
        <v>-201.28999999999996</v>
      </c>
      <c r="M249" s="1"/>
      <c r="N249" s="5">
        <f t="shared" ref="N249:N251" si="122">IF(H249=0,0,L249/H249)</f>
        <v>-6.8469013935990364E-2</v>
      </c>
      <c r="O249" s="13"/>
      <c r="P249" s="1">
        <f>SUM(OSRRefP22_21x_0)</f>
        <v>27856.47</v>
      </c>
      <c r="Q249" s="1"/>
      <c r="R249" s="5">
        <f t="shared" ref="R249:R251" si="123">IF(P$12=0,0,P249/P$12)</f>
        <v>3.0859894376592668E-3</v>
      </c>
      <c r="S249" s="1"/>
      <c r="T249" s="1">
        <f>SUM(OSRRefT22_21x_0)</f>
        <v>30526.82</v>
      </c>
      <c r="U249" s="1"/>
      <c r="V249" s="5">
        <f t="shared" ref="V249:V251" si="124">IF(T$12=0,0,T249/T$12)</f>
        <v>2.7191597299203131E-3</v>
      </c>
      <c r="W249" s="1"/>
      <c r="X249" s="1">
        <f t="shared" ref="X249:X251" si="125">+P249-T249</f>
        <v>-2670.3499999999985</v>
      </c>
      <c r="Y249" s="1"/>
      <c r="Z249" s="5">
        <f t="shared" ref="Z249:Z251" si="126">IF(T249=0,0,X249/T249)</f>
        <v>-8.7475537904046302E-2</v>
      </c>
    </row>
    <row r="250" spans="1:26" s="24" customFormat="1" hidden="1" outlineLevel="2" x14ac:dyDescent="0.25">
      <c r="A250" s="26"/>
      <c r="B250" s="11" t="str">
        <f>CONCATENATE("          ", "6303", " - ", "DATA PHONE LINES")</f>
        <v xml:space="preserve">          6303 - DATA PHONE LINES</v>
      </c>
      <c r="C250" s="11"/>
      <c r="D250" s="6">
        <v>590</v>
      </c>
      <c r="E250" s="2"/>
      <c r="F250" s="7">
        <f t="shared" si="119"/>
        <v>2.2379831023172127E-3</v>
      </c>
      <c r="G250" s="2"/>
      <c r="H250" s="6">
        <v>590</v>
      </c>
      <c r="I250" s="2"/>
      <c r="J250" s="7">
        <f t="shared" si="120"/>
        <v>7.4942312519833535E-4</v>
      </c>
      <c r="K250" s="2"/>
      <c r="L250" s="6">
        <f t="shared" si="121"/>
        <v>0</v>
      </c>
      <c r="M250" s="2"/>
      <c r="N250" s="7">
        <f t="shared" si="122"/>
        <v>0</v>
      </c>
      <c r="O250" s="11"/>
      <c r="P250" s="6">
        <v>2950</v>
      </c>
      <c r="Q250" s="2"/>
      <c r="R250" s="7">
        <f t="shared" si="123"/>
        <v>3.2680626228286775E-4</v>
      </c>
      <c r="S250" s="2"/>
      <c r="T250" s="6">
        <v>3245</v>
      </c>
      <c r="U250" s="2"/>
      <c r="V250" s="7">
        <f t="shared" si="124"/>
        <v>2.8904659324460968E-4</v>
      </c>
      <c r="W250" s="2"/>
      <c r="X250" s="6">
        <f t="shared" si="125"/>
        <v>-295</v>
      </c>
      <c r="Y250" s="2"/>
      <c r="Z250" s="7">
        <f t="shared" si="126"/>
        <v>-9.0909090909090912E-2</v>
      </c>
    </row>
    <row r="251" spans="1:26" s="24" customFormat="1" hidden="1" outlineLevel="2" x14ac:dyDescent="0.25">
      <c r="A251" s="26"/>
      <c r="B251" s="11" t="str">
        <f>CONCATENATE("          ", "6309", " - ", "TELEPHONE")</f>
        <v xml:space="preserve">          6309 - TELEPHONE</v>
      </c>
      <c r="C251" s="11"/>
      <c r="D251" s="6">
        <v>2148.58</v>
      </c>
      <c r="E251" s="2"/>
      <c r="F251" s="7">
        <f t="shared" si="119"/>
        <v>8.1499758202995196E-3</v>
      </c>
      <c r="G251" s="2"/>
      <c r="H251" s="6">
        <v>2349.87</v>
      </c>
      <c r="I251" s="2"/>
      <c r="J251" s="7">
        <f t="shared" si="120"/>
        <v>2.984825286796292E-3</v>
      </c>
      <c r="K251" s="2"/>
      <c r="L251" s="6">
        <f t="shared" si="121"/>
        <v>-201.28999999999996</v>
      </c>
      <c r="M251" s="2"/>
      <c r="N251" s="7">
        <f t="shared" si="122"/>
        <v>-8.5660057790430955E-2</v>
      </c>
      <c r="O251" s="11"/>
      <c r="P251" s="6">
        <v>24906.47</v>
      </c>
      <c r="Q251" s="2"/>
      <c r="R251" s="7">
        <f t="shared" si="123"/>
        <v>2.7591831753763993E-3</v>
      </c>
      <c r="S251" s="2"/>
      <c r="T251" s="6">
        <v>27281.82</v>
      </c>
      <c r="U251" s="2"/>
      <c r="V251" s="7">
        <f t="shared" si="124"/>
        <v>2.4301131366757035E-3</v>
      </c>
      <c r="W251" s="2"/>
      <c r="X251" s="6">
        <f t="shared" si="125"/>
        <v>-2375.3499999999985</v>
      </c>
      <c r="Y251" s="2"/>
      <c r="Z251" s="7">
        <f t="shared" si="126"/>
        <v>-8.7067138482696482E-2</v>
      </c>
    </row>
    <row r="252" spans="1:26" s="27" customFormat="1" outlineLevel="1" collapsed="1" x14ac:dyDescent="0.25">
      <c r="A252" s="25"/>
      <c r="B252" s="13" t="str">
        <f>CONCATENATE("     ","Training                                          ")</f>
        <v xml:space="preserve">     Training                                          </v>
      </c>
      <c r="C252" s="13"/>
      <c r="D252" s="1">
        <f>SUM(OSRRefD22_22x_0)</f>
        <v>2140.13</v>
      </c>
      <c r="E252" s="1"/>
      <c r="F252" s="5">
        <f t="shared" ref="F252:F257" si="127">IF(D$12=0,0,D252/D$12)</f>
        <v>8.1179233504442994E-3</v>
      </c>
      <c r="G252" s="1"/>
      <c r="H252" s="1">
        <f>SUM(OSRRefH22_22x_0)</f>
        <v>39.299999999999997</v>
      </c>
      <c r="I252" s="1"/>
      <c r="J252" s="5">
        <f t="shared" ref="J252:J257" si="128">IF(H$12=0,0,H252/H$12)</f>
        <v>4.9919201390329795E-5</v>
      </c>
      <c r="K252" s="1"/>
      <c r="L252" s="1">
        <f t="shared" ref="L252:L257" si="129">+D252-H252</f>
        <v>2100.83</v>
      </c>
      <c r="M252" s="1"/>
      <c r="N252" s="5">
        <f t="shared" ref="N252:N257" si="130">IF(H252=0,0,L252/H252)</f>
        <v>53.456234096692114</v>
      </c>
      <c r="O252" s="13"/>
      <c r="P252" s="1">
        <f>SUM(OSRRefP22_22x_0)</f>
        <v>23857.01</v>
      </c>
      <c r="Q252" s="1"/>
      <c r="R252" s="5">
        <f t="shared" ref="R252:R257" si="131">IF(P$12=0,0,P252/P$12)</f>
        <v>2.6429221245237284E-3</v>
      </c>
      <c r="S252" s="1"/>
      <c r="T252" s="1">
        <f>SUM(OSRRefT22_22x_0)</f>
        <v>20772.689999999999</v>
      </c>
      <c r="U252" s="1"/>
      <c r="V252" s="5">
        <f t="shared" ref="V252:V257" si="132">IF(T$12=0,0,T252/T$12)</f>
        <v>1.8503159559403301E-3</v>
      </c>
      <c r="W252" s="1"/>
      <c r="X252" s="1">
        <f t="shared" ref="X252:X257" si="133">+P252-T252</f>
        <v>3084.3199999999997</v>
      </c>
      <c r="Y252" s="1"/>
      <c r="Z252" s="5">
        <f t="shared" ref="Z252:Z257" si="134">IF(T252=0,0,X252/T252)</f>
        <v>0.14847956619965927</v>
      </c>
    </row>
    <row r="253" spans="1:26" s="24" customFormat="1" hidden="1" outlineLevel="2" x14ac:dyDescent="0.25">
      <c r="A253" s="26"/>
      <c r="B253" s="11" t="str">
        <f>CONCATENATE("          ", "6376", " - ", "TRAINING")</f>
        <v xml:space="preserve">          6376 - TRAINING</v>
      </c>
      <c r="C253" s="11"/>
      <c r="D253" s="6">
        <v>2140.13</v>
      </c>
      <c r="E253" s="2"/>
      <c r="F253" s="7">
        <f t="shared" si="127"/>
        <v>8.1179233504442994E-3</v>
      </c>
      <c r="G253" s="2"/>
      <c r="H253" s="6">
        <v>39.299999999999997</v>
      </c>
      <c r="I253" s="2"/>
      <c r="J253" s="7">
        <f t="shared" si="128"/>
        <v>4.9919201390329795E-5</v>
      </c>
      <c r="K253" s="2"/>
      <c r="L253" s="6">
        <f t="shared" si="129"/>
        <v>2100.83</v>
      </c>
      <c r="M253" s="2"/>
      <c r="N253" s="7">
        <f t="shared" si="130"/>
        <v>53.456234096692114</v>
      </c>
      <c r="O253" s="11"/>
      <c r="P253" s="6">
        <v>23857.01</v>
      </c>
      <c r="Q253" s="2"/>
      <c r="R253" s="7">
        <f t="shared" si="131"/>
        <v>2.6429221245237284E-3</v>
      </c>
      <c r="S253" s="2"/>
      <c r="T253" s="6">
        <v>20772.689999999999</v>
      </c>
      <c r="U253" s="2"/>
      <c r="V253" s="7">
        <f t="shared" si="132"/>
        <v>1.8503159559403301E-3</v>
      </c>
      <c r="W253" s="2"/>
      <c r="X253" s="6">
        <f t="shared" si="133"/>
        <v>3084.3199999999997</v>
      </c>
      <c r="Y253" s="2"/>
      <c r="Z253" s="7">
        <f t="shared" si="134"/>
        <v>0.14847956619965927</v>
      </c>
    </row>
    <row r="254" spans="1:26" s="27" customFormat="1" outlineLevel="1" collapsed="1" x14ac:dyDescent="0.25">
      <c r="A254" s="25"/>
      <c r="B254" s="13" t="str">
        <f>CONCATENATE("     ","Travel                                            ")</f>
        <v xml:space="preserve">     Travel                                            </v>
      </c>
      <c r="C254" s="13"/>
      <c r="D254" s="1">
        <f>SUM(OSRRefD22_23x_0)</f>
        <v>0</v>
      </c>
      <c r="E254" s="1"/>
      <c r="F254" s="5">
        <f t="shared" si="127"/>
        <v>0</v>
      </c>
      <c r="G254" s="1"/>
      <c r="H254" s="1">
        <f>SUM(OSRRefH22_23x_0)</f>
        <v>128.32999999999998</v>
      </c>
      <c r="I254" s="1"/>
      <c r="J254" s="5">
        <f t="shared" si="128"/>
        <v>1.6300588077407182E-4</v>
      </c>
      <c r="K254" s="1"/>
      <c r="L254" s="1">
        <f t="shared" si="129"/>
        <v>-128.32999999999998</v>
      </c>
      <c r="M254" s="1"/>
      <c r="N254" s="5">
        <f t="shared" si="130"/>
        <v>-1</v>
      </c>
      <c r="O254" s="13"/>
      <c r="P254" s="1">
        <f>SUM(OSRRefP22_23x_0)</f>
        <v>1317.79</v>
      </c>
      <c r="Q254" s="1"/>
      <c r="R254" s="5">
        <f t="shared" si="131"/>
        <v>1.4598712690635262E-4</v>
      </c>
      <c r="S254" s="1"/>
      <c r="T254" s="1">
        <f>SUM(OSRRefT22_23x_0)</f>
        <v>3685.09</v>
      </c>
      <c r="U254" s="1"/>
      <c r="V254" s="5">
        <f t="shared" si="132"/>
        <v>3.2824736835124153E-4</v>
      </c>
      <c r="W254" s="1"/>
      <c r="X254" s="1">
        <f t="shared" si="133"/>
        <v>-2367.3000000000002</v>
      </c>
      <c r="Y254" s="1"/>
      <c r="Z254" s="5">
        <f t="shared" si="134"/>
        <v>-0.64239950720335193</v>
      </c>
    </row>
    <row r="255" spans="1:26" s="24" customFormat="1" hidden="1" outlineLevel="2" x14ac:dyDescent="0.25">
      <c r="A255" s="26"/>
      <c r="B255" s="11" t="str">
        <f>CONCATENATE("          ", "6292", " - ", "TRAVEL/CONFERENCE")</f>
        <v xml:space="preserve">          6292 - TRAVEL/CONFERENCE</v>
      </c>
      <c r="C255" s="11"/>
      <c r="D255" s="6"/>
      <c r="E255" s="2"/>
      <c r="F255" s="7">
        <f t="shared" si="127"/>
        <v>0</v>
      </c>
      <c r="G255" s="2"/>
      <c r="H255" s="6">
        <v>57.95</v>
      </c>
      <c r="I255" s="2"/>
      <c r="J255" s="7">
        <f t="shared" si="128"/>
        <v>7.3608593398717862E-5</v>
      </c>
      <c r="K255" s="2"/>
      <c r="L255" s="6">
        <f t="shared" si="129"/>
        <v>-57.95</v>
      </c>
      <c r="M255" s="2"/>
      <c r="N255" s="7">
        <f t="shared" si="130"/>
        <v>-1</v>
      </c>
      <c r="O255" s="11"/>
      <c r="P255" s="6">
        <v>504.66</v>
      </c>
      <c r="Q255" s="2"/>
      <c r="R255" s="7">
        <f t="shared" si="131"/>
        <v>5.5907135024973575E-5</v>
      </c>
      <c r="S255" s="2"/>
      <c r="T255" s="6">
        <v>2461.46</v>
      </c>
      <c r="U255" s="2"/>
      <c r="V255" s="7">
        <f t="shared" si="132"/>
        <v>2.1925319796852911E-4</v>
      </c>
      <c r="W255" s="2"/>
      <c r="X255" s="6">
        <f t="shared" si="133"/>
        <v>-1956.8</v>
      </c>
      <c r="Y255" s="2"/>
      <c r="Z255" s="7">
        <f t="shared" si="134"/>
        <v>-0.7949753398389573</v>
      </c>
    </row>
    <row r="256" spans="1:26" s="24" customFormat="1" hidden="1" outlineLevel="2" x14ac:dyDescent="0.25">
      <c r="A256" s="26"/>
      <c r="B256" s="11" t="str">
        <f>CONCATENATE("          ", "6294", " - ", "TRAVEL OPERATIONAL")</f>
        <v xml:space="preserve">          6294 - TRAVEL OPERATIONAL</v>
      </c>
      <c r="C256" s="11"/>
      <c r="D256" s="6"/>
      <c r="E256" s="2"/>
      <c r="F256" s="7">
        <f t="shared" si="127"/>
        <v>0</v>
      </c>
      <c r="G256" s="2"/>
      <c r="H256" s="6"/>
      <c r="I256" s="2"/>
      <c r="J256" s="7">
        <f t="shared" si="128"/>
        <v>0</v>
      </c>
      <c r="K256" s="2"/>
      <c r="L256" s="6">
        <f t="shared" si="129"/>
        <v>0</v>
      </c>
      <c r="M256" s="2"/>
      <c r="N256" s="7">
        <f t="shared" si="130"/>
        <v>0</v>
      </c>
      <c r="O256" s="11"/>
      <c r="P256" s="6">
        <v>361.61</v>
      </c>
      <c r="Q256" s="2"/>
      <c r="R256" s="7">
        <f t="shared" si="131"/>
        <v>4.0059800848850103E-5</v>
      </c>
      <c r="S256" s="2"/>
      <c r="T256" s="6">
        <v>579.4</v>
      </c>
      <c r="U256" s="2"/>
      <c r="V256" s="7">
        <f t="shared" si="132"/>
        <v>5.1609736864692405E-5</v>
      </c>
      <c r="W256" s="2"/>
      <c r="X256" s="6">
        <f t="shared" si="133"/>
        <v>-217.78999999999996</v>
      </c>
      <c r="Y256" s="2"/>
      <c r="Z256" s="7">
        <f t="shared" si="134"/>
        <v>-0.37588885053503618</v>
      </c>
    </row>
    <row r="257" spans="1:26" s="24" customFormat="1" hidden="1" outlineLevel="2" x14ac:dyDescent="0.25">
      <c r="A257" s="26"/>
      <c r="B257" s="11" t="str">
        <f>CONCATENATE("          ", "6298", " - ", "VEHICLE MILEAGE")</f>
        <v xml:space="preserve">          6298 - VEHICLE MILEAGE</v>
      </c>
      <c r="C257" s="11"/>
      <c r="D257" s="6"/>
      <c r="E257" s="2"/>
      <c r="F257" s="7">
        <f t="shared" si="127"/>
        <v>0</v>
      </c>
      <c r="G257" s="2"/>
      <c r="H257" s="6">
        <v>70.38</v>
      </c>
      <c r="I257" s="2"/>
      <c r="J257" s="7">
        <f t="shared" si="128"/>
        <v>8.9397287375353967E-5</v>
      </c>
      <c r="K257" s="2"/>
      <c r="L257" s="6">
        <f t="shared" si="129"/>
        <v>-70.38</v>
      </c>
      <c r="M257" s="2"/>
      <c r="N257" s="7">
        <f t="shared" si="130"/>
        <v>-1</v>
      </c>
      <c r="O257" s="11"/>
      <c r="P257" s="6">
        <v>451.52</v>
      </c>
      <c r="Q257" s="2"/>
      <c r="R257" s="7">
        <f t="shared" si="131"/>
        <v>5.002019103252896E-5</v>
      </c>
      <c r="S257" s="2"/>
      <c r="T257" s="6">
        <v>644.23</v>
      </c>
      <c r="U257" s="2"/>
      <c r="V257" s="7">
        <f t="shared" si="132"/>
        <v>5.7384433518020003E-5</v>
      </c>
      <c r="W257" s="2"/>
      <c r="X257" s="6">
        <f t="shared" si="133"/>
        <v>-192.71000000000004</v>
      </c>
      <c r="Y257" s="2"/>
      <c r="Z257" s="7">
        <f t="shared" si="134"/>
        <v>-0.29913229747140002</v>
      </c>
    </row>
    <row r="258" spans="1:26" s="27" customFormat="1" outlineLevel="1" collapsed="1" x14ac:dyDescent="0.25">
      <c r="A258" s="25"/>
      <c r="B258" s="13" t="str">
        <f>CONCATENATE("     ","Utilities                                         ")</f>
        <v xml:space="preserve">     Utilities                                         </v>
      </c>
      <c r="C258" s="13"/>
      <c r="D258" s="1">
        <f>SUM(OSRRefD22_24x_0)</f>
        <v>6159.43</v>
      </c>
      <c r="E258" s="1"/>
      <c r="F258" s="5">
        <f t="shared" ref="F258:F259" si="135">IF(D$12=0,0,D258/D$12)</f>
        <v>2.3363898745602896E-2</v>
      </c>
      <c r="G258" s="1"/>
      <c r="H258" s="1">
        <f>SUM(OSRRefH22_24x_0)</f>
        <v>5619.19</v>
      </c>
      <c r="I258" s="1"/>
      <c r="J258" s="5">
        <f t="shared" ref="J258:J259" si="136">IF(H$12=0,0,H258/H$12)</f>
        <v>7.1375439506495492E-3</v>
      </c>
      <c r="K258" s="1"/>
      <c r="L258" s="1">
        <f t="shared" ref="L258:L259" si="137">+D258-H258</f>
        <v>540.24000000000069</v>
      </c>
      <c r="M258" s="1"/>
      <c r="N258" s="5">
        <f t="shared" ref="N258:N259" si="138">IF(H258=0,0,L258/H258)</f>
        <v>9.6141970639896629E-2</v>
      </c>
      <c r="O258" s="13"/>
      <c r="P258" s="1">
        <f>SUM(OSRRefP22_24x_0)</f>
        <v>65364.780000000006</v>
      </c>
      <c r="Q258" s="1"/>
      <c r="R258" s="5">
        <f t="shared" ref="R258:R259" si="139">IF(P$12=0,0,P258/P$12)</f>
        <v>7.241226927709136E-3</v>
      </c>
      <c r="S258" s="1"/>
      <c r="T258" s="1">
        <f>SUM(OSRRefT22_24x_0)</f>
        <v>52090.32</v>
      </c>
      <c r="U258" s="1"/>
      <c r="V258" s="5">
        <f t="shared" ref="V258:V259" si="140">IF(T$12=0,0,T258/T$12)</f>
        <v>4.6399166523949332E-3</v>
      </c>
      <c r="W258" s="1"/>
      <c r="X258" s="1">
        <f t="shared" ref="X258:X259" si="141">+P258-T258</f>
        <v>13274.460000000006</v>
      </c>
      <c r="Y258" s="1"/>
      <c r="Z258" s="5">
        <f t="shared" ref="Z258:Z259" si="142">IF(T258=0,0,X258/T258)</f>
        <v>0.2548354473537503</v>
      </c>
    </row>
    <row r="259" spans="1:26" s="24" customFormat="1" hidden="1" outlineLevel="2" x14ac:dyDescent="0.25">
      <c r="A259" s="26"/>
      <c r="B259" s="11" t="str">
        <f>CONCATENATE("          ", "6274", " - ", "UTILITIES")</f>
        <v xml:space="preserve">          6274 - UTILITIES</v>
      </c>
      <c r="C259" s="11"/>
      <c r="D259" s="6">
        <v>6159.43</v>
      </c>
      <c r="E259" s="2"/>
      <c r="F259" s="7">
        <f t="shared" si="135"/>
        <v>2.3363898745602896E-2</v>
      </c>
      <c r="G259" s="2"/>
      <c r="H259" s="6">
        <v>5619.19</v>
      </c>
      <c r="I259" s="2"/>
      <c r="J259" s="7">
        <f t="shared" si="136"/>
        <v>7.1375439506495492E-3</v>
      </c>
      <c r="K259" s="2"/>
      <c r="L259" s="6">
        <f t="shared" si="137"/>
        <v>540.24000000000069</v>
      </c>
      <c r="M259" s="2"/>
      <c r="N259" s="7">
        <f t="shared" si="138"/>
        <v>9.6141970639896629E-2</v>
      </c>
      <c r="O259" s="11"/>
      <c r="P259" s="6">
        <v>65364.780000000006</v>
      </c>
      <c r="Q259" s="2"/>
      <c r="R259" s="7">
        <f t="shared" si="139"/>
        <v>7.241226927709136E-3</v>
      </c>
      <c r="S259" s="2"/>
      <c r="T259" s="6">
        <v>52090.32</v>
      </c>
      <c r="U259" s="2"/>
      <c r="V259" s="7">
        <f t="shared" si="140"/>
        <v>4.6399166523949332E-3</v>
      </c>
      <c r="W259" s="2"/>
      <c r="X259" s="6">
        <f t="shared" si="141"/>
        <v>13274.460000000006</v>
      </c>
      <c r="Y259" s="2"/>
      <c r="Z259" s="7">
        <f t="shared" si="142"/>
        <v>0.2548354473537503</v>
      </c>
    </row>
    <row r="260" spans="1:26" s="58" customFormat="1" x14ac:dyDescent="0.25">
      <c r="A260" s="37"/>
      <c r="B260" s="37"/>
      <c r="C260" s="37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7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3" customFormat="1" collapsed="1" x14ac:dyDescent="0.25">
      <c r="A261" s="10"/>
      <c r="B261" s="28" t="s">
        <v>0</v>
      </c>
      <c r="C261" s="10"/>
      <c r="D261" s="4">
        <f>SUM(OSRRefD25x_0)</f>
        <v>108077.11</v>
      </c>
      <c r="E261" s="4"/>
      <c r="F261" s="12">
        <f t="shared" ref="F261:F270" si="143">IF(D$12=0,0,D261/D$12)</f>
        <v>0.40995719648691298</v>
      </c>
      <c r="G261" s="4"/>
      <c r="H261" s="4">
        <f>SUM(OSRRefH25x_0)</f>
        <v>139380.63</v>
      </c>
      <c r="I261" s="4"/>
      <c r="J261" s="12">
        <f t="shared" ref="J261:J270" si="144">IF(H$12=0,0,H261/H$12)</f>
        <v>0.17704248699442859</v>
      </c>
      <c r="K261" s="4"/>
      <c r="L261" s="4">
        <f t="shared" ref="L261:L270" si="145">+D261-H261</f>
        <v>-31303.520000000004</v>
      </c>
      <c r="M261" s="4"/>
      <c r="N261" s="12">
        <f t="shared" ref="N261:N270" si="146">IF(H261=0,0,L261/H261)</f>
        <v>-0.22459017440228246</v>
      </c>
      <c r="O261" s="10"/>
      <c r="P261" s="4">
        <f>SUM(OSRRefP25x_0)</f>
        <v>1169105.1499999999</v>
      </c>
      <c r="Q261" s="4"/>
      <c r="R261" s="12">
        <f t="shared" ref="R261:R270" si="147">IF(P$12=0,0,P261/P$12)</f>
        <v>0.12951555399564454</v>
      </c>
      <c r="S261" s="4"/>
      <c r="T261" s="4">
        <f>SUM(OSRRefT25x_0)</f>
        <v>1202618.8599999999</v>
      </c>
      <c r="U261" s="4"/>
      <c r="V261" s="12">
        <f t="shared" ref="V261:V270" si="148">IF(T$12=0,0,T261/T$12)</f>
        <v>0.10712261462394952</v>
      </c>
      <c r="W261" s="4"/>
      <c r="X261" s="4">
        <f t="shared" ref="X261:X270" si="149">+P261-T261</f>
        <v>-33513.709999999963</v>
      </c>
      <c r="Y261" s="4"/>
      <c r="Z261" s="12">
        <f t="shared" ref="Z261:Z270" si="150">IF(T261=0,0,X261/T261)</f>
        <v>-2.78672745910537E-2</v>
      </c>
    </row>
    <row r="262" spans="1:26" s="24" customFormat="1" hidden="1" outlineLevel="1" x14ac:dyDescent="0.25">
      <c r="A262" s="44"/>
      <c r="B262" s="11" t="str">
        <f>CONCATENATE("          ", "4098", " - ", "TAXABLE SALES-GRAD RENTALS")</f>
        <v xml:space="preserve">          4098 - TAXABLE SALES-GRAD RENTALS</v>
      </c>
      <c r="C262" s="11"/>
      <c r="D262" s="2">
        <f>-152</f>
        <v>-152</v>
      </c>
      <c r="E262" s="2"/>
      <c r="F262" s="19">
        <f t="shared" si="143"/>
        <v>-5.7656513822409549E-4</v>
      </c>
      <c r="G262" s="2"/>
      <c r="H262" s="2">
        <f>--70358.28</f>
        <v>70358.28</v>
      </c>
      <c r="I262" s="2"/>
      <c r="J262" s="19">
        <f t="shared" si="144"/>
        <v>8.9369698442677184E-2</v>
      </c>
      <c r="K262" s="2"/>
      <c r="L262" s="2">
        <f t="shared" si="145"/>
        <v>-70510.28</v>
      </c>
      <c r="M262" s="2"/>
      <c r="N262" s="19">
        <f t="shared" si="146"/>
        <v>-1.0021603711745086</v>
      </c>
      <c r="O262" s="11"/>
      <c r="P262" s="2">
        <f>--1946.85</f>
        <v>1946.85</v>
      </c>
      <c r="Q262" s="2"/>
      <c r="R262" s="19">
        <f t="shared" si="147"/>
        <v>2.15675515839119E-4</v>
      </c>
      <c r="S262" s="2"/>
      <c r="T262" s="2">
        <f>--77432.28</f>
        <v>77432.28</v>
      </c>
      <c r="U262" s="2"/>
      <c r="V262" s="19">
        <f t="shared" si="148"/>
        <v>6.8972378247034597E-3</v>
      </c>
      <c r="W262" s="2"/>
      <c r="X262" s="2">
        <f t="shared" si="149"/>
        <v>-75485.429999999993</v>
      </c>
      <c r="Y262" s="2"/>
      <c r="Z262" s="19">
        <f t="shared" si="150"/>
        <v>-0.97485738505956421</v>
      </c>
    </row>
    <row r="263" spans="1:26" s="24" customFormat="1" hidden="1" outlineLevel="1" x14ac:dyDescent="0.25">
      <c r="A263" s="44"/>
      <c r="B263" s="11" t="str">
        <f>CONCATENATE("          ", "4197", " - ", "NON-TAXABLE SALES-RETURNED CHE")</f>
        <v xml:space="preserve">          4197 - NON-TAXABLE SALES-RETURNED CHE</v>
      </c>
      <c r="C263" s="11"/>
      <c r="D263" s="2">
        <f>0</f>
        <v>0</v>
      </c>
      <c r="E263" s="2"/>
      <c r="F263" s="19">
        <f t="shared" si="143"/>
        <v>0</v>
      </c>
      <c r="G263" s="2"/>
      <c r="H263" s="2">
        <f>0</f>
        <v>0</v>
      </c>
      <c r="I263" s="2"/>
      <c r="J263" s="19">
        <f t="shared" si="144"/>
        <v>0</v>
      </c>
      <c r="K263" s="2"/>
      <c r="L263" s="2">
        <f t="shared" si="145"/>
        <v>0</v>
      </c>
      <c r="M263" s="2"/>
      <c r="N263" s="19">
        <f t="shared" si="146"/>
        <v>0</v>
      </c>
      <c r="O263" s="11"/>
      <c r="P263" s="2">
        <f>--30</f>
        <v>30</v>
      </c>
      <c r="Q263" s="2"/>
      <c r="R263" s="19">
        <f t="shared" si="147"/>
        <v>3.3234535147410278E-6</v>
      </c>
      <c r="S263" s="2"/>
      <c r="T263" s="2">
        <f>--335</f>
        <v>335</v>
      </c>
      <c r="U263" s="2"/>
      <c r="V263" s="19">
        <f t="shared" si="148"/>
        <v>2.9839941059150771E-5</v>
      </c>
      <c r="W263" s="2"/>
      <c r="X263" s="2">
        <f t="shared" si="149"/>
        <v>-305</v>
      </c>
      <c r="Y263" s="2"/>
      <c r="Z263" s="19">
        <f t="shared" si="150"/>
        <v>-0.91044776119402981</v>
      </c>
    </row>
    <row r="264" spans="1:26" s="24" customFormat="1" hidden="1" outlineLevel="1" x14ac:dyDescent="0.25">
      <c r="A264" s="44"/>
      <c r="B264" s="11" t="str">
        <f>CONCATENATE("          ", "4198", " - ", "NON-TAXABLE SALES-GRAD RENTALS")</f>
        <v xml:space="preserve">          4198 - NON-TAXABLE SALES-GRAD RENTALS</v>
      </c>
      <c r="C264" s="11"/>
      <c r="D264" s="2">
        <f>-3469.7</f>
        <v>-3469.7</v>
      </c>
      <c r="E264" s="2"/>
      <c r="F264" s="19">
        <f t="shared" si="143"/>
        <v>-1.3161237237474631E-2</v>
      </c>
      <c r="G264" s="2"/>
      <c r="H264" s="2">
        <f>--1245</f>
        <v>1245</v>
      </c>
      <c r="I264" s="2"/>
      <c r="J264" s="19">
        <f t="shared" si="144"/>
        <v>1.5814098150371653E-3</v>
      </c>
      <c r="K264" s="2"/>
      <c r="L264" s="2">
        <f t="shared" si="145"/>
        <v>-4714.7</v>
      </c>
      <c r="M264" s="2"/>
      <c r="N264" s="19">
        <f t="shared" si="146"/>
        <v>-3.7869076305220881</v>
      </c>
      <c r="O264" s="11"/>
      <c r="P264" s="2">
        <f>--163.76</f>
        <v>163.76</v>
      </c>
      <c r="Q264" s="2"/>
      <c r="R264" s="19">
        <f t="shared" si="147"/>
        <v>1.8141624919133024E-5</v>
      </c>
      <c r="S264" s="2"/>
      <c r="T264" s="2">
        <f>--385810.85</f>
        <v>385810.85</v>
      </c>
      <c r="U264" s="2"/>
      <c r="V264" s="19">
        <f t="shared" si="148"/>
        <v>3.4365889623823455E-2</v>
      </c>
      <c r="W264" s="2"/>
      <c r="X264" s="2">
        <f t="shared" si="149"/>
        <v>-385647.08999999997</v>
      </c>
      <c r="Y264" s="2"/>
      <c r="Z264" s="19">
        <f t="shared" si="150"/>
        <v>-0.99957554330055776</v>
      </c>
    </row>
    <row r="265" spans="1:26" s="24" customFormat="1" hidden="1" outlineLevel="1" x14ac:dyDescent="0.25">
      <c r="A265" s="44"/>
      <c r="B265" s="11" t="str">
        <f>CONCATENATE("          ", "9150", " - ", "MISC. INCOME")</f>
        <v xml:space="preserve">          9150 - MISC. INCOME</v>
      </c>
      <c r="C265" s="11"/>
      <c r="D265" s="2">
        <f>--48272.63</f>
        <v>48272.63</v>
      </c>
      <c r="E265" s="2"/>
      <c r="F265" s="19">
        <f t="shared" si="143"/>
        <v>0.1831073393973067</v>
      </c>
      <c r="G265" s="2"/>
      <c r="H265" s="2">
        <f>--34310.81</f>
        <v>34310.81</v>
      </c>
      <c r="I265" s="2"/>
      <c r="J265" s="19">
        <f t="shared" si="144"/>
        <v>4.3581888912349653E-2</v>
      </c>
      <c r="K265" s="2"/>
      <c r="L265" s="2">
        <f t="shared" si="145"/>
        <v>13961.82</v>
      </c>
      <c r="M265" s="2"/>
      <c r="N265" s="19">
        <f t="shared" si="146"/>
        <v>0.40692190012418827</v>
      </c>
      <c r="O265" s="11"/>
      <c r="P265" s="2">
        <f>--476038.11</f>
        <v>476038.11</v>
      </c>
      <c r="Q265" s="2"/>
      <c r="R265" s="19">
        <f t="shared" si="147"/>
        <v>5.2736350994339203E-2</v>
      </c>
      <c r="S265" s="2"/>
      <c r="T265" s="2">
        <f>--618792.08</f>
        <v>618792.07999999996</v>
      </c>
      <c r="U265" s="2"/>
      <c r="V265" s="19">
        <f t="shared" si="148"/>
        <v>5.5118564761400916E-2</v>
      </c>
      <c r="W265" s="2"/>
      <c r="X265" s="2">
        <f t="shared" si="149"/>
        <v>-142753.96999999997</v>
      </c>
      <c r="Y265" s="2"/>
      <c r="Z265" s="19">
        <f t="shared" si="150"/>
        <v>-0.23069779755422853</v>
      </c>
    </row>
    <row r="266" spans="1:26" s="24" customFormat="1" hidden="1" outlineLevel="1" x14ac:dyDescent="0.25">
      <c r="A266" s="44"/>
      <c r="B266" s="11" t="str">
        <f>CONCATENATE("          ", "9151", " - ", "MISC. INCOME")</f>
        <v xml:space="preserve">          9151 - MISC. INCOME</v>
      </c>
      <c r="C266" s="11"/>
      <c r="D266" s="2">
        <f>0</f>
        <v>0</v>
      </c>
      <c r="E266" s="2"/>
      <c r="F266" s="19">
        <f t="shared" si="143"/>
        <v>0</v>
      </c>
      <c r="G266" s="2"/>
      <c r="H266" s="2">
        <f>--33793.79</f>
        <v>33793.79</v>
      </c>
      <c r="I266" s="2"/>
      <c r="J266" s="19">
        <f t="shared" si="144"/>
        <v>4.29251656171123E-2</v>
      </c>
      <c r="K266" s="2"/>
      <c r="L266" s="2">
        <f t="shared" si="145"/>
        <v>-33793.79</v>
      </c>
      <c r="M266" s="2"/>
      <c r="N266" s="19">
        <f t="shared" si="146"/>
        <v>-1</v>
      </c>
      <c r="O266" s="11"/>
      <c r="P266" s="2">
        <f>--169392.7</f>
        <v>169392.7</v>
      </c>
      <c r="Q266" s="2"/>
      <c r="R266" s="19">
        <f t="shared" si="147"/>
        <v>1.8765625472882418E-2</v>
      </c>
      <c r="S266" s="2"/>
      <c r="T266" s="2">
        <f>--498.26</f>
        <v>498.26</v>
      </c>
      <c r="U266" s="2"/>
      <c r="V266" s="19">
        <f t="shared" si="148"/>
        <v>4.4382235916813323E-5</v>
      </c>
      <c r="W266" s="2"/>
      <c r="X266" s="2">
        <f t="shared" si="149"/>
        <v>168894.44</v>
      </c>
      <c r="Y266" s="2"/>
      <c r="Z266" s="19">
        <f t="shared" si="150"/>
        <v>338.96849034640547</v>
      </c>
    </row>
    <row r="267" spans="1:26" s="24" customFormat="1" hidden="1" outlineLevel="1" x14ac:dyDescent="0.25">
      <c r="A267" s="44"/>
      <c r="B267" s="11" t="str">
        <f>CONCATENATE("          ", "9152", " - ", "MISC. INCOME")</f>
        <v xml:space="preserve">          9152 - MISC. INCOME</v>
      </c>
      <c r="C267" s="11"/>
      <c r="D267" s="2">
        <f>--5092.84</f>
        <v>5092.84</v>
      </c>
      <c r="E267" s="2"/>
      <c r="F267" s="19">
        <f t="shared" si="143"/>
        <v>1.9318118411534226E-2</v>
      </c>
      <c r="G267" s="2"/>
      <c r="H267" s="2">
        <f>--542.75</f>
        <v>542.75</v>
      </c>
      <c r="I267" s="2"/>
      <c r="J267" s="19">
        <f t="shared" si="144"/>
        <v>6.8940576474812976E-4</v>
      </c>
      <c r="K267" s="2"/>
      <c r="L267" s="2">
        <f t="shared" si="145"/>
        <v>4550.09</v>
      </c>
      <c r="M267" s="2"/>
      <c r="N267" s="19">
        <f t="shared" si="146"/>
        <v>8.3833993551358823</v>
      </c>
      <c r="O267" s="11"/>
      <c r="P267" s="2">
        <f>--9874.89</f>
        <v>9874.89</v>
      </c>
      <c r="Q267" s="2"/>
      <c r="R267" s="19">
        <f t="shared" si="147"/>
        <v>1.0939579292727009E-3</v>
      </c>
      <c r="S267" s="2"/>
      <c r="T267" s="2">
        <f>--11239.64</f>
        <v>11239.64</v>
      </c>
      <c r="U267" s="2"/>
      <c r="V267" s="19">
        <f t="shared" si="148"/>
        <v>1.0011647615703681E-3</v>
      </c>
      <c r="W267" s="2"/>
      <c r="X267" s="2">
        <f t="shared" si="149"/>
        <v>-1364.75</v>
      </c>
      <c r="Y267" s="2"/>
      <c r="Z267" s="19">
        <f t="shared" si="150"/>
        <v>-0.12142292813648836</v>
      </c>
    </row>
    <row r="268" spans="1:26" s="24" customFormat="1" hidden="1" outlineLevel="1" x14ac:dyDescent="0.25">
      <c r="A268" s="44"/>
      <c r="B268" s="11" t="str">
        <f>CONCATENATE("          ", "9153", " - ", "MISC. INCOME")</f>
        <v xml:space="preserve">          9153 - MISC. INCOME</v>
      </c>
      <c r="C268" s="11"/>
      <c r="D268" s="2">
        <f t="shared" ref="D268:D269" si="151">0</f>
        <v>0</v>
      </c>
      <c r="E268" s="2"/>
      <c r="F268" s="19">
        <f t="shared" si="143"/>
        <v>0</v>
      </c>
      <c r="G268" s="2"/>
      <c r="H268" s="2">
        <f>0</f>
        <v>0</v>
      </c>
      <c r="I268" s="2"/>
      <c r="J268" s="19">
        <f t="shared" si="144"/>
        <v>0</v>
      </c>
      <c r="K268" s="2"/>
      <c r="L268" s="2">
        <f t="shared" si="145"/>
        <v>0</v>
      </c>
      <c r="M268" s="2"/>
      <c r="N268" s="19">
        <f t="shared" si="146"/>
        <v>0</v>
      </c>
      <c r="O268" s="11"/>
      <c r="P268" s="2">
        <f>--450</f>
        <v>450</v>
      </c>
      <c r="Q268" s="2"/>
      <c r="R268" s="19">
        <f t="shared" si="147"/>
        <v>4.9851802721115416E-5</v>
      </c>
      <c r="S268" s="2"/>
      <c r="T268" s="2">
        <f>--180</f>
        <v>180</v>
      </c>
      <c r="U268" s="2"/>
      <c r="V268" s="19">
        <f t="shared" si="148"/>
        <v>1.6033401166110863E-5</v>
      </c>
      <c r="W268" s="2"/>
      <c r="X268" s="2">
        <f t="shared" si="149"/>
        <v>270</v>
      </c>
      <c r="Y268" s="2"/>
      <c r="Z268" s="19">
        <f t="shared" si="150"/>
        <v>1.5</v>
      </c>
    </row>
    <row r="269" spans="1:26" s="24" customFormat="1" hidden="1" outlineLevel="1" x14ac:dyDescent="0.25">
      <c r="A269" s="44"/>
      <c r="B269" s="11" t="str">
        <f>CONCATENATE("          ", "9160", " - ", "MISC. INCOME")</f>
        <v xml:space="preserve">          9160 - MISC. INCOME</v>
      </c>
      <c r="C269" s="11"/>
      <c r="D269" s="2">
        <f t="shared" si="151"/>
        <v>0</v>
      </c>
      <c r="E269" s="2"/>
      <c r="F269" s="19">
        <f t="shared" si="143"/>
        <v>0</v>
      </c>
      <c r="G269" s="2"/>
      <c r="H269" s="2">
        <f>-870</f>
        <v>-870</v>
      </c>
      <c r="I269" s="2"/>
      <c r="J269" s="19">
        <f t="shared" si="144"/>
        <v>-1.1050815574958504E-3</v>
      </c>
      <c r="K269" s="2"/>
      <c r="L269" s="2">
        <f t="shared" si="145"/>
        <v>870</v>
      </c>
      <c r="M269" s="2"/>
      <c r="N269" s="19">
        <f t="shared" si="146"/>
        <v>-1</v>
      </c>
      <c r="O269" s="11"/>
      <c r="P269" s="2">
        <f>--22475</f>
        <v>22475</v>
      </c>
      <c r="Q269" s="2"/>
      <c r="R269" s="19">
        <f t="shared" si="147"/>
        <v>2.4898205914601532E-3</v>
      </c>
      <c r="S269" s="2"/>
      <c r="T269" s="2">
        <f>--40000</f>
        <v>40000</v>
      </c>
      <c r="U269" s="2"/>
      <c r="V269" s="19">
        <f t="shared" si="148"/>
        <v>3.5629780369135248E-3</v>
      </c>
      <c r="W269" s="2"/>
      <c r="X269" s="2">
        <f t="shared" si="149"/>
        <v>-17525</v>
      </c>
      <c r="Y269" s="2"/>
      <c r="Z269" s="19">
        <f t="shared" si="150"/>
        <v>-0.43812499999999999</v>
      </c>
    </row>
    <row r="270" spans="1:26" s="24" customFormat="1" hidden="1" outlineLevel="1" x14ac:dyDescent="0.25">
      <c r="A270" s="44"/>
      <c r="B270" s="11" t="str">
        <f>CONCATENATE("          ", "9163", " - ", "MISC. INCOME")</f>
        <v xml:space="preserve">          9163 - MISC. INCOME</v>
      </c>
      <c r="C270" s="11"/>
      <c r="D270" s="2">
        <f>--58333.34</f>
        <v>58333.34</v>
      </c>
      <c r="E270" s="2"/>
      <c r="F270" s="19">
        <f t="shared" si="143"/>
        <v>0.22126954105377075</v>
      </c>
      <c r="G270" s="2"/>
      <c r="H270" s="2">
        <f>0</f>
        <v>0</v>
      </c>
      <c r="I270" s="2"/>
      <c r="J270" s="19">
        <f t="shared" si="144"/>
        <v>0</v>
      </c>
      <c r="K270" s="2"/>
      <c r="L270" s="2">
        <f t="shared" si="145"/>
        <v>58333.34</v>
      </c>
      <c r="M270" s="2"/>
      <c r="N270" s="19">
        <f t="shared" si="146"/>
        <v>0</v>
      </c>
      <c r="O270" s="11"/>
      <c r="P270" s="2">
        <f>--488733.84</f>
        <v>488733.84</v>
      </c>
      <c r="Q270" s="2"/>
      <c r="R270" s="19">
        <f t="shared" si="147"/>
        <v>5.4142806610695975E-2</v>
      </c>
      <c r="S270" s="2"/>
      <c r="T270" s="2">
        <f>--68330.75</f>
        <v>68330.75</v>
      </c>
      <c r="U270" s="2"/>
      <c r="V270" s="19">
        <f t="shared" si="148"/>
        <v>6.0865240373957205E-3</v>
      </c>
      <c r="W270" s="2"/>
      <c r="X270" s="2">
        <f t="shared" si="149"/>
        <v>420403.09</v>
      </c>
      <c r="Y270" s="2"/>
      <c r="Z270" s="19">
        <f t="shared" si="150"/>
        <v>6.152472934952419</v>
      </c>
    </row>
    <row r="271" spans="1:26" x14ac:dyDescent="0.25">
      <c r="A271" s="9"/>
      <c r="B271" s="10"/>
      <c r="C271" s="10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O271" s="10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x14ac:dyDescent="0.25">
      <c r="A272" s="10"/>
      <c r="B272" s="29" t="s">
        <v>3</v>
      </c>
      <c r="C272" s="29"/>
      <c r="D272" s="21">
        <f>+D170-D172+D261</f>
        <v>-29340.370000000155</v>
      </c>
      <c r="E272" s="14"/>
      <c r="F272" s="20">
        <f>IF(D$12=0,0,D272/D$12)</f>
        <v>-0.11129364792497495</v>
      </c>
      <c r="G272" s="14"/>
      <c r="H272" s="21">
        <f>+H170-H172+H261</f>
        <v>151862.41999999969</v>
      </c>
      <c r="I272" s="14"/>
      <c r="J272" s="20">
        <f>IF(H$12=0,0,H272/H$12)</f>
        <v>0.19289696507895249</v>
      </c>
      <c r="K272" s="16"/>
      <c r="L272" s="21">
        <f>+D272-H272</f>
        <v>-181202.78999999986</v>
      </c>
      <c r="M272" s="16"/>
      <c r="N272" s="20">
        <f>IF(H272=0,0,L272/H272)</f>
        <v>-1.1932036247018862</v>
      </c>
      <c r="O272" s="28"/>
      <c r="P272" s="21">
        <f>+P170-P172+P261</f>
        <v>1053778.1800000048</v>
      </c>
      <c r="Q272" s="14"/>
      <c r="R272" s="20">
        <f>IF(P$12=0,0,P272/P$12)</f>
        <v>0.11673942653594732</v>
      </c>
      <c r="S272" s="14"/>
      <c r="T272" s="21">
        <f>+T170-T172+T261</f>
        <v>1664701.5200000028</v>
      </c>
      <c r="U272" s="14"/>
      <c r="V272" s="20">
        <f>IF(T$12=0,0,T272/T$12)</f>
        <v>0.14828237384441428</v>
      </c>
      <c r="W272" s="16"/>
      <c r="X272" s="21">
        <f>+P272-T272</f>
        <v>-610923.33999999799</v>
      </c>
      <c r="Y272" s="16"/>
      <c r="Z272" s="20">
        <f>IF(T272=0,0,X272/T272)</f>
        <v>-0.36698671363019897</v>
      </c>
    </row>
    <row r="273" spans="1:26" x14ac:dyDescent="0.25">
      <c r="A273" s="9"/>
      <c r="B273" s="10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51"/>
      <c r="B274" s="10" t="s">
        <v>13</v>
      </c>
      <c r="C274" s="10"/>
      <c r="D274" s="4">
        <v>73918.67</v>
      </c>
      <c r="E274" s="4"/>
      <c r="F274" s="12">
        <f>IF(D$12=0,0,D274/D$12)</f>
        <v>0.2803876854334954</v>
      </c>
      <c r="G274" s="4"/>
      <c r="H274" s="4">
        <v>82472.639999999999</v>
      </c>
      <c r="I274" s="4"/>
      <c r="J274" s="12">
        <f>IF(H$12=0,0,H274/H$12)</f>
        <v>0.10475746374941906</v>
      </c>
      <c r="K274" s="4"/>
      <c r="L274" s="4">
        <f>+D274-H274</f>
        <v>-8553.9700000000012</v>
      </c>
      <c r="M274" s="4"/>
      <c r="N274" s="12">
        <f>IF(H274=0,0,L274/H274)</f>
        <v>-0.10371888180128587</v>
      </c>
      <c r="O274" s="10"/>
      <c r="P274" s="4">
        <v>1068908.75</v>
      </c>
      <c r="Q274" s="4"/>
      <c r="R274" s="12">
        <f>IF(P$12=0,0,P274/P$12)</f>
        <v>0.11841561807083129</v>
      </c>
      <c r="S274" s="4"/>
      <c r="T274" s="4">
        <v>1167726.26</v>
      </c>
      <c r="U274" s="4"/>
      <c r="V274" s="12">
        <f>IF(T$12=0,0,T274/T$12)</f>
        <v>0.10401457543767931</v>
      </c>
      <c r="W274" s="4"/>
      <c r="X274" s="4">
        <f>+P274-T274</f>
        <v>-98817.510000000009</v>
      </c>
      <c r="Y274" s="4"/>
      <c r="Z274" s="12">
        <f>IF(T274=0,0,X274/T274)</f>
        <v>-8.4623865528210357E-2</v>
      </c>
    </row>
    <row r="275" spans="1:26" x14ac:dyDescent="0.25">
      <c r="A275" s="9"/>
      <c r="B275" s="10"/>
      <c r="C275" s="10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O275" s="10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9" t="s">
        <v>4</v>
      </c>
      <c r="C276" s="29"/>
      <c r="D276" s="35">
        <f>+D272-D274</f>
        <v>-103259.04000000015</v>
      </c>
      <c r="E276" s="14"/>
      <c r="F276" s="32">
        <f>IF(D$12=0,0,D276/D$12)</f>
        <v>-0.39168133335847033</v>
      </c>
      <c r="G276" s="14"/>
      <c r="H276" s="35">
        <f>+H272-H274</f>
        <v>69389.779999999693</v>
      </c>
      <c r="I276" s="14"/>
      <c r="J276" s="32">
        <f>IF(H$12=0,0,H276/H$12)</f>
        <v>8.8139501329533423E-2</v>
      </c>
      <c r="K276" s="16"/>
      <c r="L276" s="35">
        <f>D276-H276</f>
        <v>-172648.81999999983</v>
      </c>
      <c r="M276" s="16"/>
      <c r="N276" s="32">
        <f>IF(H276=0,0,L276/H276)</f>
        <v>-2.4881015619303102</v>
      </c>
      <c r="O276" s="28"/>
      <c r="P276" s="35">
        <f>+P272-P274</f>
        <v>-15130.569999995176</v>
      </c>
      <c r="Q276" s="14"/>
      <c r="R276" s="32">
        <f>IF(P$12=0,0,P276/P$12)</f>
        <v>-1.6761915348839707E-3</v>
      </c>
      <c r="S276" s="14"/>
      <c r="T276" s="35">
        <f>+T272-T274</f>
        <v>496975.2600000028</v>
      </c>
      <c r="U276" s="14"/>
      <c r="V276" s="32">
        <f>IF(T$12=0,0,T276/T$12)</f>
        <v>4.4267798406734962E-2</v>
      </c>
      <c r="W276" s="16"/>
      <c r="X276" s="35">
        <f>P276-T276</f>
        <v>-512105.82999999798</v>
      </c>
      <c r="Y276" s="16"/>
      <c r="Z276" s="32">
        <f>IF(T276=0,0,X276/T276)</f>
        <v>-1.0304453183444082</v>
      </c>
    </row>
    <row r="277" spans="1:26" ht="15.75" thickTop="1" x14ac:dyDescent="0.25">
      <c r="A277" s="9"/>
      <c r="B277" s="9"/>
      <c r="C277" s="9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s="23" customFormat="1" ht="15.75" thickBot="1" x14ac:dyDescent="0.3">
      <c r="A279" s="10"/>
      <c r="B279" s="29" t="s">
        <v>5</v>
      </c>
      <c r="C279" s="29"/>
      <c r="D279" s="36">
        <f>SUM(D276:D278)</f>
        <v>-103259.04000000015</v>
      </c>
      <c r="E279" s="14"/>
      <c r="F279" s="33">
        <f>IF(D$12=0,0,D279/D$12)</f>
        <v>-0.39168133335847033</v>
      </c>
      <c r="G279" s="14"/>
      <c r="H279" s="36">
        <f>SUM(H276:H278)</f>
        <v>69389.779999999693</v>
      </c>
      <c r="I279" s="14"/>
      <c r="J279" s="33">
        <f>IF(H$12=0,0,H279/H$12)</f>
        <v>8.8139501329533423E-2</v>
      </c>
      <c r="K279" s="16"/>
      <c r="L279" s="36">
        <f>+D279-H279</f>
        <v>-172648.81999999983</v>
      </c>
      <c r="M279" s="16"/>
      <c r="N279" s="33">
        <f>IF(H279=0,0,L279/H279)</f>
        <v>-2.4881015619303102</v>
      </c>
      <c r="O279" s="28"/>
      <c r="P279" s="36">
        <f>SUM(P276:P278)</f>
        <v>-15130.569999995176</v>
      </c>
      <c r="Q279" s="14"/>
      <c r="R279" s="33">
        <f>IF(P$12=0,0,P279/P$12)</f>
        <v>-1.6761915348839707E-3</v>
      </c>
      <c r="S279" s="14"/>
      <c r="T279" s="36">
        <f>SUM(T276:T278)</f>
        <v>496975.2600000028</v>
      </c>
      <c r="U279" s="14"/>
      <c r="V279" s="33">
        <f>IF(T$12=0,0,T279/T$12)</f>
        <v>4.4267798406734962E-2</v>
      </c>
      <c r="W279" s="16"/>
      <c r="X279" s="36">
        <f>+P279-T279</f>
        <v>-512105.82999999798</v>
      </c>
      <c r="Y279" s="16"/>
      <c r="Z279" s="33">
        <f>IF(T279=0,0,X279/T279)</f>
        <v>-1.0304453183444082</v>
      </c>
    </row>
    <row r="280" spans="1:26" ht="15.75" thickTop="1" x14ac:dyDescent="0.25">
      <c r="A280" s="9"/>
      <c r="C280" s="9"/>
      <c r="D280" s="17"/>
      <c r="E280" s="17"/>
      <c r="G280" s="17"/>
      <c r="H280" s="17"/>
      <c r="I280" s="17"/>
      <c r="J280" s="42"/>
      <c r="K280" s="17"/>
      <c r="L280" s="17"/>
      <c r="M280" s="17"/>
      <c r="P280" s="17"/>
      <c r="Q280" s="17"/>
      <c r="R280" s="42"/>
      <c r="S280" s="17"/>
      <c r="T280" s="17"/>
      <c r="U280" s="17"/>
      <c r="V280" s="42"/>
      <c r="W280" s="17"/>
      <c r="X280" s="17"/>
    </row>
    <row r="281" spans="1:26" x14ac:dyDescent="0.25">
      <c r="A281" s="9"/>
      <c r="B281" s="55">
        <v>43992.374777083336</v>
      </c>
      <c r="D281" s="17"/>
      <c r="E281" s="17"/>
      <c r="G281" s="17"/>
      <c r="H281" s="17"/>
      <c r="I281" s="17"/>
      <c r="J281" s="42"/>
      <c r="K281" s="17"/>
      <c r="L281" s="17"/>
      <c r="M281" s="17"/>
      <c r="P281" s="17"/>
      <c r="Q281" s="17"/>
      <c r="R281" s="42"/>
      <c r="S281" s="17"/>
      <c r="T281" s="17"/>
      <c r="U281" s="17"/>
      <c r="V281" s="42"/>
      <c r="W281" s="17"/>
      <c r="X281" s="17"/>
    </row>
    <row r="282" spans="1:26" x14ac:dyDescent="0.25">
      <c r="A282" s="9"/>
      <c r="B282" s="62" t="s">
        <v>313</v>
      </c>
      <c r="D282" s="17"/>
      <c r="E282" s="17"/>
      <c r="G282" s="17"/>
      <c r="H282" s="17"/>
      <c r="I282" s="17"/>
      <c r="J282" s="42"/>
      <c r="K282" s="17"/>
      <c r="L282" s="17"/>
      <c r="M282" s="17"/>
      <c r="P282" s="17"/>
      <c r="Q282" s="17"/>
      <c r="R282" s="42"/>
      <c r="S282" s="17"/>
      <c r="T282" s="17"/>
      <c r="U282" s="17"/>
      <c r="V282" s="42"/>
      <c r="W282" s="17"/>
      <c r="X282" s="17"/>
    </row>
    <row r="283" spans="1:26" x14ac:dyDescent="0.25">
      <c r="A283" s="9"/>
      <c r="B283" s="53"/>
      <c r="D283" s="17"/>
      <c r="E283" s="17"/>
      <c r="G283" s="17"/>
      <c r="H283" s="17"/>
      <c r="I283" s="17"/>
      <c r="J283" s="42"/>
      <c r="K283" s="17"/>
      <c r="L283" s="17"/>
      <c r="M283" s="17"/>
      <c r="P283" s="17"/>
      <c r="Q283" s="17"/>
      <c r="R283" s="42"/>
      <c r="S283" s="17"/>
      <c r="T283" s="17"/>
      <c r="U283" s="17"/>
      <c r="V283" s="42"/>
      <c r="W283" s="17"/>
      <c r="X283" s="17"/>
    </row>
    <row r="284" spans="1:26" x14ac:dyDescent="0.25">
      <c r="D284" s="17"/>
      <c r="E284" s="17"/>
      <c r="G284" s="17"/>
      <c r="H284" s="17"/>
      <c r="I284" s="17"/>
      <c r="J284" s="42"/>
      <c r="K284" s="17"/>
      <c r="L284" s="17"/>
      <c r="M284" s="17"/>
      <c r="P284" s="17"/>
      <c r="Q284" s="17"/>
      <c r="R284" s="42"/>
      <c r="S284" s="17"/>
      <c r="T284" s="17"/>
      <c r="U284" s="17"/>
      <c r="V284" s="42"/>
      <c r="W284" s="17"/>
      <c r="X284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359185.91999999987</v>
      </c>
      <c r="E12" s="4"/>
      <c r="F12" s="12"/>
      <c r="G12" s="4"/>
      <c r="H12" s="4">
        <f>SUM(OSRRefH13x_0)</f>
        <v>1243612.9599999993</v>
      </c>
      <c r="I12" s="4"/>
      <c r="J12" s="12"/>
      <c r="K12" s="4"/>
      <c r="L12" s="4">
        <f t="shared" ref="L12:L133" si="0">+D12-H12</f>
        <v>-884427.03999999934</v>
      </c>
      <c r="M12" s="4"/>
      <c r="N12" s="12">
        <f t="shared" ref="N12:N133" si="1">IF(H12=0,0,L12/H12)</f>
        <v>-0.71117547697476546</v>
      </c>
      <c r="O12" s="10"/>
      <c r="P12" s="4">
        <f>SUM(OSRRefP13x_0)</f>
        <v>11464234.230000006</v>
      </c>
      <c r="Q12" s="4"/>
      <c r="R12" s="12"/>
      <c r="S12" s="4"/>
      <c r="T12" s="4">
        <f>SUM(OSRRefT13x_0)</f>
        <v>14042928.200000007</v>
      </c>
      <c r="U12" s="4"/>
      <c r="V12" s="12"/>
      <c r="W12" s="4"/>
      <c r="X12" s="4">
        <f t="shared" ref="X12:X133" si="2">+P12-T12</f>
        <v>-2578693.9700000007</v>
      </c>
      <c r="Y12" s="4"/>
      <c r="Z12" s="12">
        <f t="shared" ref="Z12:Z133" si="3">IF(T12=0,0,X12/T12)</f>
        <v>-0.18362936371062549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>
        <f>--41883.59</f>
        <v>41883.589999999997</v>
      </c>
      <c r="I14" s="2"/>
      <c r="J14" s="19"/>
      <c r="K14" s="2"/>
      <c r="L14" s="2">
        <f t="shared" si="0"/>
        <v>-4601.679999999993</v>
      </c>
      <c r="M14" s="2"/>
      <c r="N14" s="19">
        <f t="shared" si="1"/>
        <v>-0.1098683279059888</v>
      </c>
      <c r="O14" s="11"/>
      <c r="P14" s="2">
        <f>--2435259.64</f>
        <v>2435259.64</v>
      </c>
      <c r="Q14" s="2"/>
      <c r="R14" s="19"/>
      <c r="S14" s="2"/>
      <c r="T14" s="2">
        <f>--3103237.76</f>
        <v>3103237.76</v>
      </c>
      <c r="U14" s="2"/>
      <c r="V14" s="19"/>
      <c r="W14" s="2"/>
      <c r="X14" s="2">
        <f t="shared" si="2"/>
        <v>-667978.11999999965</v>
      </c>
      <c r="Y14" s="2"/>
      <c r="Z14" s="19">
        <f t="shared" si="3"/>
        <v>-0.21525199538690831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>
        <f>--30305.16</f>
        <v>30305.16</v>
      </c>
      <c r="I15" s="2"/>
      <c r="J15" s="19"/>
      <c r="K15" s="2"/>
      <c r="L15" s="2">
        <f t="shared" si="0"/>
        <v>-18795.61</v>
      </c>
      <c r="M15" s="2"/>
      <c r="N15" s="19">
        <f t="shared" si="1"/>
        <v>-0.62021154153286107</v>
      </c>
      <c r="O15" s="11"/>
      <c r="P15" s="2">
        <f>--1256426.74</f>
        <v>1256426.74</v>
      </c>
      <c r="Q15" s="2"/>
      <c r="R15" s="19"/>
      <c r="S15" s="2"/>
      <c r="T15" s="2">
        <f>--1393961.55</f>
        <v>1393961.55</v>
      </c>
      <c r="U15" s="2"/>
      <c r="V15" s="19"/>
      <c r="W15" s="2"/>
      <c r="X15" s="2">
        <f t="shared" si="2"/>
        <v>-137534.81000000006</v>
      </c>
      <c r="Y15" s="2"/>
      <c r="Z15" s="19">
        <f t="shared" si="3"/>
        <v>-9.8664708506486454E-2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>
        <f>--107</f>
        <v>107</v>
      </c>
      <c r="I16" s="2"/>
      <c r="J16" s="19"/>
      <c r="K16" s="2"/>
      <c r="L16" s="2">
        <f t="shared" si="0"/>
        <v>-37.010000000000005</v>
      </c>
      <c r="M16" s="2"/>
      <c r="N16" s="19">
        <f t="shared" si="1"/>
        <v>-0.34588785046728976</v>
      </c>
      <c r="O16" s="11"/>
      <c r="P16" s="2">
        <f>--33764.88</f>
        <v>33764.879999999997</v>
      </c>
      <c r="Q16" s="2"/>
      <c r="R16" s="19"/>
      <c r="S16" s="2"/>
      <c r="T16" s="2">
        <f>--15254.65</f>
        <v>15254.65</v>
      </c>
      <c r="U16" s="2"/>
      <c r="V16" s="19"/>
      <c r="W16" s="2"/>
      <c r="X16" s="2">
        <f t="shared" si="2"/>
        <v>18510.229999999996</v>
      </c>
      <c r="Y16" s="2"/>
      <c r="Z16" s="19">
        <f t="shared" si="3"/>
        <v>1.2134155814784342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>
        <f>--227.95</f>
        <v>227.95</v>
      </c>
      <c r="I17" s="2"/>
      <c r="J17" s="19"/>
      <c r="K17" s="2"/>
      <c r="L17" s="2">
        <f t="shared" si="0"/>
        <v>-227.95</v>
      </c>
      <c r="M17" s="2"/>
      <c r="N17" s="19">
        <f t="shared" si="1"/>
        <v>-1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--483.81</f>
        <v>483.81</v>
      </c>
      <c r="I19" s="2"/>
      <c r="J19" s="19"/>
      <c r="K19" s="2"/>
      <c r="L19" s="2">
        <f t="shared" si="0"/>
        <v>-483.81</v>
      </c>
      <c r="M19" s="2"/>
      <c r="N19" s="19">
        <f t="shared" si="1"/>
        <v>-1</v>
      </c>
      <c r="O19" s="11"/>
      <c r="P19" s="2">
        <f>--2713.36</f>
        <v>2713.36</v>
      </c>
      <c r="Q19" s="2"/>
      <c r="R19" s="19"/>
      <c r="S19" s="2"/>
      <c r="T19" s="2">
        <f>--6824.23</f>
        <v>6824.23</v>
      </c>
      <c r="U19" s="2"/>
      <c r="V19" s="19"/>
      <c r="W19" s="2"/>
      <c r="X19" s="2">
        <f t="shared" si="2"/>
        <v>-4110.869999999999</v>
      </c>
      <c r="Y19" s="2"/>
      <c r="Z19" s="19">
        <f t="shared" si="3"/>
        <v>-0.602393237039197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>
        <f>--95.48</f>
        <v>95.48</v>
      </c>
      <c r="I20" s="2"/>
      <c r="J20" s="19"/>
      <c r="K20" s="2"/>
      <c r="L20" s="2">
        <f t="shared" si="0"/>
        <v>-94.68</v>
      </c>
      <c r="M20" s="2"/>
      <c r="N20" s="19">
        <f t="shared" si="1"/>
        <v>-0.99162128194386256</v>
      </c>
      <c r="O20" s="11"/>
      <c r="P20" s="2">
        <f>--1219.98</f>
        <v>1219.98</v>
      </c>
      <c r="Q20" s="2"/>
      <c r="R20" s="19"/>
      <c r="S20" s="2"/>
      <c r="T20" s="2">
        <f>--2127.75</f>
        <v>2127.75</v>
      </c>
      <c r="U20" s="2"/>
      <c r="V20" s="19"/>
      <c r="W20" s="2"/>
      <c r="X20" s="2">
        <f t="shared" si="2"/>
        <v>-907.77</v>
      </c>
      <c r="Y20" s="2"/>
      <c r="Z20" s="19">
        <f t="shared" si="3"/>
        <v>-0.42663376806485726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--44.93</f>
        <v>44.93</v>
      </c>
      <c r="I21" s="2"/>
      <c r="J21" s="19"/>
      <c r="K21" s="2"/>
      <c r="L21" s="2">
        <f t="shared" si="0"/>
        <v>-44.93</v>
      </c>
      <c r="M21" s="2"/>
      <c r="N21" s="19">
        <f t="shared" si="1"/>
        <v>-1</v>
      </c>
      <c r="O21" s="11"/>
      <c r="P21" s="2">
        <f>--347.52</f>
        <v>347.52</v>
      </c>
      <c r="Q21" s="2"/>
      <c r="R21" s="19"/>
      <c r="S21" s="2"/>
      <c r="T21" s="2">
        <f>--762.54</f>
        <v>762.54</v>
      </c>
      <c r="U21" s="2"/>
      <c r="V21" s="19"/>
      <c r="W21" s="2"/>
      <c r="X21" s="2">
        <f t="shared" si="2"/>
        <v>-415.02</v>
      </c>
      <c r="Y21" s="2"/>
      <c r="Z21" s="19">
        <f t="shared" si="3"/>
        <v>-0.54425997324730502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--24.99</f>
        <v>24.99</v>
      </c>
      <c r="E22" s="2"/>
      <c r="F22" s="19"/>
      <c r="G22" s="2"/>
      <c r="H22" s="2">
        <f>--308.38</f>
        <v>308.38</v>
      </c>
      <c r="I22" s="2"/>
      <c r="J22" s="19"/>
      <c r="K22" s="2"/>
      <c r="L22" s="2">
        <f t="shared" si="0"/>
        <v>-283.39</v>
      </c>
      <c r="M22" s="2"/>
      <c r="N22" s="19">
        <f t="shared" si="1"/>
        <v>-0.91896361631753032</v>
      </c>
      <c r="O22" s="11"/>
      <c r="P22" s="2">
        <f>--4179.3</f>
        <v>4179.3</v>
      </c>
      <c r="Q22" s="2"/>
      <c r="R22" s="19"/>
      <c r="S22" s="2"/>
      <c r="T22" s="2">
        <f>--6383.46</f>
        <v>6383.46</v>
      </c>
      <c r="U22" s="2"/>
      <c r="V22" s="19"/>
      <c r="W22" s="2"/>
      <c r="X22" s="2">
        <f t="shared" si="2"/>
        <v>-2204.16</v>
      </c>
      <c r="Y22" s="2"/>
      <c r="Z22" s="19">
        <f t="shared" si="3"/>
        <v>-0.34529236495568233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>
        <f>--14.95</f>
        <v>14.95</v>
      </c>
      <c r="I23" s="2"/>
      <c r="J23" s="19"/>
      <c r="K23" s="2"/>
      <c r="L23" s="2">
        <f t="shared" si="0"/>
        <v>-14.95</v>
      </c>
      <c r="M23" s="2"/>
      <c r="N23" s="19">
        <f t="shared" si="1"/>
        <v>-1</v>
      </c>
      <c r="O23" s="11"/>
      <c r="P23" s="2">
        <f>--42.85</f>
        <v>42.85</v>
      </c>
      <c r="Q23" s="2"/>
      <c r="R23" s="19"/>
      <c r="S23" s="2"/>
      <c r="T23" s="2">
        <f>--81.89</f>
        <v>81.89</v>
      </c>
      <c r="U23" s="2"/>
      <c r="V23" s="19"/>
      <c r="W23" s="2"/>
      <c r="X23" s="2">
        <f t="shared" si="2"/>
        <v>-39.04</v>
      </c>
      <c r="Y23" s="2"/>
      <c r="Z23" s="19">
        <f t="shared" si="3"/>
        <v>-0.47673708633532785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--17.25</f>
        <v>17.25</v>
      </c>
      <c r="E24" s="2"/>
      <c r="F24" s="19"/>
      <c r="G24" s="2"/>
      <c r="H24" s="2">
        <f>--3554.35</f>
        <v>3554.35</v>
      </c>
      <c r="I24" s="2"/>
      <c r="J24" s="19"/>
      <c r="K24" s="2"/>
      <c r="L24" s="2">
        <f t="shared" si="0"/>
        <v>-3537.1</v>
      </c>
      <c r="M24" s="2"/>
      <c r="N24" s="19">
        <f t="shared" si="1"/>
        <v>-0.99514679195914868</v>
      </c>
      <c r="O24" s="11"/>
      <c r="P24" s="2">
        <f>--54720.11</f>
        <v>54720.11</v>
      </c>
      <c r="Q24" s="2"/>
      <c r="R24" s="19"/>
      <c r="S24" s="2"/>
      <c r="T24" s="2">
        <f>--60173.02</f>
        <v>60173.02</v>
      </c>
      <c r="U24" s="2"/>
      <c r="V24" s="19"/>
      <c r="W24" s="2"/>
      <c r="X24" s="2">
        <f t="shared" si="2"/>
        <v>-5452.9099999999962</v>
      </c>
      <c r="Y24" s="2"/>
      <c r="Z24" s="19">
        <f t="shared" si="3"/>
        <v>-9.0620513977859127E-2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--859.78</f>
        <v>859.78</v>
      </c>
      <c r="E25" s="2"/>
      <c r="F25" s="19"/>
      <c r="G25" s="2"/>
      <c r="H25" s="2">
        <f>--6532.22</f>
        <v>6532.22</v>
      </c>
      <c r="I25" s="2"/>
      <c r="J25" s="19"/>
      <c r="K25" s="2"/>
      <c r="L25" s="2">
        <f t="shared" si="0"/>
        <v>-5672.4400000000005</v>
      </c>
      <c r="M25" s="2"/>
      <c r="N25" s="19">
        <f t="shared" si="1"/>
        <v>-0.86837859104561699</v>
      </c>
      <c r="O25" s="11"/>
      <c r="P25" s="2">
        <f>--80809.49</f>
        <v>80809.490000000005</v>
      </c>
      <c r="Q25" s="2"/>
      <c r="R25" s="19"/>
      <c r="S25" s="2"/>
      <c r="T25" s="2">
        <f>--81471</f>
        <v>81471</v>
      </c>
      <c r="U25" s="2"/>
      <c r="V25" s="19"/>
      <c r="W25" s="2"/>
      <c r="X25" s="2">
        <f t="shared" si="2"/>
        <v>-661.50999999999476</v>
      </c>
      <c r="Y25" s="2"/>
      <c r="Z25" s="19">
        <f t="shared" si="3"/>
        <v>-8.1195762909500903E-3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--5530.51</f>
        <v>5530.51</v>
      </c>
      <c r="E26" s="2"/>
      <c r="F26" s="19"/>
      <c r="G26" s="2"/>
      <c r="H26" s="2">
        <f>--14816.86</f>
        <v>14816.86</v>
      </c>
      <c r="I26" s="2"/>
      <c r="J26" s="19"/>
      <c r="K26" s="2"/>
      <c r="L26" s="2">
        <f t="shared" si="0"/>
        <v>-9286.35</v>
      </c>
      <c r="M26" s="2"/>
      <c r="N26" s="19">
        <f t="shared" si="1"/>
        <v>-0.62674210325264601</v>
      </c>
      <c r="O26" s="11"/>
      <c r="P26" s="2">
        <f>--276777.07</f>
        <v>276777.07</v>
      </c>
      <c r="Q26" s="2"/>
      <c r="R26" s="19"/>
      <c r="S26" s="2"/>
      <c r="T26" s="2">
        <f>--291520.85</f>
        <v>291520.84999999998</v>
      </c>
      <c r="U26" s="2"/>
      <c r="V26" s="19"/>
      <c r="W26" s="2"/>
      <c r="X26" s="2">
        <f t="shared" si="2"/>
        <v>-14743.77999999997</v>
      </c>
      <c r="Y26" s="2"/>
      <c r="Z26" s="19">
        <f t="shared" si="3"/>
        <v>-5.0575387660951078E-2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--425.18</f>
        <v>425.18</v>
      </c>
      <c r="E27" s="2"/>
      <c r="F27" s="19"/>
      <c r="G27" s="2"/>
      <c r="H27" s="2">
        <f>--11322.32</f>
        <v>11322.32</v>
      </c>
      <c r="I27" s="2"/>
      <c r="J27" s="19"/>
      <c r="K27" s="2"/>
      <c r="L27" s="2">
        <f t="shared" si="0"/>
        <v>-10897.14</v>
      </c>
      <c r="M27" s="2"/>
      <c r="N27" s="19">
        <f t="shared" si="1"/>
        <v>-0.96244762557497043</v>
      </c>
      <c r="O27" s="11"/>
      <c r="P27" s="2">
        <f>--293191.05</f>
        <v>293191.05</v>
      </c>
      <c r="Q27" s="2"/>
      <c r="R27" s="19"/>
      <c r="S27" s="2"/>
      <c r="T27" s="2">
        <f>--345370.44</f>
        <v>345370.44</v>
      </c>
      <c r="U27" s="2"/>
      <c r="V27" s="19"/>
      <c r="W27" s="2"/>
      <c r="X27" s="2">
        <f t="shared" si="2"/>
        <v>-52179.390000000014</v>
      </c>
      <c r="Y27" s="2"/>
      <c r="Z27" s="19">
        <f t="shared" si="3"/>
        <v>-0.15108238562628584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5">0</f>
        <v>0</v>
      </c>
      <c r="E28" s="2"/>
      <c r="F28" s="19"/>
      <c r="G28" s="2"/>
      <c r="H28" s="2">
        <f>--35.13</f>
        <v>35.130000000000003</v>
      </c>
      <c r="I28" s="2"/>
      <c r="J28" s="19"/>
      <c r="K28" s="2"/>
      <c r="L28" s="2">
        <f t="shared" si="0"/>
        <v>-35.130000000000003</v>
      </c>
      <c r="M28" s="2"/>
      <c r="N28" s="19">
        <f t="shared" si="1"/>
        <v>-1</v>
      </c>
      <c r="O28" s="11"/>
      <c r="P28" s="2">
        <f>--486.34</f>
        <v>486.34</v>
      </c>
      <c r="Q28" s="2"/>
      <c r="R28" s="19"/>
      <c r="S28" s="2"/>
      <c r="T28" s="2">
        <f>--693.83</f>
        <v>693.83</v>
      </c>
      <c r="U28" s="2"/>
      <c r="V28" s="19"/>
      <c r="W28" s="2"/>
      <c r="X28" s="2">
        <f t="shared" si="2"/>
        <v>-207.49000000000007</v>
      </c>
      <c r="Y28" s="2"/>
      <c r="Z28" s="19">
        <f t="shared" si="3"/>
        <v>-0.29905019961662088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5"/>
        <v>0</v>
      </c>
      <c r="E29" s="2"/>
      <c r="F29" s="19"/>
      <c r="G29" s="2"/>
      <c r="H29" s="2">
        <f>--29.05</f>
        <v>29.05</v>
      </c>
      <c r="I29" s="2"/>
      <c r="J29" s="19"/>
      <c r="K29" s="2"/>
      <c r="L29" s="2">
        <f t="shared" si="0"/>
        <v>-29.05</v>
      </c>
      <c r="M29" s="2"/>
      <c r="N29" s="19">
        <f t="shared" si="1"/>
        <v>-1</v>
      </c>
      <c r="O29" s="11"/>
      <c r="P29" s="2">
        <f>--1905.06</f>
        <v>1905.06</v>
      </c>
      <c r="Q29" s="2"/>
      <c r="R29" s="19"/>
      <c r="S29" s="2"/>
      <c r="T29" s="2">
        <f>--498.5</f>
        <v>498.5</v>
      </c>
      <c r="U29" s="2"/>
      <c r="V29" s="19"/>
      <c r="W29" s="2"/>
      <c r="X29" s="2">
        <f t="shared" si="2"/>
        <v>1406.56</v>
      </c>
      <c r="Y29" s="2"/>
      <c r="Z29" s="19">
        <f t="shared" si="3"/>
        <v>2.8215847542627883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5"/>
        <v>0</v>
      </c>
      <c r="E30" s="2"/>
      <c r="F30" s="19"/>
      <c r="G30" s="2"/>
      <c r="H30" s="2">
        <f>--19.79</f>
        <v>19.79</v>
      </c>
      <c r="I30" s="2"/>
      <c r="J30" s="19"/>
      <c r="K30" s="2"/>
      <c r="L30" s="2">
        <f t="shared" si="0"/>
        <v>-19.79</v>
      </c>
      <c r="M30" s="2"/>
      <c r="N30" s="19">
        <f t="shared" si="1"/>
        <v>-1</v>
      </c>
      <c r="O30" s="11"/>
      <c r="P30" s="2">
        <f>--205.53</f>
        <v>205.53</v>
      </c>
      <c r="Q30" s="2"/>
      <c r="R30" s="19"/>
      <c r="S30" s="2"/>
      <c r="T30" s="2">
        <f>--263.85</f>
        <v>263.85000000000002</v>
      </c>
      <c r="U30" s="2"/>
      <c r="V30" s="19"/>
      <c r="W30" s="2"/>
      <c r="X30" s="2">
        <f t="shared" si="2"/>
        <v>-58.320000000000022</v>
      </c>
      <c r="Y30" s="2"/>
      <c r="Z30" s="19">
        <f t="shared" si="3"/>
        <v>-0.22103467879476982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5"/>
        <v>0</v>
      </c>
      <c r="E31" s="2"/>
      <c r="F31" s="19"/>
      <c r="G31" s="2"/>
      <c r="H31" s="2">
        <f>--602.13</f>
        <v>602.13</v>
      </c>
      <c r="I31" s="2"/>
      <c r="J31" s="19"/>
      <c r="K31" s="2"/>
      <c r="L31" s="2">
        <f t="shared" si="0"/>
        <v>-602.13</v>
      </c>
      <c r="M31" s="2"/>
      <c r="N31" s="19">
        <f t="shared" si="1"/>
        <v>-1</v>
      </c>
      <c r="O31" s="11"/>
      <c r="P31" s="2">
        <f>--7803.51</f>
        <v>7803.51</v>
      </c>
      <c r="Q31" s="2"/>
      <c r="R31" s="19"/>
      <c r="S31" s="2"/>
      <c r="T31" s="2">
        <f>--8877.31</f>
        <v>8877.31</v>
      </c>
      <c r="U31" s="2"/>
      <c r="V31" s="19"/>
      <c r="W31" s="2"/>
      <c r="X31" s="2">
        <f t="shared" si="2"/>
        <v>-1073.7999999999993</v>
      </c>
      <c r="Y31" s="2"/>
      <c r="Z31" s="19">
        <f t="shared" si="3"/>
        <v>-0.12096006560545923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5"/>
        <v>0</v>
      </c>
      <c r="E32" s="2"/>
      <c r="F32" s="19"/>
      <c r="G32" s="2"/>
      <c r="H32" s="2">
        <f>--103.35</f>
        <v>103.35</v>
      </c>
      <c r="I32" s="2"/>
      <c r="J32" s="19"/>
      <c r="K32" s="2"/>
      <c r="L32" s="2">
        <f t="shared" si="0"/>
        <v>-103.35</v>
      </c>
      <c r="M32" s="2"/>
      <c r="N32" s="19">
        <f t="shared" si="1"/>
        <v>-1</v>
      </c>
      <c r="O32" s="11"/>
      <c r="P32" s="2">
        <f>--1981.84</f>
        <v>1981.84</v>
      </c>
      <c r="Q32" s="2"/>
      <c r="R32" s="19"/>
      <c r="S32" s="2"/>
      <c r="T32" s="2">
        <f>--2670.09</f>
        <v>2670.09</v>
      </c>
      <c r="U32" s="2"/>
      <c r="V32" s="19"/>
      <c r="W32" s="2"/>
      <c r="X32" s="2">
        <f t="shared" si="2"/>
        <v>-688.25000000000023</v>
      </c>
      <c r="Y32" s="2"/>
      <c r="Z32" s="19">
        <f t="shared" si="3"/>
        <v>-0.2577628469452341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5"/>
        <v>0</v>
      </c>
      <c r="E33" s="2"/>
      <c r="F33" s="19"/>
      <c r="G33" s="2"/>
      <c r="H33" s="2">
        <f>--64.16</f>
        <v>64.16</v>
      </c>
      <c r="I33" s="2"/>
      <c r="J33" s="19"/>
      <c r="K33" s="2"/>
      <c r="L33" s="2">
        <f t="shared" si="0"/>
        <v>-64.16</v>
      </c>
      <c r="M33" s="2"/>
      <c r="N33" s="19">
        <f t="shared" si="1"/>
        <v>-1</v>
      </c>
      <c r="O33" s="11"/>
      <c r="P33" s="2">
        <f>--513.51</f>
        <v>513.51</v>
      </c>
      <c r="Q33" s="2"/>
      <c r="R33" s="19"/>
      <c r="S33" s="2"/>
      <c r="T33" s="2">
        <f>--870.15</f>
        <v>870.15</v>
      </c>
      <c r="U33" s="2"/>
      <c r="V33" s="19"/>
      <c r="W33" s="2"/>
      <c r="X33" s="2">
        <f t="shared" si="2"/>
        <v>-356.64</v>
      </c>
      <c r="Y33" s="2"/>
      <c r="Z33" s="19">
        <f t="shared" si="3"/>
        <v>-0.40986036890191346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--50806.72</f>
        <v>50806.720000000001</v>
      </c>
      <c r="E34" s="2"/>
      <c r="F34" s="19"/>
      <c r="G34" s="2"/>
      <c r="H34" s="2">
        <f>--251041.75</f>
        <v>251041.75</v>
      </c>
      <c r="I34" s="2"/>
      <c r="J34" s="19"/>
      <c r="K34" s="2"/>
      <c r="L34" s="2">
        <f t="shared" si="0"/>
        <v>-200235.03</v>
      </c>
      <c r="M34" s="2"/>
      <c r="N34" s="19">
        <f t="shared" si="1"/>
        <v>-0.79761645224350131</v>
      </c>
      <c r="O34" s="11"/>
      <c r="P34" s="2">
        <f>--1894910.12</f>
        <v>1894910.12</v>
      </c>
      <c r="Q34" s="2"/>
      <c r="R34" s="19"/>
      <c r="S34" s="2"/>
      <c r="T34" s="2">
        <f>--2379452.63</f>
        <v>2379452.63</v>
      </c>
      <c r="U34" s="2"/>
      <c r="V34" s="19"/>
      <c r="W34" s="2"/>
      <c r="X34" s="2">
        <f t="shared" si="2"/>
        <v>-484542.50999999978</v>
      </c>
      <c r="Y34" s="2"/>
      <c r="Z34" s="19">
        <f t="shared" si="3"/>
        <v>-0.20363612365756564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--45499.27</f>
        <v>45499.27</v>
      </c>
      <c r="E35" s="2"/>
      <c r="F35" s="19"/>
      <c r="G35" s="2"/>
      <c r="H35" s="2">
        <f>--165501.05</f>
        <v>165501.04999999999</v>
      </c>
      <c r="I35" s="2"/>
      <c r="J35" s="19"/>
      <c r="K35" s="2"/>
      <c r="L35" s="2">
        <f t="shared" si="0"/>
        <v>-120001.78</v>
      </c>
      <c r="M35" s="2"/>
      <c r="N35" s="19">
        <f t="shared" si="1"/>
        <v>-0.72508168377179483</v>
      </c>
      <c r="O35" s="11"/>
      <c r="P35" s="2">
        <f>--526632.56</f>
        <v>526632.56000000006</v>
      </c>
      <c r="Q35" s="2"/>
      <c r="R35" s="19"/>
      <c r="S35" s="2"/>
      <c r="T35" s="2">
        <f>--829135.79</f>
        <v>829135.79</v>
      </c>
      <c r="U35" s="2"/>
      <c r="V35" s="19"/>
      <c r="W35" s="2"/>
      <c r="X35" s="2">
        <f t="shared" si="2"/>
        <v>-302503.23</v>
      </c>
      <c r="Y35" s="2"/>
      <c r="Z35" s="19">
        <f t="shared" si="3"/>
        <v>-0.36484160212165001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--3419.02</f>
        <v>3419.02</v>
      </c>
      <c r="E36" s="2"/>
      <c r="F36" s="19"/>
      <c r="G36" s="2"/>
      <c r="H36" s="2">
        <f>--39206.06</f>
        <v>39206.06</v>
      </c>
      <c r="I36" s="2"/>
      <c r="J36" s="19"/>
      <c r="K36" s="2"/>
      <c r="L36" s="2">
        <f t="shared" si="0"/>
        <v>-35787.040000000001</v>
      </c>
      <c r="M36" s="2"/>
      <c r="N36" s="19">
        <f t="shared" si="1"/>
        <v>-0.91279358344092731</v>
      </c>
      <c r="O36" s="11"/>
      <c r="P36" s="2">
        <f>--282721.2</f>
        <v>282721.2</v>
      </c>
      <c r="Q36" s="2"/>
      <c r="R36" s="19"/>
      <c r="S36" s="2"/>
      <c r="T36" s="2">
        <f>--324686.18</f>
        <v>324686.18</v>
      </c>
      <c r="U36" s="2"/>
      <c r="V36" s="19"/>
      <c r="W36" s="2"/>
      <c r="X36" s="2">
        <f t="shared" si="2"/>
        <v>-41964.979999999981</v>
      </c>
      <c r="Y36" s="2"/>
      <c r="Z36" s="19">
        <f t="shared" si="3"/>
        <v>-0.12924781707678468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--49.95</f>
        <v>49.95</v>
      </c>
      <c r="E37" s="2"/>
      <c r="F37" s="19"/>
      <c r="G37" s="2"/>
      <c r="H37" s="2">
        <f>--1230.23</f>
        <v>1230.23</v>
      </c>
      <c r="I37" s="2"/>
      <c r="J37" s="19"/>
      <c r="K37" s="2"/>
      <c r="L37" s="2">
        <f t="shared" si="0"/>
        <v>-1180.28</v>
      </c>
      <c r="M37" s="2"/>
      <c r="N37" s="19">
        <f t="shared" si="1"/>
        <v>-0.95939783617697505</v>
      </c>
      <c r="O37" s="11"/>
      <c r="P37" s="2">
        <f>--77269.18</f>
        <v>77269.179999999993</v>
      </c>
      <c r="Q37" s="2"/>
      <c r="R37" s="19"/>
      <c r="S37" s="2"/>
      <c r="T37" s="2">
        <f>--4783.61</f>
        <v>4783.6099999999997</v>
      </c>
      <c r="U37" s="2"/>
      <c r="V37" s="19"/>
      <c r="W37" s="2"/>
      <c r="X37" s="2">
        <f t="shared" si="2"/>
        <v>72485.569999999992</v>
      </c>
      <c r="Y37" s="2"/>
      <c r="Z37" s="19">
        <f t="shared" si="3"/>
        <v>15.152901260763315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--3915.24</f>
        <v>3915.24</v>
      </c>
      <c r="E38" s="2"/>
      <c r="F38" s="19"/>
      <c r="G38" s="2"/>
      <c r="H38" s="2">
        <f>--5486.9</f>
        <v>5486.9</v>
      </c>
      <c r="I38" s="2"/>
      <c r="J38" s="19"/>
      <c r="K38" s="2"/>
      <c r="L38" s="2">
        <f t="shared" si="0"/>
        <v>-1571.6599999999999</v>
      </c>
      <c r="M38" s="2"/>
      <c r="N38" s="19">
        <f t="shared" si="1"/>
        <v>-0.28643860832163881</v>
      </c>
      <c r="O38" s="11"/>
      <c r="P38" s="2">
        <f>--71255.76</f>
        <v>71255.759999999995</v>
      </c>
      <c r="Q38" s="2"/>
      <c r="R38" s="19"/>
      <c r="S38" s="2"/>
      <c r="T38" s="2">
        <f>--85687.27</f>
        <v>85687.27</v>
      </c>
      <c r="U38" s="2"/>
      <c r="V38" s="19"/>
      <c r="W38" s="2"/>
      <c r="X38" s="2">
        <f t="shared" si="2"/>
        <v>-14431.510000000009</v>
      </c>
      <c r="Y38" s="2"/>
      <c r="Z38" s="19">
        <f t="shared" si="3"/>
        <v>-0.16842070006431537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--13525.59</f>
        <v>13525.59</v>
      </c>
      <c r="E39" s="2"/>
      <c r="F39" s="19"/>
      <c r="G39" s="2"/>
      <c r="H39" s="2">
        <f>--61115.47</f>
        <v>61115.47</v>
      </c>
      <c r="I39" s="2"/>
      <c r="J39" s="19"/>
      <c r="K39" s="2"/>
      <c r="L39" s="2">
        <f t="shared" si="0"/>
        <v>-47589.880000000005</v>
      </c>
      <c r="M39" s="2"/>
      <c r="N39" s="19">
        <f t="shared" si="1"/>
        <v>-0.77868794922136741</v>
      </c>
      <c r="O39" s="11"/>
      <c r="P39" s="2">
        <f>--96839.56</f>
        <v>96839.56</v>
      </c>
      <c r="Q39" s="2"/>
      <c r="R39" s="19"/>
      <c r="S39" s="2"/>
      <c r="T39" s="2">
        <f>--193484.96</f>
        <v>193484.96</v>
      </c>
      <c r="U39" s="2"/>
      <c r="V39" s="19"/>
      <c r="W39" s="2"/>
      <c r="X39" s="2">
        <f t="shared" si="2"/>
        <v>-96645.4</v>
      </c>
      <c r="Y39" s="2"/>
      <c r="Z39" s="19">
        <f t="shared" si="3"/>
        <v>-0.49949825557500693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--963.97</f>
        <v>963.97</v>
      </c>
      <c r="I40" s="2"/>
      <c r="J40" s="19"/>
      <c r="K40" s="2"/>
      <c r="L40" s="2">
        <f t="shared" si="0"/>
        <v>-963.97</v>
      </c>
      <c r="M40" s="2"/>
      <c r="N40" s="19">
        <f t="shared" si="1"/>
        <v>-1</v>
      </c>
      <c r="O40" s="11"/>
      <c r="P40" s="2">
        <f>--2676.14</f>
        <v>2676.14</v>
      </c>
      <c r="Q40" s="2"/>
      <c r="R40" s="19"/>
      <c r="S40" s="2"/>
      <c r="T40" s="2">
        <f>--5572.63</f>
        <v>5572.63</v>
      </c>
      <c r="U40" s="2"/>
      <c r="V40" s="19"/>
      <c r="W40" s="2"/>
      <c r="X40" s="2">
        <f t="shared" si="2"/>
        <v>-2896.4900000000002</v>
      </c>
      <c r="Y40" s="2"/>
      <c r="Z40" s="19">
        <f t="shared" si="3"/>
        <v>-0.51977073661807804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--1256.94</f>
        <v>1256.94</v>
      </c>
      <c r="E41" s="2"/>
      <c r="F41" s="19"/>
      <c r="G41" s="2"/>
      <c r="H41" s="2">
        <f>--6211.36</f>
        <v>6211.36</v>
      </c>
      <c r="I41" s="2"/>
      <c r="J41" s="19"/>
      <c r="K41" s="2"/>
      <c r="L41" s="2">
        <f t="shared" si="0"/>
        <v>-4954.42</v>
      </c>
      <c r="M41" s="2"/>
      <c r="N41" s="19">
        <f t="shared" si="1"/>
        <v>-0.79763852038844962</v>
      </c>
      <c r="O41" s="11"/>
      <c r="P41" s="2">
        <f>--316334.96</f>
        <v>316334.96000000002</v>
      </c>
      <c r="Q41" s="2"/>
      <c r="R41" s="19"/>
      <c r="S41" s="2"/>
      <c r="T41" s="2">
        <f>--235514.44</f>
        <v>235514.44</v>
      </c>
      <c r="U41" s="2"/>
      <c r="V41" s="19"/>
      <c r="W41" s="2"/>
      <c r="X41" s="2">
        <f t="shared" si="2"/>
        <v>80820.520000000019</v>
      </c>
      <c r="Y41" s="2"/>
      <c r="Z41" s="19">
        <f t="shared" si="3"/>
        <v>0.34316587976516438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--55929.1</f>
        <v>55929.1</v>
      </c>
      <c r="E42" s="2"/>
      <c r="F42" s="19"/>
      <c r="G42" s="2"/>
      <c r="H42" s="2">
        <f>--422992.28</f>
        <v>422992.28</v>
      </c>
      <c r="I42" s="2"/>
      <c r="J42" s="19"/>
      <c r="K42" s="2"/>
      <c r="L42" s="2">
        <f t="shared" si="0"/>
        <v>-367063.18000000005</v>
      </c>
      <c r="M42" s="2"/>
      <c r="N42" s="19">
        <f t="shared" si="1"/>
        <v>-0.86777749229844103</v>
      </c>
      <c r="O42" s="11"/>
      <c r="P42" s="2">
        <f>--1982602.72</f>
        <v>1982602.72</v>
      </c>
      <c r="Q42" s="2"/>
      <c r="R42" s="19"/>
      <c r="S42" s="2"/>
      <c r="T42" s="2">
        <f>--2163009.85</f>
        <v>2163009.85</v>
      </c>
      <c r="U42" s="2"/>
      <c r="V42" s="19"/>
      <c r="W42" s="2"/>
      <c r="X42" s="2">
        <f t="shared" si="2"/>
        <v>-180407.13000000012</v>
      </c>
      <c r="Y42" s="2"/>
      <c r="Z42" s="19">
        <f t="shared" si="3"/>
        <v>-8.3405597991151131E-2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--2640</f>
        <v>2640</v>
      </c>
      <c r="E43" s="2"/>
      <c r="F43" s="19"/>
      <c r="G43" s="2"/>
      <c r="H43" s="2">
        <f>--11208.56</f>
        <v>11208.56</v>
      </c>
      <c r="I43" s="2"/>
      <c r="J43" s="19"/>
      <c r="K43" s="2"/>
      <c r="L43" s="2">
        <f t="shared" si="0"/>
        <v>-8568.56</v>
      </c>
      <c r="M43" s="2"/>
      <c r="N43" s="19">
        <f t="shared" si="1"/>
        <v>-0.76446572976368066</v>
      </c>
      <c r="O43" s="11"/>
      <c r="P43" s="2">
        <f>--106418.4</f>
        <v>106418.4</v>
      </c>
      <c r="Q43" s="2"/>
      <c r="R43" s="19"/>
      <c r="S43" s="2"/>
      <c r="T43" s="2">
        <f>--134343.89</f>
        <v>134343.89000000001</v>
      </c>
      <c r="U43" s="2"/>
      <c r="V43" s="19"/>
      <c r="W43" s="2"/>
      <c r="X43" s="2">
        <f t="shared" si="2"/>
        <v>-27925.49000000002</v>
      </c>
      <c r="Y43" s="2"/>
      <c r="Z43" s="19">
        <f t="shared" si="3"/>
        <v>-0.20786572429903599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 t="shared" ref="H44:H45" si="6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--1563.99</f>
        <v>1563.99</v>
      </c>
      <c r="U44" s="2"/>
      <c r="V44" s="19"/>
      <c r="W44" s="2"/>
      <c r="X44" s="2">
        <f t="shared" si="2"/>
        <v>-1434.99</v>
      </c>
      <c r="Y44" s="2"/>
      <c r="Z44" s="19">
        <f t="shared" si="3"/>
        <v>-0.91751865421134404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--20</f>
        <v>20</v>
      </c>
      <c r="E45" s="2"/>
      <c r="F45" s="19"/>
      <c r="G45" s="2"/>
      <c r="H45" s="2">
        <f t="shared" si="6"/>
        <v>0</v>
      </c>
      <c r="I45" s="2"/>
      <c r="J45" s="19"/>
      <c r="K45" s="2"/>
      <c r="L45" s="2">
        <f t="shared" si="0"/>
        <v>20</v>
      </c>
      <c r="M45" s="2"/>
      <c r="N45" s="19">
        <f t="shared" si="1"/>
        <v>0</v>
      </c>
      <c r="O45" s="11"/>
      <c r="P45" s="2">
        <f>--4587.93</f>
        <v>4587.93</v>
      </c>
      <c r="Q45" s="2"/>
      <c r="R45" s="19"/>
      <c r="S45" s="2"/>
      <c r="T45" s="2">
        <f>--13358.65</f>
        <v>13358.65</v>
      </c>
      <c r="U45" s="2"/>
      <c r="V45" s="19"/>
      <c r="W45" s="2"/>
      <c r="X45" s="2">
        <f t="shared" si="2"/>
        <v>-8770.7199999999993</v>
      </c>
      <c r="Y45" s="2"/>
      <c r="Z45" s="19">
        <f t="shared" si="3"/>
        <v>-0.65655736170945411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--357.44</f>
        <v>357.44</v>
      </c>
      <c r="E46" s="2"/>
      <c r="F46" s="19"/>
      <c r="G46" s="2"/>
      <c r="H46" s="2">
        <f>--4883.47</f>
        <v>4883.47</v>
      </c>
      <c r="I46" s="2"/>
      <c r="J46" s="19"/>
      <c r="K46" s="2"/>
      <c r="L46" s="2">
        <f t="shared" si="0"/>
        <v>-4526.0300000000007</v>
      </c>
      <c r="M46" s="2"/>
      <c r="N46" s="19">
        <f t="shared" si="1"/>
        <v>-0.92680614399187466</v>
      </c>
      <c r="O46" s="11"/>
      <c r="P46" s="2">
        <f>--49529.46</f>
        <v>49529.46</v>
      </c>
      <c r="Q46" s="2"/>
      <c r="R46" s="19"/>
      <c r="S46" s="2"/>
      <c r="T46" s="2">
        <f>--91730.75</f>
        <v>91730.75</v>
      </c>
      <c r="U46" s="2"/>
      <c r="V46" s="19"/>
      <c r="W46" s="2"/>
      <c r="X46" s="2">
        <f t="shared" si="2"/>
        <v>-42201.29</v>
      </c>
      <c r="Y46" s="2"/>
      <c r="Z46" s="19">
        <f t="shared" si="3"/>
        <v>-0.46005608806207299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--1120.94</f>
        <v>1120.94</v>
      </c>
      <c r="E47" s="2"/>
      <c r="F47" s="19"/>
      <c r="G47" s="2"/>
      <c r="H47" s="2">
        <f>--59.99</f>
        <v>59.99</v>
      </c>
      <c r="I47" s="2"/>
      <c r="J47" s="19"/>
      <c r="K47" s="2"/>
      <c r="L47" s="2">
        <f t="shared" si="0"/>
        <v>1060.95</v>
      </c>
      <c r="M47" s="2"/>
      <c r="N47" s="19">
        <f t="shared" si="1"/>
        <v>17.685447574595766</v>
      </c>
      <c r="O47" s="11"/>
      <c r="P47" s="2">
        <f>--2795.75</f>
        <v>2795.75</v>
      </c>
      <c r="Q47" s="2"/>
      <c r="R47" s="19"/>
      <c r="S47" s="2"/>
      <c r="T47" s="2">
        <f>--2120.77</f>
        <v>2120.77</v>
      </c>
      <c r="U47" s="2"/>
      <c r="V47" s="19"/>
      <c r="W47" s="2"/>
      <c r="X47" s="2">
        <f t="shared" si="2"/>
        <v>674.98</v>
      </c>
      <c r="Y47" s="2"/>
      <c r="Z47" s="19">
        <f t="shared" si="3"/>
        <v>0.31827119395313969</v>
      </c>
    </row>
    <row r="48" spans="1:26" s="24" customFormat="1" hidden="1" outlineLevel="1" x14ac:dyDescent="0.25">
      <c r="A48" s="44"/>
      <c r="B48" s="11" t="str">
        <f>CONCATENATE("          ", "4091", " - ", "TAXABLE SALES-GRAD ANNOUNCEMEN")</f>
        <v xml:space="preserve">          4091 - TAXABLE SALES-GRAD ANNOUNCEMEN</v>
      </c>
      <c r="C48" s="11"/>
      <c r="D48" s="2">
        <f>0</f>
        <v>0</v>
      </c>
      <c r="E48" s="2"/>
      <c r="F48" s="19"/>
      <c r="G48" s="2"/>
      <c r="H48" s="2">
        <f>-471.6</f>
        <v>-471.6</v>
      </c>
      <c r="I48" s="2"/>
      <c r="J48" s="19"/>
      <c r="K48" s="2"/>
      <c r="L48" s="2">
        <f t="shared" si="0"/>
        <v>471.6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0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"4092", " - ", "TAXABLE SALES-GRAD MERCH")</f>
        <v xml:space="preserve">          4092 - TAXABLE SALES-GRAD MERCH</v>
      </c>
      <c r="C49" s="11"/>
      <c r="D49" s="2">
        <f>--13527.29</f>
        <v>13527.29</v>
      </c>
      <c r="E49" s="2"/>
      <c r="F49" s="19"/>
      <c r="G49" s="2"/>
      <c r="H49" s="2">
        <f>--99813.43</f>
        <v>99813.43</v>
      </c>
      <c r="I49" s="2"/>
      <c r="J49" s="19"/>
      <c r="K49" s="2"/>
      <c r="L49" s="2">
        <f t="shared" si="0"/>
        <v>-86286.139999999985</v>
      </c>
      <c r="M49" s="2"/>
      <c r="N49" s="19">
        <f t="shared" si="1"/>
        <v>-0.86447424960749264</v>
      </c>
      <c r="O49" s="11"/>
      <c r="P49" s="2">
        <f>--35353.71</f>
        <v>35353.71</v>
      </c>
      <c r="Q49" s="2"/>
      <c r="R49" s="19"/>
      <c r="S49" s="2"/>
      <c r="T49" s="2">
        <f>--222837.42</f>
        <v>222837.42</v>
      </c>
      <c r="U49" s="2"/>
      <c r="V49" s="19"/>
      <c r="W49" s="2"/>
      <c r="X49" s="2">
        <f t="shared" si="2"/>
        <v>-187483.71000000002</v>
      </c>
      <c r="Y49" s="2"/>
      <c r="Z49" s="19">
        <f t="shared" si="3"/>
        <v>-0.84134751694755761</v>
      </c>
    </row>
    <row r="50" spans="1:26" s="24" customFormat="1" hidden="1" outlineLevel="1" x14ac:dyDescent="0.25">
      <c r="A50" s="44"/>
      <c r="B50" s="11" t="str">
        <f>CONCATENATE("          ", "4095", " - ", "TAXABLE SALES-CUSTOMER SERVICE")</f>
        <v xml:space="preserve">          4095 - TAXABLE SALES-CUSTOMER SERVICE</v>
      </c>
      <c r="C50" s="11"/>
      <c r="D50" s="2">
        <f>0</f>
        <v>0</v>
      </c>
      <c r="E50" s="2"/>
      <c r="F50" s="19"/>
      <c r="G50" s="2"/>
      <c r="H50" s="2">
        <f>--172.26</f>
        <v>172.26</v>
      </c>
      <c r="I50" s="2"/>
      <c r="J50" s="19"/>
      <c r="K50" s="2"/>
      <c r="L50" s="2">
        <f t="shared" si="0"/>
        <v>-172.26</v>
      </c>
      <c r="M50" s="2"/>
      <c r="N50" s="19">
        <f t="shared" si="1"/>
        <v>-1</v>
      </c>
      <c r="O50" s="11"/>
      <c r="P50" s="2">
        <f>--309.26</f>
        <v>309.26</v>
      </c>
      <c r="Q50" s="2"/>
      <c r="R50" s="19"/>
      <c r="S50" s="2"/>
      <c r="T50" s="2">
        <f>--2217.3</f>
        <v>2217.3000000000002</v>
      </c>
      <c r="U50" s="2"/>
      <c r="V50" s="19"/>
      <c r="W50" s="2"/>
      <c r="X50" s="2">
        <f t="shared" si="2"/>
        <v>-1908.0400000000002</v>
      </c>
      <c r="Y50" s="2"/>
      <c r="Z50" s="19">
        <f t="shared" si="3"/>
        <v>-0.86052406079466015</v>
      </c>
    </row>
    <row r="51" spans="1:26" s="24" customFormat="1" hidden="1" outlineLevel="1" x14ac:dyDescent="0.25">
      <c r="A51" s="44"/>
      <c r="B51" s="11" t="str">
        <f>CONCATENATE("          ", "4100", " - ", "NON-TAXABLE SALES")</f>
        <v xml:space="preserve">          4100 - NON-TAXABLE SALES</v>
      </c>
      <c r="C51" s="11"/>
      <c r="D51" s="2">
        <f>--5210.55</f>
        <v>5210.55</v>
      </c>
      <c r="E51" s="2"/>
      <c r="F51" s="19"/>
      <c r="G51" s="2"/>
      <c r="H51" s="2">
        <f>--10164.71</f>
        <v>10164.709999999999</v>
      </c>
      <c r="I51" s="2"/>
      <c r="J51" s="19"/>
      <c r="K51" s="2"/>
      <c r="L51" s="2">
        <f t="shared" si="0"/>
        <v>-4954.1599999999989</v>
      </c>
      <c r="M51" s="2"/>
      <c r="N51" s="19">
        <f t="shared" si="1"/>
        <v>-0.48738822848856478</v>
      </c>
      <c r="O51" s="11"/>
      <c r="P51" s="2">
        <f>--607447.02</f>
        <v>607447.02</v>
      </c>
      <c r="Q51" s="2"/>
      <c r="R51" s="19"/>
      <c r="S51" s="2"/>
      <c r="T51" s="2">
        <f>--789574.6</f>
        <v>789574.6</v>
      </c>
      <c r="U51" s="2"/>
      <c r="V51" s="19"/>
      <c r="W51" s="2"/>
      <c r="X51" s="2">
        <f t="shared" si="2"/>
        <v>-182127.57999999996</v>
      </c>
      <c r="Y51" s="2"/>
      <c r="Z51" s="19">
        <f t="shared" si="3"/>
        <v>-0.23066544947114556</v>
      </c>
    </row>
    <row r="52" spans="1:26" s="24" customFormat="1" hidden="1" outlineLevel="1" x14ac:dyDescent="0.25">
      <c r="A52" s="44"/>
      <c r="B52" s="11" t="str">
        <f>CONCATENATE("          ", "4101", " - ", "NON-TAXABLE SALES-NEW TEXT")</f>
        <v xml:space="preserve">          4101 - NON-TAXABLE SALES-NEW TEXT</v>
      </c>
      <c r="C52" s="11"/>
      <c r="D52" s="2">
        <f>--7118.9</f>
        <v>7118.9</v>
      </c>
      <c r="E52" s="2"/>
      <c r="F52" s="19"/>
      <c r="G52" s="2"/>
      <c r="H52" s="2">
        <f>--14829.63</f>
        <v>14829.63</v>
      </c>
      <c r="I52" s="2"/>
      <c r="J52" s="19"/>
      <c r="K52" s="2"/>
      <c r="L52" s="2">
        <f t="shared" si="0"/>
        <v>-7710.73</v>
      </c>
      <c r="M52" s="2"/>
      <c r="N52" s="19">
        <f t="shared" si="1"/>
        <v>-0.51995430769344886</v>
      </c>
      <c r="O52" s="11"/>
      <c r="P52" s="2">
        <f>--151282.34</f>
        <v>151282.34</v>
      </c>
      <c r="Q52" s="2"/>
      <c r="R52" s="19"/>
      <c r="S52" s="2"/>
      <c r="T52" s="2">
        <f>--280944.1</f>
        <v>280944.09999999998</v>
      </c>
      <c r="U52" s="2"/>
      <c r="V52" s="19"/>
      <c r="W52" s="2"/>
      <c r="X52" s="2">
        <f t="shared" si="2"/>
        <v>-129661.75999999998</v>
      </c>
      <c r="Y52" s="2"/>
      <c r="Z52" s="19">
        <f t="shared" si="3"/>
        <v>-0.4615215624745278</v>
      </c>
    </row>
    <row r="53" spans="1:26" s="24" customFormat="1" hidden="1" outlineLevel="1" x14ac:dyDescent="0.25">
      <c r="A53" s="44"/>
      <c r="B53" s="11" t="str">
        <f>CONCATENATE("          ", "4102", " - ", "NON-TAXABLE SALES-USED TEXT")</f>
        <v xml:space="preserve">          4102 - NON-TAXABLE SALES-USED TEXT</v>
      </c>
      <c r="C53" s="11"/>
      <c r="D53" s="2">
        <f>--565.56</f>
        <v>565.55999999999995</v>
      </c>
      <c r="E53" s="2"/>
      <c r="F53" s="19"/>
      <c r="G53" s="2"/>
      <c r="H53" s="2">
        <f>--3752.48</f>
        <v>3752.48</v>
      </c>
      <c r="I53" s="2"/>
      <c r="J53" s="19"/>
      <c r="K53" s="2"/>
      <c r="L53" s="2">
        <f t="shared" si="0"/>
        <v>-3186.92</v>
      </c>
      <c r="M53" s="2"/>
      <c r="N53" s="19">
        <f t="shared" si="1"/>
        <v>-0.84928367373043967</v>
      </c>
      <c r="O53" s="11"/>
      <c r="P53" s="2">
        <f>--70225.46</f>
        <v>70225.460000000006</v>
      </c>
      <c r="Q53" s="2"/>
      <c r="R53" s="19"/>
      <c r="S53" s="2"/>
      <c r="T53" s="2">
        <f>--96349.95</f>
        <v>96349.95</v>
      </c>
      <c r="U53" s="2"/>
      <c r="V53" s="19"/>
      <c r="W53" s="2"/>
      <c r="X53" s="2">
        <f t="shared" si="2"/>
        <v>-26124.489999999991</v>
      </c>
      <c r="Y53" s="2"/>
      <c r="Z53" s="19">
        <f t="shared" si="3"/>
        <v>-0.27114170790955255</v>
      </c>
    </row>
    <row r="54" spans="1:26" s="24" customFormat="1" hidden="1" outlineLevel="1" x14ac:dyDescent="0.25">
      <c r="A54" s="44"/>
      <c r="B54" s="11" t="str">
        <f>CONCATENATE("          ", "4103", " - ", "NON-TAXABLE SALES-RENTAL TEXT")</f>
        <v xml:space="preserve">          4103 - NON-TAXABLE SALES-RENTAL TEXT</v>
      </c>
      <c r="C54" s="11"/>
      <c r="D54" s="2">
        <f>0</f>
        <v>0</v>
      </c>
      <c r="E54" s="2"/>
      <c r="F54" s="19"/>
      <c r="G54" s="2"/>
      <c r="H54" s="2">
        <f>--321</f>
        <v>321</v>
      </c>
      <c r="I54" s="2"/>
      <c r="J54" s="19"/>
      <c r="K54" s="2"/>
      <c r="L54" s="2">
        <f t="shared" si="0"/>
        <v>-321</v>
      </c>
      <c r="M54" s="2"/>
      <c r="N54" s="19">
        <f t="shared" si="1"/>
        <v>-1</v>
      </c>
      <c r="O54" s="11"/>
      <c r="P54" s="2">
        <f>--664.97</f>
        <v>664.97</v>
      </c>
      <c r="Q54" s="2"/>
      <c r="R54" s="19"/>
      <c r="S54" s="2"/>
      <c r="T54" s="2">
        <f>--830.85</f>
        <v>830.85</v>
      </c>
      <c r="U54" s="2"/>
      <c r="V54" s="19"/>
      <c r="W54" s="2"/>
      <c r="X54" s="2">
        <f t="shared" si="2"/>
        <v>-165.88</v>
      </c>
      <c r="Y54" s="2"/>
      <c r="Z54" s="19">
        <f t="shared" si="3"/>
        <v>-0.19965095986038392</v>
      </c>
    </row>
    <row r="55" spans="1:26" s="24" customFormat="1" hidden="1" outlineLevel="1" x14ac:dyDescent="0.25">
      <c r="A55" s="44"/>
      <c r="B55" s="11" t="str">
        <f>CONCATENATE("          ", "4104", " - ", "NON-TAXABLE SALES-DIGITAL TEXT")</f>
        <v xml:space="preserve">          4104 - NON-TAXABLE SALES-DIGITAL TEXT</v>
      </c>
      <c r="C55" s="11"/>
      <c r="D55" s="2">
        <f>--4949.29</f>
        <v>4949.29</v>
      </c>
      <c r="E55" s="2"/>
      <c r="F55" s="19"/>
      <c r="G55" s="2"/>
      <c r="H55" s="2">
        <f>--4706.96</f>
        <v>4706.96</v>
      </c>
      <c r="I55" s="2"/>
      <c r="J55" s="19"/>
      <c r="K55" s="2"/>
      <c r="L55" s="2">
        <f t="shared" si="0"/>
        <v>242.32999999999993</v>
      </c>
      <c r="M55" s="2"/>
      <c r="N55" s="19">
        <f t="shared" si="1"/>
        <v>5.1483335316212568E-2</v>
      </c>
      <c r="O55" s="11"/>
      <c r="P55" s="2">
        <f>--531803.38</f>
        <v>531803.38</v>
      </c>
      <c r="Q55" s="2"/>
      <c r="R55" s="19"/>
      <c r="S55" s="2"/>
      <c r="T55" s="2">
        <f>--533442.25</f>
        <v>533442.25</v>
      </c>
      <c r="U55" s="2"/>
      <c r="V55" s="19"/>
      <c r="W55" s="2"/>
      <c r="X55" s="2">
        <f t="shared" si="2"/>
        <v>-1638.8699999999953</v>
      </c>
      <c r="Y55" s="2"/>
      <c r="Z55" s="19">
        <f t="shared" si="3"/>
        <v>-3.0722538381614791E-3</v>
      </c>
    </row>
    <row r="56" spans="1:26" s="24" customFormat="1" hidden="1" outlineLevel="1" x14ac:dyDescent="0.25">
      <c r="A56" s="44"/>
      <c r="B56" s="11" t="str">
        <f>CONCATENATE("          ", "4111", " - ", "NON-TAXABLE SALES-NO VALUE TEX")</f>
        <v xml:space="preserve">          4111 - NON-TAXABLE SALES-NO VALUE TEX</v>
      </c>
      <c r="C56" s="11"/>
      <c r="D56" s="2">
        <f>--340.46</f>
        <v>340.46</v>
      </c>
      <c r="E56" s="2"/>
      <c r="F56" s="19"/>
      <c r="G56" s="2"/>
      <c r="H56" s="2">
        <f>--2277.54</f>
        <v>2277.54</v>
      </c>
      <c r="I56" s="2"/>
      <c r="J56" s="19"/>
      <c r="K56" s="2"/>
      <c r="L56" s="2">
        <f t="shared" si="0"/>
        <v>-1937.08</v>
      </c>
      <c r="M56" s="2"/>
      <c r="N56" s="19">
        <f t="shared" si="1"/>
        <v>-0.85051415123334828</v>
      </c>
      <c r="O56" s="11"/>
      <c r="P56" s="2">
        <f>--15663.46</f>
        <v>15663.46</v>
      </c>
      <c r="Q56" s="2"/>
      <c r="R56" s="19"/>
      <c r="S56" s="2"/>
      <c r="T56" s="2">
        <f>--21891.78</f>
        <v>21891.78</v>
      </c>
      <c r="U56" s="2"/>
      <c r="V56" s="19"/>
      <c r="W56" s="2"/>
      <c r="X56" s="2">
        <f t="shared" si="2"/>
        <v>-6228.32</v>
      </c>
      <c r="Y56" s="2"/>
      <c r="Z56" s="19">
        <f t="shared" si="3"/>
        <v>-0.28450496030930333</v>
      </c>
    </row>
    <row r="57" spans="1:26" s="24" customFormat="1" hidden="1" outlineLevel="1" x14ac:dyDescent="0.25">
      <c r="A57" s="44"/>
      <c r="B57" s="11" t="str">
        <f>CONCATENATE("          ", "4113", " - ", "NON-TAXABLE SALES-TRADE BOOKS")</f>
        <v xml:space="preserve">          4113 - NON-TAXABLE SALES-TRADE BOOKS</v>
      </c>
      <c r="C57" s="11"/>
      <c r="D57" s="2">
        <f>--24.24</f>
        <v>24.24</v>
      </c>
      <c r="E57" s="2"/>
      <c r="F57" s="19"/>
      <c r="G57" s="2"/>
      <c r="H57" s="2">
        <f t="shared" ref="H57:H59" si="7">0</f>
        <v>0</v>
      </c>
      <c r="I57" s="2"/>
      <c r="J57" s="19"/>
      <c r="K57" s="2"/>
      <c r="L57" s="2">
        <f t="shared" si="0"/>
        <v>24.24</v>
      </c>
      <c r="M57" s="2"/>
      <c r="N57" s="19">
        <f t="shared" si="1"/>
        <v>0</v>
      </c>
      <c r="O57" s="11"/>
      <c r="P57" s="2">
        <f>--8266.16</f>
        <v>8266.16</v>
      </c>
      <c r="Q57" s="2"/>
      <c r="R57" s="19"/>
      <c r="S57" s="2"/>
      <c r="T57" s="2">
        <f>--3773</f>
        <v>3773</v>
      </c>
      <c r="U57" s="2"/>
      <c r="V57" s="19"/>
      <c r="W57" s="2"/>
      <c r="X57" s="2">
        <f t="shared" si="2"/>
        <v>4493.16</v>
      </c>
      <c r="Y57" s="2"/>
      <c r="Z57" s="19">
        <f t="shared" si="3"/>
        <v>1.1908719851576994</v>
      </c>
    </row>
    <row r="58" spans="1:26" s="24" customFormat="1" hidden="1" outlineLevel="1" x14ac:dyDescent="0.25">
      <c r="A58" s="44"/>
      <c r="B58" s="11" t="str">
        <f>CONCATENATE("          ", "4114", " - ", "NON-TAXABLE SALES-REMAINDERS")</f>
        <v xml:space="preserve">          4114 - NON-TAXABLE SALES-REMAINDERS</v>
      </c>
      <c r="C58" s="11"/>
      <c r="D58" s="2">
        <f>--3.19</f>
        <v>3.19</v>
      </c>
      <c r="E58" s="2"/>
      <c r="F58" s="19"/>
      <c r="G58" s="2"/>
      <c r="H58" s="2">
        <f t="shared" si="7"/>
        <v>0</v>
      </c>
      <c r="I58" s="2"/>
      <c r="J58" s="19"/>
      <c r="K58" s="2"/>
      <c r="L58" s="2">
        <f t="shared" si="0"/>
        <v>3.19</v>
      </c>
      <c r="M58" s="2"/>
      <c r="N58" s="19">
        <f t="shared" si="1"/>
        <v>0</v>
      </c>
      <c r="O58" s="11"/>
      <c r="P58" s="2">
        <f>--3.19</f>
        <v>3.19</v>
      </c>
      <c r="Q58" s="2"/>
      <c r="R58" s="19"/>
      <c r="S58" s="2"/>
      <c r="T58" s="2">
        <f>0</f>
        <v>0</v>
      </c>
      <c r="U58" s="2"/>
      <c r="V58" s="19"/>
      <c r="W58" s="2"/>
      <c r="X58" s="2">
        <f t="shared" si="2"/>
        <v>3.19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"4118", " - ", "NON-TAXABLE SALES-STUDY GUIDES")</f>
        <v xml:space="preserve">          4118 - NON-TAXABLE SALES-STUDY GUIDES</v>
      </c>
      <c r="C59" s="11"/>
      <c r="D59" s="2">
        <f>--40</f>
        <v>40</v>
      </c>
      <c r="E59" s="2"/>
      <c r="F59" s="19"/>
      <c r="G59" s="2"/>
      <c r="H59" s="2">
        <f t="shared" si="7"/>
        <v>0</v>
      </c>
      <c r="I59" s="2"/>
      <c r="J59" s="19"/>
      <c r="K59" s="2"/>
      <c r="L59" s="2">
        <f t="shared" si="0"/>
        <v>40</v>
      </c>
      <c r="M59" s="2"/>
      <c r="N59" s="19">
        <f t="shared" si="1"/>
        <v>0</v>
      </c>
      <c r="O59" s="11"/>
      <c r="P59" s="2">
        <f>--115.94</f>
        <v>115.94</v>
      </c>
      <c r="Q59" s="2"/>
      <c r="R59" s="19"/>
      <c r="S59" s="2"/>
      <c r="T59" s="2">
        <f>--266.48</f>
        <v>266.48</v>
      </c>
      <c r="U59" s="2"/>
      <c r="V59" s="19"/>
      <c r="W59" s="2"/>
      <c r="X59" s="2">
        <f t="shared" si="2"/>
        <v>-150.54000000000002</v>
      </c>
      <c r="Y59" s="2"/>
      <c r="Z59" s="19">
        <f t="shared" si="3"/>
        <v>-0.56492044431101773</v>
      </c>
    </row>
    <row r="60" spans="1:26" s="24" customFormat="1" hidden="1" outlineLevel="1" x14ac:dyDescent="0.25">
      <c r="A60" s="44"/>
      <c r="B60" s="11" t="str">
        <f>CONCATENATE("          ", "4125", " - ", "NON-TAXABLE SALES-TEST FORMS")</f>
        <v xml:space="preserve">          4125 - NON-TAXABLE SALES-TEST FORMS</v>
      </c>
      <c r="C60" s="11"/>
      <c r="D60" s="2">
        <f>0</f>
        <v>0</v>
      </c>
      <c r="E60" s="2"/>
      <c r="F60" s="19"/>
      <c r="G60" s="2"/>
      <c r="H60" s="2">
        <f>--13.02</f>
        <v>13.02</v>
      </c>
      <c r="I60" s="2"/>
      <c r="J60" s="19"/>
      <c r="K60" s="2"/>
      <c r="L60" s="2">
        <f t="shared" si="0"/>
        <v>-13.02</v>
      </c>
      <c r="M60" s="2"/>
      <c r="N60" s="19">
        <f t="shared" si="1"/>
        <v>-1</v>
      </c>
      <c r="O60" s="11"/>
      <c r="P60" s="2">
        <f>--267.61</f>
        <v>267.61</v>
      </c>
      <c r="Q60" s="2"/>
      <c r="R60" s="19"/>
      <c r="S60" s="2"/>
      <c r="T60" s="2">
        <f>--318.21</f>
        <v>318.20999999999998</v>
      </c>
      <c r="U60" s="2"/>
      <c r="V60" s="19"/>
      <c r="W60" s="2"/>
      <c r="X60" s="2">
        <f t="shared" si="2"/>
        <v>-50.599999999999966</v>
      </c>
      <c r="Y60" s="2"/>
      <c r="Z60" s="19">
        <f t="shared" si="3"/>
        <v>-0.15901448728826867</v>
      </c>
    </row>
    <row r="61" spans="1:26" s="24" customFormat="1" hidden="1" outlineLevel="1" x14ac:dyDescent="0.25">
      <c r="A61" s="44"/>
      <c r="B61" s="11" t="str">
        <f>CONCATENATE("          ", "4126", " - ", "NON-TAXABLE SALES-WRITING INST")</f>
        <v xml:space="preserve">          4126 - NON-TAXABLE SALES-WRITING INST</v>
      </c>
      <c r="C61" s="11"/>
      <c r="D61" s="2">
        <f>--110.56</f>
        <v>110.56</v>
      </c>
      <c r="E61" s="2"/>
      <c r="F61" s="19"/>
      <c r="G61" s="2"/>
      <c r="H61" s="2">
        <f>--352.38</f>
        <v>352.38</v>
      </c>
      <c r="I61" s="2"/>
      <c r="J61" s="19"/>
      <c r="K61" s="2"/>
      <c r="L61" s="2">
        <f t="shared" si="0"/>
        <v>-241.82</v>
      </c>
      <c r="M61" s="2"/>
      <c r="N61" s="19">
        <f t="shared" si="1"/>
        <v>-0.68624780066973157</v>
      </c>
      <c r="O61" s="11"/>
      <c r="P61" s="2">
        <f>--3133.42</f>
        <v>3133.42</v>
      </c>
      <c r="Q61" s="2"/>
      <c r="R61" s="19"/>
      <c r="S61" s="2"/>
      <c r="T61" s="2">
        <f>--4011.52</f>
        <v>4011.52</v>
      </c>
      <c r="U61" s="2"/>
      <c r="V61" s="19"/>
      <c r="W61" s="2"/>
      <c r="X61" s="2">
        <f t="shared" si="2"/>
        <v>-878.09999999999991</v>
      </c>
      <c r="Y61" s="2"/>
      <c r="Z61" s="19">
        <f t="shared" si="3"/>
        <v>-0.21889458359923419</v>
      </c>
    </row>
    <row r="62" spans="1:26" s="24" customFormat="1" hidden="1" outlineLevel="1" x14ac:dyDescent="0.25">
      <c r="A62" s="44"/>
      <c r="B62" s="11" t="str">
        <f>CONCATENATE("          ", "4127", " - ", "NON-TAXABLE SALES-SCHOOL SUPPL")</f>
        <v xml:space="preserve">          4127 - NON-TAXABLE SALES-SCHOOL SUPPL</v>
      </c>
      <c r="C62" s="11"/>
      <c r="D62" s="2">
        <f>--226.84</f>
        <v>226.84</v>
      </c>
      <c r="E62" s="2"/>
      <c r="F62" s="19"/>
      <c r="G62" s="2"/>
      <c r="H62" s="2">
        <f>--213.9</f>
        <v>213.9</v>
      </c>
      <c r="I62" s="2"/>
      <c r="J62" s="19"/>
      <c r="K62" s="2"/>
      <c r="L62" s="2">
        <f t="shared" si="0"/>
        <v>12.939999999999998</v>
      </c>
      <c r="M62" s="2"/>
      <c r="N62" s="19">
        <f t="shared" si="1"/>
        <v>6.0495558672276753E-2</v>
      </c>
      <c r="O62" s="11"/>
      <c r="P62" s="2">
        <f>--6373.71</f>
        <v>6373.71</v>
      </c>
      <c r="Q62" s="2"/>
      <c r="R62" s="19"/>
      <c r="S62" s="2"/>
      <c r="T62" s="2">
        <f>--12544.26</f>
        <v>12544.26</v>
      </c>
      <c r="U62" s="2"/>
      <c r="V62" s="19"/>
      <c r="W62" s="2"/>
      <c r="X62" s="2">
        <f t="shared" si="2"/>
        <v>-6170.55</v>
      </c>
      <c r="Y62" s="2"/>
      <c r="Z62" s="19">
        <f t="shared" si="3"/>
        <v>-0.49190227243376655</v>
      </c>
    </row>
    <row r="63" spans="1:26" s="24" customFormat="1" hidden="1" outlineLevel="1" x14ac:dyDescent="0.25">
      <c r="A63" s="44"/>
      <c r="B63" s="11" t="str">
        <f>CONCATENATE("          ", "4128", " - ", "NON-TAXABLE SALES-ART/TECH")</f>
        <v xml:space="preserve">          4128 - NON-TAXABLE SALES-ART/TECH</v>
      </c>
      <c r="C63" s="11"/>
      <c r="D63" s="2">
        <f>0</f>
        <v>0</v>
      </c>
      <c r="E63" s="2"/>
      <c r="F63" s="19"/>
      <c r="G63" s="2"/>
      <c r="H63" s="2">
        <f>--25.14</f>
        <v>25.14</v>
      </c>
      <c r="I63" s="2"/>
      <c r="J63" s="19"/>
      <c r="K63" s="2"/>
      <c r="L63" s="2">
        <f t="shared" si="0"/>
        <v>-25.14</v>
      </c>
      <c r="M63" s="2"/>
      <c r="N63" s="19">
        <f t="shared" si="1"/>
        <v>-1</v>
      </c>
      <c r="O63" s="11"/>
      <c r="P63" s="2">
        <f>--730.62</f>
        <v>730.62</v>
      </c>
      <c r="Q63" s="2"/>
      <c r="R63" s="19"/>
      <c r="S63" s="2"/>
      <c r="T63" s="2">
        <f>--877.96</f>
        <v>877.96</v>
      </c>
      <c r="U63" s="2"/>
      <c r="V63" s="19"/>
      <c r="W63" s="2"/>
      <c r="X63" s="2">
        <f t="shared" si="2"/>
        <v>-147.34000000000003</v>
      </c>
      <c r="Y63" s="2"/>
      <c r="Z63" s="19">
        <f t="shared" si="3"/>
        <v>-0.16782085744225253</v>
      </c>
    </row>
    <row r="64" spans="1:26" s="24" customFormat="1" hidden="1" outlineLevel="1" x14ac:dyDescent="0.25">
      <c r="A64" s="44"/>
      <c r="B64" s="11" t="str">
        <f>CONCATENATE("          ", "4131", " - ", "NON-TAXABLE SALES-FOOD")</f>
        <v xml:space="preserve">          4131 - NON-TAXABLE SALES-FOOD</v>
      </c>
      <c r="C64" s="11"/>
      <c r="D64" s="2">
        <f>--6.16</f>
        <v>6.16</v>
      </c>
      <c r="E64" s="2"/>
      <c r="F64" s="19"/>
      <c r="G64" s="2"/>
      <c r="H64" s="2">
        <f>--2994.45</f>
        <v>2994.45</v>
      </c>
      <c r="I64" s="2"/>
      <c r="J64" s="19"/>
      <c r="K64" s="2"/>
      <c r="L64" s="2">
        <f t="shared" si="0"/>
        <v>-2988.29</v>
      </c>
      <c r="M64" s="2"/>
      <c r="N64" s="19">
        <f t="shared" si="1"/>
        <v>-0.99794286095944174</v>
      </c>
      <c r="O64" s="11"/>
      <c r="P64" s="2">
        <f>--57893.7</f>
        <v>57893.7</v>
      </c>
      <c r="Q64" s="2"/>
      <c r="R64" s="19"/>
      <c r="S64" s="2"/>
      <c r="T64" s="2">
        <f>--74040.33</f>
        <v>74040.33</v>
      </c>
      <c r="U64" s="2"/>
      <c r="V64" s="19"/>
      <c r="W64" s="2"/>
      <c r="X64" s="2">
        <f t="shared" si="2"/>
        <v>-16146.630000000005</v>
      </c>
      <c r="Y64" s="2"/>
      <c r="Z64" s="19">
        <f t="shared" si="3"/>
        <v>-0.21807884972960012</v>
      </c>
    </row>
    <row r="65" spans="1:26" s="24" customFormat="1" hidden="1" outlineLevel="1" x14ac:dyDescent="0.25">
      <c r="A65" s="44"/>
      <c r="B65" s="11" t="str">
        <f>CONCATENATE("          ", "4132", " - ", "NON-TAXABLE SALES-JUICE")</f>
        <v xml:space="preserve">          4132 - NON-TAXABLE SALES-JUICE</v>
      </c>
      <c r="C65" s="11"/>
      <c r="D65" s="2">
        <f>0</f>
        <v>0</v>
      </c>
      <c r="E65" s="2"/>
      <c r="F65" s="19"/>
      <c r="G65" s="2"/>
      <c r="H65" s="2">
        <f>--869.38</f>
        <v>869.38</v>
      </c>
      <c r="I65" s="2"/>
      <c r="J65" s="19"/>
      <c r="K65" s="2"/>
      <c r="L65" s="2">
        <f t="shared" si="0"/>
        <v>-869.38</v>
      </c>
      <c r="M65" s="2"/>
      <c r="N65" s="19">
        <f t="shared" si="1"/>
        <v>-1</v>
      </c>
      <c r="O65" s="11"/>
      <c r="P65" s="2">
        <f>--16199.63</f>
        <v>16199.63</v>
      </c>
      <c r="Q65" s="2"/>
      <c r="R65" s="19"/>
      <c r="S65" s="2"/>
      <c r="T65" s="2">
        <f>--18257.24</f>
        <v>18257.240000000002</v>
      </c>
      <c r="U65" s="2"/>
      <c r="V65" s="19"/>
      <c r="W65" s="2"/>
      <c r="X65" s="2">
        <f t="shared" si="2"/>
        <v>-2057.6100000000024</v>
      </c>
      <c r="Y65" s="2"/>
      <c r="Z65" s="19">
        <f t="shared" si="3"/>
        <v>-0.1127010435312239</v>
      </c>
    </row>
    <row r="66" spans="1:26" s="24" customFormat="1" hidden="1" outlineLevel="1" x14ac:dyDescent="0.25">
      <c r="A66" s="44"/>
      <c r="B66" s="11" t="str">
        <f>CONCATENATE("          ", "4133", " - ", "NON-TAXABLE SALES-CANDY")</f>
        <v xml:space="preserve">          4133 - NON-TAXABLE SALES-CANDY</v>
      </c>
      <c r="C66" s="11"/>
      <c r="D66" s="2">
        <f>--48.27</f>
        <v>48.27</v>
      </c>
      <c r="E66" s="2"/>
      <c r="F66" s="19"/>
      <c r="G66" s="2"/>
      <c r="H66" s="2">
        <f>--3514.86</f>
        <v>3514.86</v>
      </c>
      <c r="I66" s="2"/>
      <c r="J66" s="19"/>
      <c r="K66" s="2"/>
      <c r="L66" s="2">
        <f t="shared" si="0"/>
        <v>-3466.59</v>
      </c>
      <c r="M66" s="2"/>
      <c r="N66" s="19">
        <f t="shared" si="1"/>
        <v>-0.9862668783393933</v>
      </c>
      <c r="O66" s="11"/>
      <c r="P66" s="2">
        <f>--18136.73</f>
        <v>18136.73</v>
      </c>
      <c r="Q66" s="2"/>
      <c r="R66" s="19"/>
      <c r="S66" s="2"/>
      <c r="T66" s="2">
        <f>--23474.32</f>
        <v>23474.32</v>
      </c>
      <c r="U66" s="2"/>
      <c r="V66" s="19"/>
      <c r="W66" s="2"/>
      <c r="X66" s="2">
        <f t="shared" si="2"/>
        <v>-5337.59</v>
      </c>
      <c r="Y66" s="2"/>
      <c r="Z66" s="19">
        <f t="shared" si="3"/>
        <v>-0.22737996244406655</v>
      </c>
    </row>
    <row r="67" spans="1:26" s="24" customFormat="1" hidden="1" outlineLevel="1" x14ac:dyDescent="0.25">
      <c r="A67" s="44"/>
      <c r="B67" s="11" t="str">
        <f>CONCATENATE("          ", "4134", " - ", "NON-TAXABLE SALES-SODA")</f>
        <v xml:space="preserve">          4134 - NON-TAXABLE SALES-SODA</v>
      </c>
      <c r="C67" s="11"/>
      <c r="D67" s="2">
        <f t="shared" ref="D67:D69" si="8">0</f>
        <v>0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--1.89</f>
        <v>1.89</v>
      </c>
      <c r="Q67" s="2"/>
      <c r="R67" s="19"/>
      <c r="S67" s="2"/>
      <c r="T67" s="2">
        <f>--111.36</f>
        <v>111.36</v>
      </c>
      <c r="U67" s="2"/>
      <c r="V67" s="19"/>
      <c r="W67" s="2"/>
      <c r="X67" s="2">
        <f t="shared" si="2"/>
        <v>-109.47</v>
      </c>
      <c r="Y67" s="2"/>
      <c r="Z67" s="19">
        <f t="shared" si="3"/>
        <v>-0.98302801724137934</v>
      </c>
    </row>
    <row r="68" spans="1:26" s="24" customFormat="1" hidden="1" outlineLevel="1" x14ac:dyDescent="0.25">
      <c r="A68" s="44"/>
      <c r="B68" s="11" t="str">
        <f>CONCATENATE("          ", "4135", " - ", "NON-TAXABLE SALES")</f>
        <v xml:space="preserve">          4135 - NON-TAXABLE SALES</v>
      </c>
      <c r="C68" s="11"/>
      <c r="D68" s="2">
        <f t="shared" si="8"/>
        <v>0</v>
      </c>
      <c r="E68" s="2"/>
      <c r="F68" s="19"/>
      <c r="G68" s="2"/>
      <c r="H68" s="2">
        <f>--13.28</f>
        <v>13.28</v>
      </c>
      <c r="I68" s="2"/>
      <c r="J68" s="19"/>
      <c r="K68" s="2"/>
      <c r="L68" s="2">
        <f t="shared" si="0"/>
        <v>-13.28</v>
      </c>
      <c r="M68" s="2"/>
      <c r="N68" s="19">
        <f t="shared" si="1"/>
        <v>-1</v>
      </c>
      <c r="O68" s="11"/>
      <c r="P68" s="2">
        <f>--161.4</f>
        <v>161.4</v>
      </c>
      <c r="Q68" s="2"/>
      <c r="R68" s="19"/>
      <c r="S68" s="2"/>
      <c r="T68" s="2">
        <f>--383.81</f>
        <v>383.81</v>
      </c>
      <c r="U68" s="2"/>
      <c r="V68" s="19"/>
      <c r="W68" s="2"/>
      <c r="X68" s="2">
        <f t="shared" si="2"/>
        <v>-222.41</v>
      </c>
      <c r="Y68" s="2"/>
      <c r="Z68" s="19">
        <f t="shared" si="3"/>
        <v>-0.57947942992626555</v>
      </c>
    </row>
    <row r="69" spans="1:26" s="24" customFormat="1" hidden="1" outlineLevel="1" x14ac:dyDescent="0.25">
      <c r="A69" s="44"/>
      <c r="B69" s="11" t="str">
        <f>CONCATENATE("          ", "4137", " - ", "NON-TAXABLE SALES-WATER")</f>
        <v xml:space="preserve">          4137 - NON-TAXABLE SALES-WATER</v>
      </c>
      <c r="C69" s="11"/>
      <c r="D69" s="2">
        <f t="shared" si="8"/>
        <v>0</v>
      </c>
      <c r="E69" s="2"/>
      <c r="F69" s="19"/>
      <c r="G69" s="2"/>
      <c r="H69" s="2">
        <f>--448.65</f>
        <v>448.65</v>
      </c>
      <c r="I69" s="2"/>
      <c r="J69" s="19"/>
      <c r="K69" s="2"/>
      <c r="L69" s="2">
        <f t="shared" si="0"/>
        <v>-448.65</v>
      </c>
      <c r="M69" s="2"/>
      <c r="N69" s="19">
        <f t="shared" si="1"/>
        <v>-1</v>
      </c>
      <c r="O69" s="11"/>
      <c r="P69" s="2">
        <f>--8519.06</f>
        <v>8519.06</v>
      </c>
      <c r="Q69" s="2"/>
      <c r="R69" s="19"/>
      <c r="S69" s="2"/>
      <c r="T69" s="2">
        <f>--10143.39</f>
        <v>10143.39</v>
      </c>
      <c r="U69" s="2"/>
      <c r="V69" s="19"/>
      <c r="W69" s="2"/>
      <c r="X69" s="2">
        <f t="shared" si="2"/>
        <v>-1624.33</v>
      </c>
      <c r="Y69" s="2"/>
      <c r="Z69" s="19">
        <f t="shared" si="3"/>
        <v>-0.16013679844706749</v>
      </c>
    </row>
    <row r="70" spans="1:26" s="24" customFormat="1" hidden="1" outlineLevel="1" x14ac:dyDescent="0.25">
      <c r="A70" s="44"/>
      <c r="B70" s="11" t="str">
        <f>CONCATENATE("          ", "4140", " - ", "NON-TAXABLE SALES-LOGO CLOTHIN")</f>
        <v xml:space="preserve">          4140 - NON-TAXABLE SALES-LOGO CLOTHIN</v>
      </c>
      <c r="C70" s="11"/>
      <c r="D70" s="2">
        <f>--56556.05</f>
        <v>56556.05</v>
      </c>
      <c r="E70" s="2"/>
      <c r="F70" s="19"/>
      <c r="G70" s="2"/>
      <c r="H70" s="2">
        <f>--8734.95</f>
        <v>8734.9500000000007</v>
      </c>
      <c r="I70" s="2"/>
      <c r="J70" s="19"/>
      <c r="K70" s="2"/>
      <c r="L70" s="2">
        <f t="shared" si="0"/>
        <v>47821.100000000006</v>
      </c>
      <c r="M70" s="2"/>
      <c r="N70" s="19">
        <f t="shared" si="1"/>
        <v>5.4746850296796206</v>
      </c>
      <c r="O70" s="11"/>
      <c r="P70" s="2">
        <f>--135480.76</f>
        <v>135480.76</v>
      </c>
      <c r="Q70" s="2"/>
      <c r="R70" s="19"/>
      <c r="S70" s="2"/>
      <c r="T70" s="2">
        <f>--55990.72</f>
        <v>55990.720000000001</v>
      </c>
      <c r="U70" s="2"/>
      <c r="V70" s="19"/>
      <c r="W70" s="2"/>
      <c r="X70" s="2">
        <f t="shared" si="2"/>
        <v>79490.040000000008</v>
      </c>
      <c r="Y70" s="2"/>
      <c r="Z70" s="19">
        <f t="shared" si="3"/>
        <v>1.4197002646152792</v>
      </c>
    </row>
    <row r="71" spans="1:26" s="24" customFormat="1" hidden="1" outlineLevel="1" x14ac:dyDescent="0.25">
      <c r="A71" s="44"/>
      <c r="B71" s="11" t="str">
        <f>CONCATENATE("          ", "4141", " - ", "NON-TAXABLE SALES-LOGO GIFTS")</f>
        <v xml:space="preserve">          4141 - NON-TAXABLE SALES-LOGO GIFTS</v>
      </c>
      <c r="C71" s="11"/>
      <c r="D71" s="2">
        <f>--4184.98</f>
        <v>4184.9799999999996</v>
      </c>
      <c r="E71" s="2"/>
      <c r="F71" s="19"/>
      <c r="G71" s="2"/>
      <c r="H71" s="2">
        <f>--460.45</f>
        <v>460.45</v>
      </c>
      <c r="I71" s="2"/>
      <c r="J71" s="19"/>
      <c r="K71" s="2"/>
      <c r="L71" s="2">
        <f t="shared" si="0"/>
        <v>3724.5299999999997</v>
      </c>
      <c r="M71" s="2"/>
      <c r="N71" s="19">
        <f t="shared" si="1"/>
        <v>8.0888913019871858</v>
      </c>
      <c r="O71" s="11"/>
      <c r="P71" s="2">
        <f>--16960.31</f>
        <v>16960.310000000001</v>
      </c>
      <c r="Q71" s="2"/>
      <c r="R71" s="19"/>
      <c r="S71" s="2"/>
      <c r="T71" s="2">
        <f>--6463.78</f>
        <v>6463.78</v>
      </c>
      <c r="U71" s="2"/>
      <c r="V71" s="19"/>
      <c r="W71" s="2"/>
      <c r="X71" s="2">
        <f t="shared" si="2"/>
        <v>10496.530000000002</v>
      </c>
      <c r="Y71" s="2"/>
      <c r="Z71" s="19">
        <f t="shared" si="3"/>
        <v>1.6238996376733124</v>
      </c>
    </row>
    <row r="72" spans="1:26" s="24" customFormat="1" hidden="1" outlineLevel="1" x14ac:dyDescent="0.25">
      <c r="A72" s="44"/>
      <c r="B72" s="11" t="str">
        <f>CONCATENATE("          ", "4142", " - ", "NON-TAXABLE SALES-EVERYDAY GIF")</f>
        <v xml:space="preserve">          4142 - NON-TAXABLE SALES-EVERYDAY GIF</v>
      </c>
      <c r="C72" s="11"/>
      <c r="D72" s="2">
        <f>--1204.14</f>
        <v>1204.1400000000001</v>
      </c>
      <c r="E72" s="2"/>
      <c r="F72" s="19"/>
      <c r="G72" s="2"/>
      <c r="H72" s="2">
        <f>--1539.69</f>
        <v>1539.69</v>
      </c>
      <c r="I72" s="2"/>
      <c r="J72" s="19"/>
      <c r="K72" s="2"/>
      <c r="L72" s="2">
        <f t="shared" si="0"/>
        <v>-335.54999999999995</v>
      </c>
      <c r="M72" s="2"/>
      <c r="N72" s="19">
        <f t="shared" si="1"/>
        <v>-0.21793348011612723</v>
      </c>
      <c r="O72" s="11"/>
      <c r="P72" s="2">
        <f>--15332.22</f>
        <v>15332.22</v>
      </c>
      <c r="Q72" s="2"/>
      <c r="R72" s="19"/>
      <c r="S72" s="2"/>
      <c r="T72" s="2">
        <f>--21108.88</f>
        <v>21108.880000000001</v>
      </c>
      <c r="U72" s="2"/>
      <c r="V72" s="19"/>
      <c r="W72" s="2"/>
      <c r="X72" s="2">
        <f t="shared" si="2"/>
        <v>-5776.6600000000017</v>
      </c>
      <c r="Y72" s="2"/>
      <c r="Z72" s="19">
        <f t="shared" si="3"/>
        <v>-0.27366018471846926</v>
      </c>
    </row>
    <row r="73" spans="1:26" s="24" customFormat="1" hidden="1" outlineLevel="1" x14ac:dyDescent="0.25">
      <c r="A73" s="44"/>
      <c r="B73" s="11" t="str">
        <f>CONCATENATE("          ", "4143", " - ", "NON-TAXABLE SALES-CARDS")</f>
        <v xml:space="preserve">          4143 - NON-TAXABLE SALES-CARDS</v>
      </c>
      <c r="C73" s="11"/>
      <c r="D73" s="2">
        <f>--19.98</f>
        <v>19.98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19.98</v>
      </c>
      <c r="M73" s="2"/>
      <c r="N73" s="19">
        <f t="shared" si="1"/>
        <v>0</v>
      </c>
      <c r="O73" s="11"/>
      <c r="P73" s="2">
        <f>--19.98</f>
        <v>19.98</v>
      </c>
      <c r="Q73" s="2"/>
      <c r="R73" s="19"/>
      <c r="S73" s="2"/>
      <c r="T73" s="2">
        <f>0</f>
        <v>0</v>
      </c>
      <c r="U73" s="2"/>
      <c r="V73" s="19"/>
      <c r="W73" s="2"/>
      <c r="X73" s="2">
        <f t="shared" si="2"/>
        <v>19.98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"4144", " - ", "NON-TAXABLE SALES-ACCESSORIES")</f>
        <v xml:space="preserve">          4144 - NON-TAXABLE SALES-ACCESSORIES</v>
      </c>
      <c r="C74" s="11"/>
      <c r="D74" s="2">
        <f>--984.35</f>
        <v>984.35</v>
      </c>
      <c r="E74" s="2"/>
      <c r="F74" s="19"/>
      <c r="G74" s="2"/>
      <c r="H74" s="2">
        <f>--59.85</f>
        <v>59.85</v>
      </c>
      <c r="I74" s="2"/>
      <c r="J74" s="19"/>
      <c r="K74" s="2"/>
      <c r="L74" s="2">
        <f t="shared" si="0"/>
        <v>924.5</v>
      </c>
      <c r="M74" s="2"/>
      <c r="N74" s="19">
        <f t="shared" si="1"/>
        <v>15.446950710108604</v>
      </c>
      <c r="O74" s="11"/>
      <c r="P74" s="2">
        <f>--3324.02</f>
        <v>3324.02</v>
      </c>
      <c r="Q74" s="2"/>
      <c r="R74" s="19"/>
      <c r="S74" s="2"/>
      <c r="T74" s="2">
        <f>--639.89</f>
        <v>639.89</v>
      </c>
      <c r="U74" s="2"/>
      <c r="V74" s="19"/>
      <c r="W74" s="2"/>
      <c r="X74" s="2">
        <f t="shared" si="2"/>
        <v>2684.13</v>
      </c>
      <c r="Y74" s="2"/>
      <c r="Z74" s="19">
        <f t="shared" si="3"/>
        <v>4.1946740846082919</v>
      </c>
    </row>
    <row r="75" spans="1:26" s="24" customFormat="1" hidden="1" outlineLevel="1" x14ac:dyDescent="0.25">
      <c r="A75" s="44"/>
      <c r="B75" s="11" t="str">
        <f>CONCATENATE("          ", "4145", " - ", "NON-TAXABLE SALES-SPECIAL ORDE")</f>
        <v xml:space="preserve">          4145 - NON-TAXABLE SALES-SPECIAL ORDE</v>
      </c>
      <c r="C75" s="11"/>
      <c r="D75" s="2">
        <f>--7688.68</f>
        <v>7688.68</v>
      </c>
      <c r="E75" s="2"/>
      <c r="F75" s="19"/>
      <c r="G75" s="2"/>
      <c r="H75" s="2">
        <f>--431.9</f>
        <v>431.9</v>
      </c>
      <c r="I75" s="2"/>
      <c r="J75" s="19"/>
      <c r="K75" s="2"/>
      <c r="L75" s="2">
        <f t="shared" si="0"/>
        <v>7256.7800000000007</v>
      </c>
      <c r="M75" s="2"/>
      <c r="N75" s="19">
        <f t="shared" si="1"/>
        <v>16.801991201667054</v>
      </c>
      <c r="O75" s="11"/>
      <c r="P75" s="2">
        <f>--7828.68</f>
        <v>7828.68</v>
      </c>
      <c r="Q75" s="2"/>
      <c r="R75" s="19"/>
      <c r="S75" s="2"/>
      <c r="T75" s="2">
        <f>--2382.85</f>
        <v>2382.85</v>
      </c>
      <c r="U75" s="2"/>
      <c r="V75" s="19"/>
      <c r="W75" s="2"/>
      <c r="X75" s="2">
        <f t="shared" si="2"/>
        <v>5445.83</v>
      </c>
      <c r="Y75" s="2"/>
      <c r="Z75" s="19">
        <f t="shared" si="3"/>
        <v>2.2854271145896723</v>
      </c>
    </row>
    <row r="76" spans="1:26" s="24" customFormat="1" hidden="1" outlineLevel="1" x14ac:dyDescent="0.25">
      <c r="A76" s="44"/>
      <c r="B76" s="11" t="str">
        <f>CONCATENATE("          ", "4146", " - ", "NON-TAXABLE SALES-COIN OP MACH")</f>
        <v xml:space="preserve">          4146 - NON-TAXABLE SALES-COIN OP MACH</v>
      </c>
      <c r="C76" s="11"/>
      <c r="D76" s="2">
        <f>0</f>
        <v>0</v>
      </c>
      <c r="E76" s="2"/>
      <c r="F76" s="19"/>
      <c r="G76" s="2"/>
      <c r="H76" s="2">
        <f>--25396.3</f>
        <v>25396.3</v>
      </c>
      <c r="I76" s="2"/>
      <c r="J76" s="19"/>
      <c r="K76" s="2"/>
      <c r="L76" s="2">
        <f t="shared" si="0"/>
        <v>-25396.3</v>
      </c>
      <c r="M76" s="2"/>
      <c r="N76" s="19">
        <f t="shared" si="1"/>
        <v>-1</v>
      </c>
      <c r="O76" s="11"/>
      <c r="P76" s="2">
        <f>--205908.65</f>
        <v>205908.65</v>
      </c>
      <c r="Q76" s="2"/>
      <c r="R76" s="19"/>
      <c r="S76" s="2"/>
      <c r="T76" s="2">
        <f>--285954.84</f>
        <v>285954.84000000003</v>
      </c>
      <c r="U76" s="2"/>
      <c r="V76" s="19"/>
      <c r="W76" s="2"/>
      <c r="X76" s="2">
        <f t="shared" si="2"/>
        <v>-80046.190000000031</v>
      </c>
      <c r="Y76" s="2"/>
      <c r="Z76" s="19">
        <f t="shared" si="3"/>
        <v>-0.2799259841169327</v>
      </c>
    </row>
    <row r="77" spans="1:26" s="24" customFormat="1" hidden="1" outlineLevel="1" x14ac:dyDescent="0.25">
      <c r="A77" s="44"/>
      <c r="B77" s="11" t="str">
        <f>CONCATENATE("          ", "4147", " - ", "NON-TAXABLE SALES-MISC")</f>
        <v xml:space="preserve">          4147 - NON-TAXABLE SALES-MISC</v>
      </c>
      <c r="C77" s="11"/>
      <c r="D77" s="2">
        <f>--10</f>
        <v>10</v>
      </c>
      <c r="E77" s="2"/>
      <c r="F77" s="19"/>
      <c r="G77" s="2"/>
      <c r="H77" s="2">
        <f>--30.5</f>
        <v>30.5</v>
      </c>
      <c r="I77" s="2"/>
      <c r="J77" s="19"/>
      <c r="K77" s="2"/>
      <c r="L77" s="2">
        <f t="shared" si="0"/>
        <v>-20.5</v>
      </c>
      <c r="M77" s="2"/>
      <c r="N77" s="19">
        <f t="shared" si="1"/>
        <v>-0.67213114754098358</v>
      </c>
      <c r="O77" s="11"/>
      <c r="P77" s="2">
        <f>--3446.37</f>
        <v>3446.37</v>
      </c>
      <c r="Q77" s="2"/>
      <c r="R77" s="19"/>
      <c r="S77" s="2"/>
      <c r="T77" s="2">
        <f>--928.73</f>
        <v>928.73</v>
      </c>
      <c r="U77" s="2"/>
      <c r="V77" s="19"/>
      <c r="W77" s="2"/>
      <c r="X77" s="2">
        <f t="shared" si="2"/>
        <v>2517.64</v>
      </c>
      <c r="Y77" s="2"/>
      <c r="Z77" s="19">
        <f t="shared" si="3"/>
        <v>2.710841687034983</v>
      </c>
    </row>
    <row r="78" spans="1:26" s="24" customFormat="1" hidden="1" outlineLevel="1" x14ac:dyDescent="0.25">
      <c r="A78" s="44"/>
      <c r="B78" s="11" t="str">
        <f>CONCATENATE("          ", "4181", " - ", "NON-TAXABLE SALES-ELECTRONICS")</f>
        <v xml:space="preserve">          4181 - NON-TAXABLE SALES-ELECTRONICS</v>
      </c>
      <c r="C78" s="11"/>
      <c r="D78" s="2">
        <f>--424.46</f>
        <v>424.46</v>
      </c>
      <c r="E78" s="2"/>
      <c r="F78" s="19"/>
      <c r="G78" s="2"/>
      <c r="H78" s="2">
        <f>--1615.44</f>
        <v>1615.44</v>
      </c>
      <c r="I78" s="2"/>
      <c r="J78" s="19"/>
      <c r="K78" s="2"/>
      <c r="L78" s="2">
        <f t="shared" si="0"/>
        <v>-1190.98</v>
      </c>
      <c r="M78" s="2"/>
      <c r="N78" s="19">
        <f t="shared" si="1"/>
        <v>-0.73724805625711876</v>
      </c>
      <c r="O78" s="11"/>
      <c r="P78" s="2">
        <f>--2657.79</f>
        <v>2657.79</v>
      </c>
      <c r="Q78" s="2"/>
      <c r="R78" s="19"/>
      <c r="S78" s="2"/>
      <c r="T78" s="2">
        <f>--16132.52</f>
        <v>16132.52</v>
      </c>
      <c r="U78" s="2"/>
      <c r="V78" s="19"/>
      <c r="W78" s="2"/>
      <c r="X78" s="2">
        <f t="shared" si="2"/>
        <v>-13474.73</v>
      </c>
      <c r="Y78" s="2"/>
      <c r="Z78" s="19">
        <f t="shared" si="3"/>
        <v>-0.83525264496805207</v>
      </c>
    </row>
    <row r="79" spans="1:26" s="24" customFormat="1" hidden="1" outlineLevel="1" x14ac:dyDescent="0.25">
      <c r="A79" s="44"/>
      <c r="B79" s="11" t="str">
        <f>CONCATENATE("          ", "4182", " - ", "NON-TAXABLE SALES-COMPUTER HAR")</f>
        <v xml:space="preserve">          4182 - NON-TAXABLE SALES-COMPUTER HAR</v>
      </c>
      <c r="C79" s="11"/>
      <c r="D79" s="2">
        <f>--28134.6</f>
        <v>28134.6</v>
      </c>
      <c r="E79" s="2"/>
      <c r="F79" s="19"/>
      <c r="G79" s="2"/>
      <c r="H79" s="2">
        <f>--16142.98</f>
        <v>16142.98</v>
      </c>
      <c r="I79" s="2"/>
      <c r="J79" s="19"/>
      <c r="K79" s="2"/>
      <c r="L79" s="2">
        <f t="shared" si="0"/>
        <v>11991.619999999999</v>
      </c>
      <c r="M79" s="2"/>
      <c r="N79" s="19">
        <f t="shared" si="1"/>
        <v>0.74283806335633196</v>
      </c>
      <c r="O79" s="11"/>
      <c r="P79" s="2">
        <f>--176201.54</f>
        <v>176201.54</v>
      </c>
      <c r="Q79" s="2"/>
      <c r="R79" s="19"/>
      <c r="S79" s="2"/>
      <c r="T79" s="2">
        <f>--235821.82</f>
        <v>235821.82</v>
      </c>
      <c r="U79" s="2"/>
      <c r="V79" s="19"/>
      <c r="W79" s="2"/>
      <c r="X79" s="2">
        <f t="shared" si="2"/>
        <v>-59620.28</v>
      </c>
      <c r="Y79" s="2"/>
      <c r="Z79" s="19">
        <f t="shared" si="3"/>
        <v>-0.25281918356833982</v>
      </c>
    </row>
    <row r="80" spans="1:26" s="24" customFormat="1" hidden="1" outlineLevel="1" x14ac:dyDescent="0.25">
      <c r="A80" s="44"/>
      <c r="B80" s="11" t="str">
        <f>CONCATENATE("          ", "4183", " - ", "NON-TAXABLE SALES-COMPUTER EQU")</f>
        <v xml:space="preserve">          4183 - NON-TAXABLE SALES-COMPUTER EQU</v>
      </c>
      <c r="C80" s="11"/>
      <c r="D80" s="2">
        <f>--1895.54</f>
        <v>1895.54</v>
      </c>
      <c r="E80" s="2"/>
      <c r="F80" s="19"/>
      <c r="G80" s="2"/>
      <c r="H80" s="2">
        <f>--111.99</f>
        <v>111.99</v>
      </c>
      <c r="I80" s="2"/>
      <c r="J80" s="19"/>
      <c r="K80" s="2"/>
      <c r="L80" s="2">
        <f t="shared" si="0"/>
        <v>1783.55</v>
      </c>
      <c r="M80" s="2"/>
      <c r="N80" s="19">
        <f t="shared" si="1"/>
        <v>15.92597553352978</v>
      </c>
      <c r="O80" s="11"/>
      <c r="P80" s="2">
        <f>--11427.56</f>
        <v>11427.56</v>
      </c>
      <c r="Q80" s="2"/>
      <c r="R80" s="19"/>
      <c r="S80" s="2"/>
      <c r="T80" s="2">
        <f>--9758.94</f>
        <v>9758.94</v>
      </c>
      <c r="U80" s="2"/>
      <c r="V80" s="19"/>
      <c r="W80" s="2"/>
      <c r="X80" s="2">
        <f t="shared" si="2"/>
        <v>1668.619999999999</v>
      </c>
      <c r="Y80" s="2"/>
      <c r="Z80" s="19">
        <f t="shared" si="3"/>
        <v>0.1709837338891313</v>
      </c>
    </row>
    <row r="81" spans="1:26" s="24" customFormat="1" hidden="1" outlineLevel="1" x14ac:dyDescent="0.25">
      <c r="A81" s="44"/>
      <c r="B81" s="11" t="str">
        <f>CONCATENATE("          ", "4184", " - ", "NON-TAXABLE SALES-SOFTWARE LIC")</f>
        <v xml:space="preserve">          4184 - NON-TAXABLE SALES-SOFTWARE LIC</v>
      </c>
      <c r="C81" s="11"/>
      <c r="D81" s="2">
        <f>0</f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--2728</f>
        <v>2728</v>
      </c>
      <c r="Q81" s="2"/>
      <c r="R81" s="19"/>
      <c r="S81" s="2"/>
      <c r="T81" s="2">
        <f>--3840</f>
        <v>3840</v>
      </c>
      <c r="U81" s="2"/>
      <c r="V81" s="19"/>
      <c r="W81" s="2"/>
      <c r="X81" s="2">
        <f t="shared" si="2"/>
        <v>-1112</v>
      </c>
      <c r="Y81" s="2"/>
      <c r="Z81" s="19">
        <f t="shared" si="3"/>
        <v>-0.28958333333333336</v>
      </c>
    </row>
    <row r="82" spans="1:26" s="24" customFormat="1" hidden="1" outlineLevel="1" x14ac:dyDescent="0.25">
      <c r="A82" s="44"/>
      <c r="B82" s="11" t="str">
        <f>CONCATENATE("          ", "4185", " - ", "NON-TAXABLE SALES-SOFTWARE")</f>
        <v xml:space="preserve">          4185 - NON-TAXABLE SALES-SOFTWARE</v>
      </c>
      <c r="C82" s="11"/>
      <c r="D82" s="2">
        <f>--4176.74</f>
        <v>4176.74</v>
      </c>
      <c r="E82" s="2"/>
      <c r="F82" s="19"/>
      <c r="G82" s="2"/>
      <c r="H82" s="2">
        <f>--786.98</f>
        <v>786.98</v>
      </c>
      <c r="I82" s="2"/>
      <c r="J82" s="19"/>
      <c r="K82" s="2"/>
      <c r="L82" s="2">
        <f t="shared" si="0"/>
        <v>3389.7599999999998</v>
      </c>
      <c r="M82" s="2"/>
      <c r="N82" s="19">
        <f t="shared" si="1"/>
        <v>4.3073013291316169</v>
      </c>
      <c r="O82" s="11"/>
      <c r="P82" s="2">
        <f>--20524.35</f>
        <v>20524.349999999999</v>
      </c>
      <c r="Q82" s="2"/>
      <c r="R82" s="19"/>
      <c r="S82" s="2"/>
      <c r="T82" s="2">
        <f>--6566.76</f>
        <v>6566.76</v>
      </c>
      <c r="U82" s="2"/>
      <c r="V82" s="19"/>
      <c r="W82" s="2"/>
      <c r="X82" s="2">
        <f t="shared" si="2"/>
        <v>13957.589999999998</v>
      </c>
      <c r="Y82" s="2"/>
      <c r="Z82" s="19">
        <f t="shared" si="3"/>
        <v>2.1254911097710285</v>
      </c>
    </row>
    <row r="83" spans="1:26" s="24" customFormat="1" hidden="1" outlineLevel="1" x14ac:dyDescent="0.25">
      <c r="A83" s="44"/>
      <c r="B83" s="11" t="str">
        <f>CONCATENATE("          ", "4186", " - ", "NON-TAXABLE SALES-COMPUTER SUP")</f>
        <v xml:space="preserve">          4186 - NON-TAXABLE SALES-COMPUTER SUP</v>
      </c>
      <c r="C83" s="11"/>
      <c r="D83" s="2">
        <f>--85.95</f>
        <v>85.95</v>
      </c>
      <c r="E83" s="2"/>
      <c r="F83" s="19"/>
      <c r="G83" s="2"/>
      <c r="H83" s="2">
        <f>--139.93</f>
        <v>139.93</v>
      </c>
      <c r="I83" s="2"/>
      <c r="J83" s="19"/>
      <c r="K83" s="2"/>
      <c r="L83" s="2">
        <f t="shared" si="0"/>
        <v>-53.980000000000004</v>
      </c>
      <c r="M83" s="2"/>
      <c r="N83" s="19">
        <f t="shared" si="1"/>
        <v>-0.38576431072679196</v>
      </c>
      <c r="O83" s="11"/>
      <c r="P83" s="2">
        <f>--2895.11</f>
        <v>2895.11</v>
      </c>
      <c r="Q83" s="2"/>
      <c r="R83" s="19"/>
      <c r="S83" s="2"/>
      <c r="T83" s="2">
        <f>--5990.67</f>
        <v>5990.67</v>
      </c>
      <c r="U83" s="2"/>
      <c r="V83" s="19"/>
      <c r="W83" s="2"/>
      <c r="X83" s="2">
        <f t="shared" si="2"/>
        <v>-3095.56</v>
      </c>
      <c r="Y83" s="2"/>
      <c r="Z83" s="19">
        <f t="shared" si="3"/>
        <v>-0.5167301820998319</v>
      </c>
    </row>
    <row r="84" spans="1:26" s="24" customFormat="1" hidden="1" outlineLevel="1" x14ac:dyDescent="0.25">
      <c r="A84" s="44"/>
      <c r="B84" s="11" t="str">
        <f>CONCATENATE("          ", "4188", " - ", "NON-TAXABLE SALES-MUSIC")</f>
        <v xml:space="preserve">          4188 - NON-TAXABLE SALES-MUSIC</v>
      </c>
      <c r="C84" s="11"/>
      <c r="D84" s="2">
        <f>--123.98</f>
        <v>123.98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123.98</v>
      </c>
      <c r="M84" s="2"/>
      <c r="N84" s="19">
        <f t="shared" si="1"/>
        <v>0</v>
      </c>
      <c r="O84" s="11"/>
      <c r="P84" s="2">
        <f>--343.94</f>
        <v>343.94</v>
      </c>
      <c r="Q84" s="2"/>
      <c r="R84" s="19"/>
      <c r="S84" s="2"/>
      <c r="T84" s="2">
        <f>--199.98</f>
        <v>199.98</v>
      </c>
      <c r="U84" s="2"/>
      <c r="V84" s="19"/>
      <c r="W84" s="2"/>
      <c r="X84" s="2">
        <f t="shared" si="2"/>
        <v>143.96</v>
      </c>
      <c r="Y84" s="2"/>
      <c r="Z84" s="19">
        <f t="shared" si="3"/>
        <v>0.71987198719871992</v>
      </c>
    </row>
    <row r="85" spans="1:26" s="24" customFormat="1" hidden="1" outlineLevel="1" x14ac:dyDescent="0.25">
      <c r="A85" s="44"/>
      <c r="B85" s="11" t="str">
        <f>CONCATENATE("          ", "4192", " - ", "NON-TAXABLE SALES-GRAD MERCH")</f>
        <v xml:space="preserve">          4192 - NON-TAXABLE SALES-GRAD MERCH</v>
      </c>
      <c r="C85" s="11"/>
      <c r="D85" s="2">
        <f>--119.4</f>
        <v>119.4</v>
      </c>
      <c r="E85" s="2"/>
      <c r="F85" s="19"/>
      <c r="G85" s="2"/>
      <c r="H85" s="2">
        <f>-0.75</f>
        <v>-0.75</v>
      </c>
      <c r="I85" s="2"/>
      <c r="J85" s="19"/>
      <c r="K85" s="2"/>
      <c r="L85" s="2">
        <f t="shared" si="0"/>
        <v>120.15</v>
      </c>
      <c r="M85" s="2"/>
      <c r="N85" s="19">
        <f t="shared" si="1"/>
        <v>-160.20000000000002</v>
      </c>
      <c r="O85" s="11"/>
      <c r="P85" s="2">
        <f>--119.4</f>
        <v>119.4</v>
      </c>
      <c r="Q85" s="2"/>
      <c r="R85" s="19"/>
      <c r="S85" s="2"/>
      <c r="T85" s="2">
        <f>--531.25</f>
        <v>531.25</v>
      </c>
      <c r="U85" s="2"/>
      <c r="V85" s="19"/>
      <c r="W85" s="2"/>
      <c r="X85" s="2">
        <f t="shared" si="2"/>
        <v>-411.85</v>
      </c>
      <c r="Y85" s="2"/>
      <c r="Z85" s="19">
        <f t="shared" si="3"/>
        <v>-0.7752470588235294</v>
      </c>
    </row>
    <row r="86" spans="1:26" s="24" customFormat="1" hidden="1" outlineLevel="1" x14ac:dyDescent="0.25">
      <c r="A86" s="44"/>
      <c r="B86" s="11" t="str">
        <f>CONCATENATE("          ", "4201", " - ", "SALES RETURN TAXABLE-NEW TEXT")</f>
        <v xml:space="preserve">          4201 - SALES RETURN TAXABLE-NEW TEXT</v>
      </c>
      <c r="C86" s="11"/>
      <c r="D86" s="2">
        <f>-228.6</f>
        <v>-228.6</v>
      </c>
      <c r="E86" s="2"/>
      <c r="F86" s="19"/>
      <c r="G86" s="2"/>
      <c r="H86" s="2">
        <f>-3052.25</f>
        <v>-3052.25</v>
      </c>
      <c r="I86" s="2"/>
      <c r="J86" s="19"/>
      <c r="K86" s="2"/>
      <c r="L86" s="2">
        <f t="shared" si="0"/>
        <v>2823.65</v>
      </c>
      <c r="M86" s="2"/>
      <c r="N86" s="19">
        <f t="shared" si="1"/>
        <v>-0.92510443115734298</v>
      </c>
      <c r="O86" s="11"/>
      <c r="P86" s="2">
        <f>-121451.61</f>
        <v>-121451.61</v>
      </c>
      <c r="Q86" s="2"/>
      <c r="R86" s="19"/>
      <c r="S86" s="2"/>
      <c r="T86" s="2">
        <f>-178747.85</f>
        <v>-178747.85</v>
      </c>
      <c r="U86" s="2"/>
      <c r="V86" s="19"/>
      <c r="W86" s="2"/>
      <c r="X86" s="2">
        <f t="shared" si="2"/>
        <v>57296.240000000005</v>
      </c>
      <c r="Y86" s="2"/>
      <c r="Z86" s="19">
        <f t="shared" si="3"/>
        <v>-0.32054226106775552</v>
      </c>
    </row>
    <row r="87" spans="1:26" s="24" customFormat="1" hidden="1" outlineLevel="1" x14ac:dyDescent="0.25">
      <c r="A87" s="44"/>
      <c r="B87" s="11" t="str">
        <f>CONCATENATE("          ", "4202", " - ", "SALES RETURN TAXABLE-USED TEXT")</f>
        <v xml:space="preserve">          4202 - SALES RETURN TAXABLE-USED TEXT</v>
      </c>
      <c r="C87" s="11"/>
      <c r="D87" s="2">
        <f>-60.4</f>
        <v>-60.4</v>
      </c>
      <c r="E87" s="2"/>
      <c r="F87" s="19"/>
      <c r="G87" s="2"/>
      <c r="H87" s="2">
        <f>-1655.5</f>
        <v>-1655.5</v>
      </c>
      <c r="I87" s="2"/>
      <c r="J87" s="19"/>
      <c r="K87" s="2"/>
      <c r="L87" s="2">
        <f t="shared" si="0"/>
        <v>1595.1</v>
      </c>
      <c r="M87" s="2"/>
      <c r="N87" s="19">
        <f t="shared" si="1"/>
        <v>-0.96351555421322854</v>
      </c>
      <c r="O87" s="11"/>
      <c r="P87" s="2">
        <f>-45613.11</f>
        <v>-45613.11</v>
      </c>
      <c r="Q87" s="2"/>
      <c r="R87" s="19"/>
      <c r="S87" s="2"/>
      <c r="T87" s="2">
        <f>-47295.45</f>
        <v>-47295.45</v>
      </c>
      <c r="U87" s="2"/>
      <c r="V87" s="19"/>
      <c r="W87" s="2"/>
      <c r="X87" s="2">
        <f t="shared" si="2"/>
        <v>1682.3399999999965</v>
      </c>
      <c r="Y87" s="2"/>
      <c r="Z87" s="19">
        <f t="shared" si="3"/>
        <v>-3.5570863582014688E-2</v>
      </c>
    </row>
    <row r="88" spans="1:26" s="24" customFormat="1" hidden="1" outlineLevel="1" x14ac:dyDescent="0.25">
      <c r="A88" s="44"/>
      <c r="B88" s="11" t="str">
        <f>CONCATENATE("          ", "4203", " - ", "SALES RETURN TAXABLE-RENTAL TE")</f>
        <v xml:space="preserve">          4203 - SALES RETURN TAXABLE-RENTAL TE</v>
      </c>
      <c r="C88" s="11"/>
      <c r="D88" s="2">
        <f t="shared" ref="D88:D93" si="9">0</f>
        <v>0</v>
      </c>
      <c r="E88" s="2"/>
      <c r="F88" s="19"/>
      <c r="G88" s="2"/>
      <c r="H88" s="2">
        <f>0</f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-144.99</f>
        <v>-144.99</v>
      </c>
      <c r="Q88" s="2"/>
      <c r="R88" s="19"/>
      <c r="S88" s="2"/>
      <c r="T88" s="2">
        <f>-1699.5</f>
        <v>-1699.5</v>
      </c>
      <c r="U88" s="2"/>
      <c r="V88" s="19"/>
      <c r="W88" s="2"/>
      <c r="X88" s="2">
        <f t="shared" si="2"/>
        <v>1554.51</v>
      </c>
      <c r="Y88" s="2"/>
      <c r="Z88" s="19">
        <f t="shared" si="3"/>
        <v>-0.9146866725507502</v>
      </c>
    </row>
    <row r="89" spans="1:26" s="24" customFormat="1" hidden="1" outlineLevel="1" x14ac:dyDescent="0.25">
      <c r="A89" s="44"/>
      <c r="B89" s="11" t="str">
        <f>CONCATENATE("          ", "4204", " - ", "SALES RETURN TAXABLE-DIGITAL T")</f>
        <v xml:space="preserve">          4204 - SALES RETURN TAXABLE-DIGITAL T</v>
      </c>
      <c r="C89" s="11"/>
      <c r="D89" s="2">
        <f t="shared" si="9"/>
        <v>0</v>
      </c>
      <c r="E89" s="2"/>
      <c r="F89" s="19"/>
      <c r="G89" s="2"/>
      <c r="H89" s="2">
        <f>-43.25</f>
        <v>-43.25</v>
      </c>
      <c r="I89" s="2"/>
      <c r="J89" s="19"/>
      <c r="K89" s="2"/>
      <c r="L89" s="2">
        <f t="shared" si="0"/>
        <v>43.25</v>
      </c>
      <c r="M89" s="2"/>
      <c r="N89" s="19">
        <f t="shared" si="1"/>
        <v>-1</v>
      </c>
      <c r="O89" s="11"/>
      <c r="P89" s="2">
        <f>-17255.33</f>
        <v>-17255.330000000002</v>
      </c>
      <c r="Q89" s="2"/>
      <c r="R89" s="19"/>
      <c r="S89" s="2"/>
      <c r="T89" s="2">
        <f>-27102.9</f>
        <v>-27102.9</v>
      </c>
      <c r="U89" s="2"/>
      <c r="V89" s="19"/>
      <c r="W89" s="2"/>
      <c r="X89" s="2">
        <f t="shared" si="2"/>
        <v>9847.57</v>
      </c>
      <c r="Y89" s="2"/>
      <c r="Z89" s="19">
        <f t="shared" si="3"/>
        <v>-0.36334008537831741</v>
      </c>
    </row>
    <row r="90" spans="1:26" s="24" customFormat="1" hidden="1" outlineLevel="1" x14ac:dyDescent="0.25">
      <c r="A90" s="44"/>
      <c r="B90" s="11" t="str">
        <f>CONCATENATE("          ", "4213", " - ", "NON-TAXABLE SALES-TRADE BOOKS")</f>
        <v xml:space="preserve">          4213 - NON-TAXABLE SALES-TRADE BOOKS</v>
      </c>
      <c r="C90" s="11"/>
      <c r="D90" s="2">
        <f t="shared" si="9"/>
        <v>0</v>
      </c>
      <c r="E90" s="2"/>
      <c r="F90" s="19"/>
      <c r="G90" s="2"/>
      <c r="H90" s="2">
        <f t="shared" ref="H90:H91" si="10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-2768.67</f>
        <v>-2768.67</v>
      </c>
      <c r="Q90" s="2"/>
      <c r="R90" s="19"/>
      <c r="S90" s="2"/>
      <c r="T90" s="2">
        <f>-1548.35</f>
        <v>-1548.35</v>
      </c>
      <c r="U90" s="2"/>
      <c r="V90" s="19"/>
      <c r="W90" s="2"/>
      <c r="X90" s="2">
        <f t="shared" si="2"/>
        <v>-1220.3200000000002</v>
      </c>
      <c r="Y90" s="2"/>
      <c r="Z90" s="19">
        <f t="shared" si="3"/>
        <v>0.7881422159072563</v>
      </c>
    </row>
    <row r="91" spans="1:26" s="24" customFormat="1" hidden="1" outlineLevel="1" x14ac:dyDescent="0.25">
      <c r="A91" s="44"/>
      <c r="B91" s="11" t="str">
        <f>CONCATENATE("          ", "4214", " - ", "SALES RETURN TAXABLE-REMAINDER")</f>
        <v xml:space="preserve">          4214 - SALES RETURN TAXABLE-REMAINDER</v>
      </c>
      <c r="C91" s="11"/>
      <c r="D91" s="2">
        <f t="shared" si="9"/>
        <v>0</v>
      </c>
      <c r="E91" s="2"/>
      <c r="F91" s="19"/>
      <c r="G91" s="2"/>
      <c r="H91" s="2">
        <f t="shared" si="10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-11.94</f>
        <v>-11.94</v>
      </c>
      <c r="Q91" s="2"/>
      <c r="R91" s="19"/>
      <c r="S91" s="2"/>
      <c r="T91" s="2">
        <f>-19.84</f>
        <v>-19.84</v>
      </c>
      <c r="U91" s="2"/>
      <c r="V91" s="19"/>
      <c r="W91" s="2"/>
      <c r="X91" s="2">
        <f t="shared" si="2"/>
        <v>7.9</v>
      </c>
      <c r="Y91" s="2"/>
      <c r="Z91" s="19">
        <f t="shared" si="3"/>
        <v>-0.39818548387096775</v>
      </c>
    </row>
    <row r="92" spans="1:26" s="24" customFormat="1" hidden="1" outlineLevel="1" x14ac:dyDescent="0.25">
      <c r="A92" s="44"/>
      <c r="B92" s="11" t="str">
        <f>CONCATENATE("          ", "4217", " - ", "NON-TAXABLE SALES-DORM/HOUSEWA")</f>
        <v xml:space="preserve">          4217 - NON-TAXABLE SALES-DORM/HOUSEWA</v>
      </c>
      <c r="C92" s="11"/>
      <c r="D92" s="2">
        <f t="shared" si="9"/>
        <v>0</v>
      </c>
      <c r="E92" s="2"/>
      <c r="F92" s="19"/>
      <c r="G92" s="2"/>
      <c r="H92" s="2">
        <f>-1.49</f>
        <v>-1.49</v>
      </c>
      <c r="I92" s="2"/>
      <c r="J92" s="19"/>
      <c r="K92" s="2"/>
      <c r="L92" s="2">
        <f t="shared" si="0"/>
        <v>1.49</v>
      </c>
      <c r="M92" s="2"/>
      <c r="N92" s="19">
        <f t="shared" si="1"/>
        <v>-1</v>
      </c>
      <c r="O92" s="11"/>
      <c r="P92" s="2">
        <f>-2.98</f>
        <v>-2.98</v>
      </c>
      <c r="Q92" s="2"/>
      <c r="R92" s="19"/>
      <c r="S92" s="2"/>
      <c r="T92" s="2">
        <f>-2.99</f>
        <v>-2.99</v>
      </c>
      <c r="U92" s="2"/>
      <c r="V92" s="19"/>
      <c r="W92" s="2"/>
      <c r="X92" s="2">
        <f t="shared" si="2"/>
        <v>1.0000000000000231E-2</v>
      </c>
      <c r="Y92" s="2"/>
      <c r="Z92" s="19">
        <f t="shared" si="3"/>
        <v>-3.3444816053512477E-3</v>
      </c>
    </row>
    <row r="93" spans="1:26" s="24" customFormat="1" hidden="1" outlineLevel="1" x14ac:dyDescent="0.25">
      <c r="A93" s="44"/>
      <c r="B93" s="11" t="str">
        <f>CONCATENATE("          ", "4218", " - ", "SALES RETURN TAXABLE-STUDY GUI")</f>
        <v xml:space="preserve">          4218 - SALES RETURN TAXABLE-STUDY GUI</v>
      </c>
      <c r="C93" s="11"/>
      <c r="D93" s="2">
        <f t="shared" si="9"/>
        <v>0</v>
      </c>
      <c r="E93" s="2"/>
      <c r="F93" s="19"/>
      <c r="G93" s="2"/>
      <c r="H93" s="2">
        <f t="shared" ref="H93:H94" si="11"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-39.25</f>
        <v>-39.25</v>
      </c>
      <c r="Q93" s="2"/>
      <c r="R93" s="19"/>
      <c r="S93" s="2"/>
      <c r="T93" s="2">
        <f>-67.6</f>
        <v>-67.599999999999994</v>
      </c>
      <c r="U93" s="2"/>
      <c r="V93" s="19"/>
      <c r="W93" s="2"/>
      <c r="X93" s="2">
        <f t="shared" si="2"/>
        <v>28.349999999999994</v>
      </c>
      <c r="Y93" s="2"/>
      <c r="Z93" s="19">
        <f t="shared" si="3"/>
        <v>-0.41937869822485202</v>
      </c>
    </row>
    <row r="94" spans="1:26" s="24" customFormat="1" hidden="1" outlineLevel="1" x14ac:dyDescent="0.25">
      <c r="A94" s="44"/>
      <c r="B94" s="11" t="str">
        <f>CONCATENATE("          ", "4225", " - ", "SALES RETURN TAXABLE-TEST FORM")</f>
        <v xml:space="preserve">          4225 - SALES RETURN TAXABLE-TEST FORM</v>
      </c>
      <c r="C94" s="11"/>
      <c r="D94" s="2">
        <f>-29.5</f>
        <v>-29.5</v>
      </c>
      <c r="E94" s="2"/>
      <c r="F94" s="19"/>
      <c r="G94" s="2"/>
      <c r="H94" s="2">
        <f t="shared" si="11"/>
        <v>0</v>
      </c>
      <c r="I94" s="2"/>
      <c r="J94" s="19"/>
      <c r="K94" s="2"/>
      <c r="L94" s="2">
        <f t="shared" si="0"/>
        <v>-29.5</v>
      </c>
      <c r="M94" s="2"/>
      <c r="N94" s="19">
        <f t="shared" si="1"/>
        <v>0</v>
      </c>
      <c r="O94" s="11"/>
      <c r="P94" s="2">
        <f>-205.91</f>
        <v>-205.91</v>
      </c>
      <c r="Q94" s="2"/>
      <c r="R94" s="19"/>
      <c r="S94" s="2"/>
      <c r="T94" s="2">
        <f>-187.82</f>
        <v>-187.82</v>
      </c>
      <c r="U94" s="2"/>
      <c r="V94" s="19"/>
      <c r="W94" s="2"/>
      <c r="X94" s="2">
        <f t="shared" si="2"/>
        <v>-18.090000000000003</v>
      </c>
      <c r="Y94" s="2"/>
      <c r="Z94" s="19">
        <f t="shared" si="3"/>
        <v>9.6315621339580465E-2</v>
      </c>
    </row>
    <row r="95" spans="1:26" s="24" customFormat="1" hidden="1" outlineLevel="1" x14ac:dyDescent="0.25">
      <c r="A95" s="44"/>
      <c r="B95" s="11" t="str">
        <f>CONCATENATE("          ", "4226", " - ", "SALES RETURN TAXABLE-WRITING I")</f>
        <v xml:space="preserve">          4226 - SALES RETURN TAXABLE-WRITING I</v>
      </c>
      <c r="C95" s="11"/>
      <c r="D95" s="2">
        <f>-159.4</f>
        <v>-159.4</v>
      </c>
      <c r="E95" s="2"/>
      <c r="F95" s="19"/>
      <c r="G95" s="2"/>
      <c r="H95" s="2">
        <f>-51.46</f>
        <v>-51.46</v>
      </c>
      <c r="I95" s="2"/>
      <c r="J95" s="19"/>
      <c r="K95" s="2"/>
      <c r="L95" s="2">
        <f t="shared" si="0"/>
        <v>-107.94</v>
      </c>
      <c r="M95" s="2"/>
      <c r="N95" s="19">
        <f t="shared" si="1"/>
        <v>2.0975514963078119</v>
      </c>
      <c r="O95" s="11"/>
      <c r="P95" s="2">
        <f>-924.44</f>
        <v>-924.44</v>
      </c>
      <c r="Q95" s="2"/>
      <c r="R95" s="19"/>
      <c r="S95" s="2"/>
      <c r="T95" s="2">
        <f>-721.91</f>
        <v>-721.91</v>
      </c>
      <c r="U95" s="2"/>
      <c r="V95" s="19"/>
      <c r="W95" s="2"/>
      <c r="X95" s="2">
        <f t="shared" si="2"/>
        <v>-202.53000000000009</v>
      </c>
      <c r="Y95" s="2"/>
      <c r="Z95" s="19">
        <f t="shared" si="3"/>
        <v>0.28054743666107979</v>
      </c>
    </row>
    <row r="96" spans="1:26" s="24" customFormat="1" hidden="1" outlineLevel="1" x14ac:dyDescent="0.25">
      <c r="A96" s="44"/>
      <c r="B96" s="11" t="str">
        <f>CONCATENATE("          ", "4227", " - ", "SALES RETURN TAXABLE-SCHOOL SU")</f>
        <v xml:space="preserve">          4227 - SALES RETURN TAXABLE-SCHOOL SU</v>
      </c>
      <c r="C96" s="11"/>
      <c r="D96" s="2">
        <f>-53.42</f>
        <v>-53.42</v>
      </c>
      <c r="E96" s="2"/>
      <c r="F96" s="19"/>
      <c r="G96" s="2"/>
      <c r="H96" s="2">
        <f>-315.64</f>
        <v>-315.64</v>
      </c>
      <c r="I96" s="2"/>
      <c r="J96" s="19"/>
      <c r="K96" s="2"/>
      <c r="L96" s="2">
        <f t="shared" si="0"/>
        <v>262.21999999999997</v>
      </c>
      <c r="M96" s="2"/>
      <c r="N96" s="19">
        <f t="shared" si="1"/>
        <v>-0.83075655810416926</v>
      </c>
      <c r="O96" s="11"/>
      <c r="P96" s="2">
        <f>-8647.03</f>
        <v>-8647.0300000000007</v>
      </c>
      <c r="Q96" s="2"/>
      <c r="R96" s="19"/>
      <c r="S96" s="2"/>
      <c r="T96" s="2">
        <f>-6807.47</f>
        <v>-6807.47</v>
      </c>
      <c r="U96" s="2"/>
      <c r="V96" s="19"/>
      <c r="W96" s="2"/>
      <c r="X96" s="2">
        <f t="shared" si="2"/>
        <v>-1839.5600000000004</v>
      </c>
      <c r="Y96" s="2"/>
      <c r="Z96" s="19">
        <f t="shared" si="3"/>
        <v>0.27022667745873286</v>
      </c>
    </row>
    <row r="97" spans="1:26" s="24" customFormat="1" hidden="1" outlineLevel="1" x14ac:dyDescent="0.25">
      <c r="A97" s="44"/>
      <c r="B97" s="11" t="str">
        <f>CONCATENATE("          ", "4228", " - ", "SALES RETURN TAXABLE-ART/TECH")</f>
        <v xml:space="preserve">          4228 - SALES RETURN TAXABLE-ART/TECH</v>
      </c>
      <c r="C97" s="11"/>
      <c r="D97" s="2">
        <f t="shared" ref="D97:D99" si="12">0</f>
        <v>0</v>
      </c>
      <c r="E97" s="2"/>
      <c r="F97" s="19"/>
      <c r="G97" s="2"/>
      <c r="H97" s="2">
        <f>-267.27</f>
        <v>-267.27</v>
      </c>
      <c r="I97" s="2"/>
      <c r="J97" s="19"/>
      <c r="K97" s="2"/>
      <c r="L97" s="2">
        <f t="shared" si="0"/>
        <v>267.27</v>
      </c>
      <c r="M97" s="2"/>
      <c r="N97" s="19">
        <f t="shared" si="1"/>
        <v>-1</v>
      </c>
      <c r="O97" s="11"/>
      <c r="P97" s="2">
        <f>-4739.1</f>
        <v>-4739.1000000000004</v>
      </c>
      <c r="Q97" s="2"/>
      <c r="R97" s="19"/>
      <c r="S97" s="2"/>
      <c r="T97" s="2">
        <f>-8325.28</f>
        <v>-8325.2800000000007</v>
      </c>
      <c r="U97" s="2"/>
      <c r="V97" s="19"/>
      <c r="W97" s="2"/>
      <c r="X97" s="2">
        <f t="shared" si="2"/>
        <v>3586.1800000000003</v>
      </c>
      <c r="Y97" s="2"/>
      <c r="Z97" s="19">
        <f t="shared" si="3"/>
        <v>-0.43075788441950302</v>
      </c>
    </row>
    <row r="98" spans="1:26" s="24" customFormat="1" hidden="1" outlineLevel="1" x14ac:dyDescent="0.25">
      <c r="A98" s="44"/>
      <c r="B98" s="11" t="str">
        <f>CONCATENATE("          ", "4233", " - ", "SALES RETURN TAXABLE-CANDY")</f>
        <v xml:space="preserve">          4233 - SALES RETURN TAXABLE-CANDY</v>
      </c>
      <c r="C98" s="11"/>
      <c r="D98" s="2">
        <f t="shared" si="12"/>
        <v>0</v>
      </c>
      <c r="E98" s="2"/>
      <c r="F98" s="19"/>
      <c r="G98" s="2"/>
      <c r="H98" s="2">
        <f t="shared" ref="H98:H99" si="13"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-8.25</f>
        <v>-8.25</v>
      </c>
      <c r="Q98" s="2"/>
      <c r="R98" s="19"/>
      <c r="S98" s="2"/>
      <c r="T98" s="2">
        <f>-3.58</f>
        <v>-3.58</v>
      </c>
      <c r="U98" s="2"/>
      <c r="V98" s="19"/>
      <c r="W98" s="2"/>
      <c r="X98" s="2">
        <f t="shared" si="2"/>
        <v>-4.67</v>
      </c>
      <c r="Y98" s="2"/>
      <c r="Z98" s="19">
        <f t="shared" si="3"/>
        <v>1.3044692737430168</v>
      </c>
    </row>
    <row r="99" spans="1:26" s="24" customFormat="1" hidden="1" outlineLevel="1" x14ac:dyDescent="0.25">
      <c r="A99" s="44"/>
      <c r="B99" s="11" t="str">
        <f>CONCATENATE("          ", "4234", " - ", "SALES RETURN TAXABLE-SODA")</f>
        <v xml:space="preserve">          4234 - SALES RETURN TAXABLE-SODA</v>
      </c>
      <c r="C99" s="11"/>
      <c r="D99" s="2">
        <f t="shared" si="12"/>
        <v>0</v>
      </c>
      <c r="E99" s="2"/>
      <c r="F99" s="19"/>
      <c r="G99" s="2"/>
      <c r="H99" s="2">
        <f t="shared" si="13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0</f>
        <v>0</v>
      </c>
      <c r="Q99" s="2"/>
      <c r="R99" s="19"/>
      <c r="S99" s="2"/>
      <c r="T99" s="2">
        <f>-5.28</f>
        <v>-5.28</v>
      </c>
      <c r="U99" s="2"/>
      <c r="V99" s="19"/>
      <c r="W99" s="2"/>
      <c r="X99" s="2">
        <f t="shared" si="2"/>
        <v>5.28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"4240", " - ", "SALES RETURN TAXABLE-LOGO CLOT")</f>
        <v xml:space="preserve">          4240 - SALES RETURN TAXABLE-LOGO CLOT</v>
      </c>
      <c r="C100" s="11"/>
      <c r="D100" s="2">
        <f>-3229.58</f>
        <v>-3229.58</v>
      </c>
      <c r="E100" s="2"/>
      <c r="F100" s="19"/>
      <c r="G100" s="2"/>
      <c r="H100" s="2">
        <f>-9632.91</f>
        <v>-9632.91</v>
      </c>
      <c r="I100" s="2"/>
      <c r="J100" s="19"/>
      <c r="K100" s="2"/>
      <c r="L100" s="2">
        <f t="shared" si="0"/>
        <v>6403.33</v>
      </c>
      <c r="M100" s="2"/>
      <c r="N100" s="19">
        <f t="shared" si="1"/>
        <v>-0.66473474785916198</v>
      </c>
      <c r="O100" s="11"/>
      <c r="P100" s="2">
        <f>-77684.77</f>
        <v>-77684.77</v>
      </c>
      <c r="Q100" s="2"/>
      <c r="R100" s="19"/>
      <c r="S100" s="2"/>
      <c r="T100" s="2">
        <f>-93504.03</f>
        <v>-93504.03</v>
      </c>
      <c r="U100" s="2"/>
      <c r="V100" s="19"/>
      <c r="W100" s="2"/>
      <c r="X100" s="2">
        <f t="shared" si="2"/>
        <v>15819.259999999995</v>
      </c>
      <c r="Y100" s="2"/>
      <c r="Z100" s="19">
        <f t="shared" si="3"/>
        <v>-0.16918265448024</v>
      </c>
    </row>
    <row r="101" spans="1:26" s="24" customFormat="1" hidden="1" outlineLevel="1" x14ac:dyDescent="0.25">
      <c r="A101" s="44"/>
      <c r="B101" s="11" t="str">
        <f>CONCATENATE("          ", "4241", " - ", "SALES RETURN TAXABLE-LOGO GIFT")</f>
        <v xml:space="preserve">          4241 - SALES RETURN TAXABLE-LOGO GIFT</v>
      </c>
      <c r="C101" s="11"/>
      <c r="D101" s="2">
        <f>-1133.39</f>
        <v>-1133.3900000000001</v>
      </c>
      <c r="E101" s="2"/>
      <c r="F101" s="19"/>
      <c r="G101" s="2"/>
      <c r="H101" s="2">
        <f>-4520.99</f>
        <v>-4520.99</v>
      </c>
      <c r="I101" s="2"/>
      <c r="J101" s="19"/>
      <c r="K101" s="2"/>
      <c r="L101" s="2">
        <f t="shared" si="0"/>
        <v>3387.5999999999995</v>
      </c>
      <c r="M101" s="2"/>
      <c r="N101" s="19">
        <f t="shared" si="1"/>
        <v>-0.74930490888057699</v>
      </c>
      <c r="O101" s="11"/>
      <c r="P101" s="2">
        <f>-7465.27</f>
        <v>-7465.27</v>
      </c>
      <c r="Q101" s="2"/>
      <c r="R101" s="19"/>
      <c r="S101" s="2"/>
      <c r="T101" s="2">
        <f>-15308.04</f>
        <v>-15308.04</v>
      </c>
      <c r="U101" s="2"/>
      <c r="V101" s="19"/>
      <c r="W101" s="2"/>
      <c r="X101" s="2">
        <f t="shared" si="2"/>
        <v>7842.77</v>
      </c>
      <c r="Y101" s="2"/>
      <c r="Z101" s="19">
        <f t="shared" si="3"/>
        <v>-0.51233012194898886</v>
      </c>
    </row>
    <row r="102" spans="1:26" s="24" customFormat="1" hidden="1" outlineLevel="1" x14ac:dyDescent="0.25">
      <c r="A102" s="44"/>
      <c r="B102" s="11" t="str">
        <f>CONCATENATE("          ", "4242", " - ", "SALES RETURN TAXABLE-EVERYDAY")</f>
        <v xml:space="preserve">          4242 - SALES RETURN TAXABLE-EVERYDAY</v>
      </c>
      <c r="C102" s="11"/>
      <c r="D102" s="2">
        <f t="shared" ref="D102:D103" si="14">0</f>
        <v>0</v>
      </c>
      <c r="E102" s="2"/>
      <c r="F102" s="19"/>
      <c r="G102" s="2"/>
      <c r="H102" s="2">
        <f>-769.19</f>
        <v>-769.19</v>
      </c>
      <c r="I102" s="2"/>
      <c r="J102" s="19"/>
      <c r="K102" s="2"/>
      <c r="L102" s="2">
        <f t="shared" si="0"/>
        <v>769.19</v>
      </c>
      <c r="M102" s="2"/>
      <c r="N102" s="19">
        <f t="shared" si="1"/>
        <v>-1</v>
      </c>
      <c r="O102" s="11"/>
      <c r="P102" s="2">
        <f>-4181.41</f>
        <v>-4181.41</v>
      </c>
      <c r="Q102" s="2"/>
      <c r="R102" s="19"/>
      <c r="S102" s="2"/>
      <c r="T102" s="2">
        <f>-5008.37</f>
        <v>-5008.37</v>
      </c>
      <c r="U102" s="2"/>
      <c r="V102" s="19"/>
      <c r="W102" s="2"/>
      <c r="X102" s="2">
        <f t="shared" si="2"/>
        <v>826.96</v>
      </c>
      <c r="Y102" s="2"/>
      <c r="Z102" s="19">
        <f t="shared" si="3"/>
        <v>-0.16511559649147328</v>
      </c>
    </row>
    <row r="103" spans="1:26" s="24" customFormat="1" hidden="1" outlineLevel="1" x14ac:dyDescent="0.25">
      <c r="A103" s="44"/>
      <c r="B103" s="11" t="str">
        <f>CONCATENATE("          ", "4243", " - ", "SALES RETURN TAXABLE-CARDS")</f>
        <v xml:space="preserve">          4243 - SALES RETURN TAXABLE-CARDS</v>
      </c>
      <c r="C103" s="11"/>
      <c r="D103" s="2">
        <f t="shared" si="14"/>
        <v>0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-3006.31</f>
        <v>-3006.31</v>
      </c>
      <c r="Q103" s="2"/>
      <c r="R103" s="19"/>
      <c r="S103" s="2"/>
      <c r="T103" s="2">
        <f>-25.94</f>
        <v>-25.94</v>
      </c>
      <c r="U103" s="2"/>
      <c r="V103" s="19"/>
      <c r="W103" s="2"/>
      <c r="X103" s="2">
        <f t="shared" si="2"/>
        <v>-2980.37</v>
      </c>
      <c r="Y103" s="2"/>
      <c r="Z103" s="19">
        <f t="shared" si="3"/>
        <v>114.89475713184271</v>
      </c>
    </row>
    <row r="104" spans="1:26" s="24" customFormat="1" hidden="1" outlineLevel="1" x14ac:dyDescent="0.25">
      <c r="A104" s="44"/>
      <c r="B104" s="11" t="str">
        <f>CONCATENATE("          ", "4244", " - ", "SALES RETURN TAXABLE-ACCESSORI")</f>
        <v xml:space="preserve">          4244 - SALES RETURN TAXABLE-ACCESSORI</v>
      </c>
      <c r="C104" s="11"/>
      <c r="D104" s="2">
        <f>-255.71</f>
        <v>-255.71</v>
      </c>
      <c r="E104" s="2"/>
      <c r="F104" s="19"/>
      <c r="G104" s="2"/>
      <c r="H104" s="2">
        <f>-146.8</f>
        <v>-146.80000000000001</v>
      </c>
      <c r="I104" s="2"/>
      <c r="J104" s="19"/>
      <c r="K104" s="2"/>
      <c r="L104" s="2">
        <f t="shared" si="0"/>
        <v>-108.91</v>
      </c>
      <c r="M104" s="2"/>
      <c r="N104" s="19">
        <f t="shared" si="1"/>
        <v>0.74189373297002714</v>
      </c>
      <c r="O104" s="11"/>
      <c r="P104" s="2">
        <f>-2726.41</f>
        <v>-2726.41</v>
      </c>
      <c r="Q104" s="2"/>
      <c r="R104" s="19"/>
      <c r="S104" s="2"/>
      <c r="T104" s="2">
        <f>-3976.02</f>
        <v>-3976.02</v>
      </c>
      <c r="U104" s="2"/>
      <c r="V104" s="19"/>
      <c r="W104" s="2"/>
      <c r="X104" s="2">
        <f t="shared" si="2"/>
        <v>1249.6100000000001</v>
      </c>
      <c r="Y104" s="2"/>
      <c r="Z104" s="19">
        <f t="shared" si="3"/>
        <v>-0.31428664845750276</v>
      </c>
    </row>
    <row r="105" spans="1:26" s="24" customFormat="1" hidden="1" outlineLevel="1" x14ac:dyDescent="0.25">
      <c r="A105" s="44"/>
      <c r="B105" s="11" t="str">
        <f>CONCATENATE("          ", "4245", " - ", "SALES RETURN TAXABLE-SPECIAL O")</f>
        <v xml:space="preserve">          4245 - SALES RETURN TAXABLE-SPECIAL O</v>
      </c>
      <c r="C105" s="11"/>
      <c r="D105" s="2">
        <f>-175</f>
        <v>-175</v>
      </c>
      <c r="E105" s="2"/>
      <c r="F105" s="19"/>
      <c r="G105" s="2"/>
      <c r="H105" s="2">
        <f>-1158.8</f>
        <v>-1158.8</v>
      </c>
      <c r="I105" s="2"/>
      <c r="J105" s="19"/>
      <c r="K105" s="2"/>
      <c r="L105" s="2">
        <f t="shared" si="0"/>
        <v>983.8</v>
      </c>
      <c r="M105" s="2"/>
      <c r="N105" s="19">
        <f t="shared" si="1"/>
        <v>-0.84898170521228855</v>
      </c>
      <c r="O105" s="11"/>
      <c r="P105" s="2">
        <f>-1910.03</f>
        <v>-1910.03</v>
      </c>
      <c r="Q105" s="2"/>
      <c r="R105" s="19"/>
      <c r="S105" s="2"/>
      <c r="T105" s="2">
        <f>-1910.72</f>
        <v>-1910.72</v>
      </c>
      <c r="U105" s="2"/>
      <c r="V105" s="19"/>
      <c r="W105" s="2"/>
      <c r="X105" s="2">
        <f t="shared" si="2"/>
        <v>0.69000000000005457</v>
      </c>
      <c r="Y105" s="2"/>
      <c r="Z105" s="19">
        <f t="shared" si="3"/>
        <v>-3.6112041534084249E-4</v>
      </c>
    </row>
    <row r="106" spans="1:26" s="24" customFormat="1" hidden="1" outlineLevel="1" x14ac:dyDescent="0.25">
      <c r="A106" s="44"/>
      <c r="B106" s="11" t="str">
        <f>CONCATENATE("          ", "4281", " - ", "SALES RETURN TAXABLE-ELECTRONI")</f>
        <v xml:space="preserve">          4281 - SALES RETURN TAXABLE-ELECTRONI</v>
      </c>
      <c r="C106" s="11"/>
      <c r="D106" s="2">
        <f>-159</f>
        <v>-159</v>
      </c>
      <c r="E106" s="2"/>
      <c r="F106" s="19"/>
      <c r="G106" s="2"/>
      <c r="H106" s="2">
        <f>-335.94</f>
        <v>-335.94</v>
      </c>
      <c r="I106" s="2"/>
      <c r="J106" s="19"/>
      <c r="K106" s="2"/>
      <c r="L106" s="2">
        <f t="shared" si="0"/>
        <v>176.94</v>
      </c>
      <c r="M106" s="2"/>
      <c r="N106" s="19">
        <f t="shared" si="1"/>
        <v>-0.52670119664225756</v>
      </c>
      <c r="O106" s="11"/>
      <c r="P106" s="2">
        <f>-7995.67</f>
        <v>-7995.67</v>
      </c>
      <c r="Q106" s="2"/>
      <c r="R106" s="19"/>
      <c r="S106" s="2"/>
      <c r="T106" s="2">
        <f>-7467.68</f>
        <v>-7467.68</v>
      </c>
      <c r="U106" s="2"/>
      <c r="V106" s="19"/>
      <c r="W106" s="2"/>
      <c r="X106" s="2">
        <f t="shared" si="2"/>
        <v>-527.98999999999978</v>
      </c>
      <c r="Y106" s="2"/>
      <c r="Z106" s="19">
        <f t="shared" si="3"/>
        <v>7.0703350973796375E-2</v>
      </c>
    </row>
    <row r="107" spans="1:26" s="24" customFormat="1" hidden="1" outlineLevel="1" x14ac:dyDescent="0.25">
      <c r="A107" s="44"/>
      <c r="B107" s="11" t="str">
        <f>CONCATENATE("          ", "4282", " - ", "SALES RETURN TAXABLE-COMPUTER")</f>
        <v xml:space="preserve">          4282 - SALES RETURN TAXABLE-COMPUTER</v>
      </c>
      <c r="C107" s="11"/>
      <c r="D107" s="2">
        <f>-183</f>
        <v>-183</v>
      </c>
      <c r="E107" s="2"/>
      <c r="F107" s="19"/>
      <c r="G107" s="2"/>
      <c r="H107" s="2">
        <f>-5989.01</f>
        <v>-5989.01</v>
      </c>
      <c r="I107" s="2"/>
      <c r="J107" s="19"/>
      <c r="K107" s="2"/>
      <c r="L107" s="2">
        <f t="shared" si="0"/>
        <v>5806.01</v>
      </c>
      <c r="M107" s="2"/>
      <c r="N107" s="19">
        <f t="shared" si="1"/>
        <v>-0.96944403165130799</v>
      </c>
      <c r="O107" s="11"/>
      <c r="P107" s="2">
        <f>-215628.8</f>
        <v>-215628.79999999999</v>
      </c>
      <c r="Q107" s="2"/>
      <c r="R107" s="19"/>
      <c r="S107" s="2"/>
      <c r="T107" s="2">
        <f>-72352.83</f>
        <v>-72352.83</v>
      </c>
      <c r="U107" s="2"/>
      <c r="V107" s="19"/>
      <c r="W107" s="2"/>
      <c r="X107" s="2">
        <f t="shared" si="2"/>
        <v>-143275.96999999997</v>
      </c>
      <c r="Y107" s="2"/>
      <c r="Z107" s="19">
        <f t="shared" si="3"/>
        <v>1.9802400265476827</v>
      </c>
    </row>
    <row r="108" spans="1:26" s="24" customFormat="1" hidden="1" outlineLevel="1" x14ac:dyDescent="0.25">
      <c r="A108" s="44"/>
      <c r="B108" s="11" t="str">
        <f>CONCATENATE("          ", "4283", " - ", "SALES RETURN TAXABLE-COMPUTER")</f>
        <v xml:space="preserve">          4283 - SALES RETURN TAXABLE-COMPUTER</v>
      </c>
      <c r="C108" s="11"/>
      <c r="D108" s="2">
        <f>-119</f>
        <v>-119</v>
      </c>
      <c r="E108" s="2"/>
      <c r="F108" s="19"/>
      <c r="G108" s="2"/>
      <c r="H108" s="2">
        <f>-182.97</f>
        <v>-182.97</v>
      </c>
      <c r="I108" s="2"/>
      <c r="J108" s="19"/>
      <c r="K108" s="2"/>
      <c r="L108" s="2">
        <f t="shared" si="0"/>
        <v>63.97</v>
      </c>
      <c r="M108" s="2"/>
      <c r="N108" s="19">
        <f t="shared" si="1"/>
        <v>-0.34962015630977755</v>
      </c>
      <c r="O108" s="11"/>
      <c r="P108" s="2">
        <f>-6708.02</f>
        <v>-6708.02</v>
      </c>
      <c r="Q108" s="2"/>
      <c r="R108" s="19"/>
      <c r="S108" s="2"/>
      <c r="T108" s="2">
        <f>-7498.73</f>
        <v>-7498.73</v>
      </c>
      <c r="U108" s="2"/>
      <c r="V108" s="19"/>
      <c r="W108" s="2"/>
      <c r="X108" s="2">
        <f t="shared" si="2"/>
        <v>790.70999999999913</v>
      </c>
      <c r="Y108" s="2"/>
      <c r="Z108" s="19">
        <f t="shared" si="3"/>
        <v>-0.10544585549819759</v>
      </c>
    </row>
    <row r="109" spans="1:26" s="24" customFormat="1" hidden="1" outlineLevel="1" x14ac:dyDescent="0.25">
      <c r="A109" s="44"/>
      <c r="B109" s="11" t="str">
        <f>CONCATENATE("          ", "4284", " - ", "SALES RETURN TAXABLE-SOFTWARE")</f>
        <v xml:space="preserve">          4284 - SALES RETURN TAXABLE-SOFTWARE</v>
      </c>
      <c r="C109" s="11"/>
      <c r="D109" s="2">
        <f t="shared" ref="D109:D111" si="15">0</f>
        <v>0</v>
      </c>
      <c r="E109" s="2"/>
      <c r="F109" s="19"/>
      <c r="G109" s="2"/>
      <c r="H109" s="2">
        <f t="shared" ref="H109:H110" si="16">0</f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-129</f>
        <v>-129</v>
      </c>
      <c r="Q109" s="2"/>
      <c r="R109" s="19"/>
      <c r="S109" s="2"/>
      <c r="T109" s="2">
        <f>0</f>
        <v>0</v>
      </c>
      <c r="U109" s="2"/>
      <c r="V109" s="19"/>
      <c r="W109" s="2"/>
      <c r="X109" s="2">
        <f t="shared" si="2"/>
        <v>-129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"4285", " - ", "SALES RETURN TAXABLE-SOFTWARE")</f>
        <v xml:space="preserve">          4285 - SALES RETURN TAXABLE-SOFTWARE</v>
      </c>
      <c r="C110" s="11"/>
      <c r="D110" s="2">
        <f t="shared" si="15"/>
        <v>0</v>
      </c>
      <c r="E110" s="2"/>
      <c r="F110" s="19"/>
      <c r="G110" s="2"/>
      <c r="H110" s="2">
        <f t="shared" si="16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-805.97</f>
        <v>-805.97</v>
      </c>
      <c r="Q110" s="2"/>
      <c r="R110" s="19"/>
      <c r="S110" s="2"/>
      <c r="T110" s="2">
        <f>-725.94</f>
        <v>-725.94</v>
      </c>
      <c r="U110" s="2"/>
      <c r="V110" s="19"/>
      <c r="W110" s="2"/>
      <c r="X110" s="2">
        <f t="shared" si="2"/>
        <v>-80.029999999999973</v>
      </c>
      <c r="Y110" s="2"/>
      <c r="Z110" s="19">
        <f t="shared" si="3"/>
        <v>0.11024327079372946</v>
      </c>
    </row>
    <row r="111" spans="1:26" s="24" customFormat="1" hidden="1" outlineLevel="1" x14ac:dyDescent="0.25">
      <c r="A111" s="44"/>
      <c r="B111" s="11" t="str">
        <f>CONCATENATE("          ", "4286", " - ", "SALES RETURN TAXABLE-COMPUTER")</f>
        <v xml:space="preserve">          4286 - SALES RETURN TAXABLE-COMPUTER</v>
      </c>
      <c r="C111" s="11"/>
      <c r="D111" s="2">
        <f t="shared" si="15"/>
        <v>0</v>
      </c>
      <c r="E111" s="2"/>
      <c r="F111" s="19"/>
      <c r="G111" s="2"/>
      <c r="H111" s="2">
        <f>-742.63</f>
        <v>-742.63</v>
      </c>
      <c r="I111" s="2"/>
      <c r="J111" s="19"/>
      <c r="K111" s="2"/>
      <c r="L111" s="2">
        <f t="shared" si="0"/>
        <v>742.63</v>
      </c>
      <c r="M111" s="2"/>
      <c r="N111" s="19">
        <f t="shared" si="1"/>
        <v>-1</v>
      </c>
      <c r="O111" s="11"/>
      <c r="P111" s="2">
        <f>-3660.86</f>
        <v>-3660.86</v>
      </c>
      <c r="Q111" s="2"/>
      <c r="R111" s="19"/>
      <c r="S111" s="2"/>
      <c r="T111" s="2">
        <f>-5533.86</f>
        <v>-5533.86</v>
      </c>
      <c r="U111" s="2"/>
      <c r="V111" s="19"/>
      <c r="W111" s="2"/>
      <c r="X111" s="2">
        <f t="shared" si="2"/>
        <v>1872.9999999999995</v>
      </c>
      <c r="Y111" s="2"/>
      <c r="Z111" s="19">
        <f t="shared" si="3"/>
        <v>-0.33846176086854379</v>
      </c>
    </row>
    <row r="112" spans="1:26" s="24" customFormat="1" hidden="1" outlineLevel="1" x14ac:dyDescent="0.25">
      <c r="A112" s="44"/>
      <c r="B112" s="11" t="str">
        <f>CONCATENATE("          ", "4288", " - ", "TAXABLE SALES RETURN-MUSIC")</f>
        <v xml:space="preserve">          4288 - TAXABLE SALES RETURN-MUSIC</v>
      </c>
      <c r="C112" s="11"/>
      <c r="D112" s="2">
        <f>-149</f>
        <v>-149</v>
      </c>
      <c r="E112" s="2"/>
      <c r="F112" s="19"/>
      <c r="G112" s="2"/>
      <c r="H112" s="2">
        <f>-47.99</f>
        <v>-47.99</v>
      </c>
      <c r="I112" s="2"/>
      <c r="J112" s="19"/>
      <c r="K112" s="2"/>
      <c r="L112" s="2">
        <f t="shared" si="0"/>
        <v>-101.00999999999999</v>
      </c>
      <c r="M112" s="2"/>
      <c r="N112" s="19">
        <f t="shared" si="1"/>
        <v>2.1048135028130859</v>
      </c>
      <c r="O112" s="11"/>
      <c r="P112" s="2">
        <f>-152.99</f>
        <v>-152.99</v>
      </c>
      <c r="Q112" s="2"/>
      <c r="R112" s="19"/>
      <c r="S112" s="2"/>
      <c r="T112" s="2">
        <f>-64.98</f>
        <v>-64.98</v>
      </c>
      <c r="U112" s="2"/>
      <c r="V112" s="19"/>
      <c r="W112" s="2"/>
      <c r="X112" s="2">
        <f t="shared" si="2"/>
        <v>-88.01</v>
      </c>
      <c r="Y112" s="2"/>
      <c r="Z112" s="19">
        <f t="shared" si="3"/>
        <v>1.3544167436134196</v>
      </c>
    </row>
    <row r="113" spans="1:26" s="24" customFormat="1" hidden="1" outlineLevel="1" x14ac:dyDescent="0.25">
      <c r="A113" s="44"/>
      <c r="B113" s="11" t="str">
        <f>CONCATENATE("          ", "4292", " - ", "SALES RETURN TAXABLE-GRAD MERC")</f>
        <v xml:space="preserve">          4292 - SALES RETURN TAXABLE-GRAD MERC</v>
      </c>
      <c r="C113" s="11"/>
      <c r="D113" s="2">
        <f>-64.89</f>
        <v>-64.89</v>
      </c>
      <c r="E113" s="2"/>
      <c r="F113" s="19"/>
      <c r="G113" s="2"/>
      <c r="H113" s="2">
        <f>-4549.35</f>
        <v>-4549.3500000000004</v>
      </c>
      <c r="I113" s="2"/>
      <c r="J113" s="19"/>
      <c r="K113" s="2"/>
      <c r="L113" s="2">
        <f t="shared" si="0"/>
        <v>4484.46</v>
      </c>
      <c r="M113" s="2"/>
      <c r="N113" s="19">
        <f t="shared" si="1"/>
        <v>-0.98573642388473071</v>
      </c>
      <c r="O113" s="11"/>
      <c r="P113" s="2">
        <f>-578.84</f>
        <v>-578.84</v>
      </c>
      <c r="Q113" s="2"/>
      <c r="R113" s="19"/>
      <c r="S113" s="2"/>
      <c r="T113" s="2">
        <f>-8512.31</f>
        <v>-8512.31</v>
      </c>
      <c r="U113" s="2"/>
      <c r="V113" s="19"/>
      <c r="W113" s="2"/>
      <c r="X113" s="2">
        <f t="shared" si="2"/>
        <v>7933.4699999999993</v>
      </c>
      <c r="Y113" s="2"/>
      <c r="Z113" s="19">
        <f t="shared" si="3"/>
        <v>-0.93199965696738019</v>
      </c>
    </row>
    <row r="114" spans="1:26" s="24" customFormat="1" hidden="1" outlineLevel="1" x14ac:dyDescent="0.25">
      <c r="A114" s="44"/>
      <c r="B114" s="11" t="str">
        <f>CONCATENATE("          ", "4295", " - ", "SALES RETURN TAXABLE-CUSTOMER")</f>
        <v xml:space="preserve">          4295 - SALES RETURN TAXABLE-CUSTOMER</v>
      </c>
      <c r="C114" s="11"/>
      <c r="D114" s="2">
        <f>0</f>
        <v>0</v>
      </c>
      <c r="E114" s="2"/>
      <c r="F114" s="19"/>
      <c r="G114" s="2"/>
      <c r="H114" s="2">
        <f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--0.99</f>
        <v>0.99</v>
      </c>
      <c r="Q114" s="2"/>
      <c r="R114" s="19"/>
      <c r="S114" s="2"/>
      <c r="T114" s="2">
        <f>-126.72</f>
        <v>-126.72</v>
      </c>
      <c r="U114" s="2"/>
      <c r="V114" s="19"/>
      <c r="W114" s="2"/>
      <c r="X114" s="2">
        <f t="shared" si="2"/>
        <v>127.71</v>
      </c>
      <c r="Y114" s="2"/>
      <c r="Z114" s="19">
        <f t="shared" si="3"/>
        <v>-1.0078125</v>
      </c>
    </row>
    <row r="115" spans="1:26" s="24" customFormat="1" hidden="1" outlineLevel="1" x14ac:dyDescent="0.25">
      <c r="A115" s="44"/>
      <c r="B115" s="11" t="str">
        <f>CONCATENATE("          ", "4301", " - ", "SALES RETURN NON TAXABLE-NEW T")</f>
        <v xml:space="preserve">          4301 - SALES RETURN NON TAXABLE-NEW T</v>
      </c>
      <c r="C115" s="11"/>
      <c r="D115" s="2">
        <f>-5710.44</f>
        <v>-5710.44</v>
      </c>
      <c r="E115" s="2"/>
      <c r="F115" s="19"/>
      <c r="G115" s="2"/>
      <c r="H115" s="2">
        <f>-1917.11</f>
        <v>-1917.11</v>
      </c>
      <c r="I115" s="2"/>
      <c r="J115" s="19"/>
      <c r="K115" s="2"/>
      <c r="L115" s="2">
        <f t="shared" si="0"/>
        <v>-3793.33</v>
      </c>
      <c r="M115" s="2"/>
      <c r="N115" s="19">
        <f t="shared" si="1"/>
        <v>1.9786710204422282</v>
      </c>
      <c r="O115" s="11"/>
      <c r="P115" s="2">
        <f>-21289.87</f>
        <v>-21289.87</v>
      </c>
      <c r="Q115" s="2"/>
      <c r="R115" s="19"/>
      <c r="S115" s="2"/>
      <c r="T115" s="2">
        <f>-51488.2</f>
        <v>-51488.2</v>
      </c>
      <c r="U115" s="2"/>
      <c r="V115" s="19"/>
      <c r="W115" s="2"/>
      <c r="X115" s="2">
        <f t="shared" si="2"/>
        <v>30198.329999999998</v>
      </c>
      <c r="Y115" s="2"/>
      <c r="Z115" s="19">
        <f t="shared" si="3"/>
        <v>-0.58650972455824835</v>
      </c>
    </row>
    <row r="116" spans="1:26" s="24" customFormat="1" hidden="1" outlineLevel="1" x14ac:dyDescent="0.25">
      <c r="A116" s="44"/>
      <c r="B116" s="11" t="str">
        <f>CONCATENATE("          ", "4302", " - ", "SALES RETURN NON TAXABLE-TEXT")</f>
        <v xml:space="preserve">          4302 - SALES RETURN NON TAXABLE-TEXT</v>
      </c>
      <c r="C116" s="11"/>
      <c r="D116" s="2">
        <f>-67.5</f>
        <v>-67.5</v>
      </c>
      <c r="E116" s="2"/>
      <c r="F116" s="19"/>
      <c r="G116" s="2"/>
      <c r="H116" s="2">
        <f>-1539.55</f>
        <v>-1539.55</v>
      </c>
      <c r="I116" s="2"/>
      <c r="J116" s="19"/>
      <c r="K116" s="2"/>
      <c r="L116" s="2">
        <f t="shared" si="0"/>
        <v>1472.05</v>
      </c>
      <c r="M116" s="2"/>
      <c r="N116" s="19">
        <f t="shared" si="1"/>
        <v>-0.95615601961612162</v>
      </c>
      <c r="O116" s="11"/>
      <c r="P116" s="2">
        <f>-1379.87</f>
        <v>-1379.87</v>
      </c>
      <c r="Q116" s="2"/>
      <c r="R116" s="19"/>
      <c r="S116" s="2"/>
      <c r="T116" s="2">
        <f>-6328.25</f>
        <v>-6328.25</v>
      </c>
      <c r="U116" s="2"/>
      <c r="V116" s="19"/>
      <c r="W116" s="2"/>
      <c r="X116" s="2">
        <f t="shared" si="2"/>
        <v>4948.38</v>
      </c>
      <c r="Y116" s="2"/>
      <c r="Z116" s="19">
        <f t="shared" si="3"/>
        <v>-0.78195077628096232</v>
      </c>
    </row>
    <row r="117" spans="1:26" s="24" customFormat="1" hidden="1" outlineLevel="1" x14ac:dyDescent="0.25">
      <c r="A117" s="44"/>
      <c r="B117" s="11" t="str">
        <f>CONCATENATE("          ", "4303", " - ", "SALES RETURN NON-TAXABLE-RENTA")</f>
        <v xml:space="preserve">          4303 - SALES RETURN NON-TAXABLE-RENTA</v>
      </c>
      <c r="C117" s="11"/>
      <c r="D117" s="2">
        <f>0</f>
        <v>0</v>
      </c>
      <c r="E117" s="2"/>
      <c r="F117" s="19"/>
      <c r="G117" s="2"/>
      <c r="H117" s="2">
        <f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-184.99</f>
        <v>-184.99</v>
      </c>
      <c r="Q117" s="2"/>
      <c r="R117" s="19"/>
      <c r="S117" s="2"/>
      <c r="T117" s="2">
        <f>-509.85</f>
        <v>-509.85</v>
      </c>
      <c r="U117" s="2"/>
      <c r="V117" s="19"/>
      <c r="W117" s="2"/>
      <c r="X117" s="2">
        <f t="shared" si="2"/>
        <v>324.86</v>
      </c>
      <c r="Y117" s="2"/>
      <c r="Z117" s="19">
        <f t="shared" si="3"/>
        <v>-0.63716779444934779</v>
      </c>
    </row>
    <row r="118" spans="1:26" s="24" customFormat="1" hidden="1" outlineLevel="1" x14ac:dyDescent="0.25">
      <c r="A118" s="44"/>
      <c r="B118" s="11" t="str">
        <f>CONCATENATE("          ", "4304", " - ", "SALES RETURN NON TAXABLE-DIGIT")</f>
        <v xml:space="preserve">          4304 - SALES RETURN NON TAXABLE-DIGIT</v>
      </c>
      <c r="C118" s="11"/>
      <c r="D118" s="2">
        <f>-438.2</f>
        <v>-438.2</v>
      </c>
      <c r="E118" s="2"/>
      <c r="F118" s="19"/>
      <c r="G118" s="2"/>
      <c r="H118" s="2">
        <f>-379.96</f>
        <v>-379.96</v>
      </c>
      <c r="I118" s="2"/>
      <c r="J118" s="19"/>
      <c r="K118" s="2"/>
      <c r="L118" s="2">
        <f t="shared" si="0"/>
        <v>-58.240000000000009</v>
      </c>
      <c r="M118" s="2"/>
      <c r="N118" s="19">
        <f t="shared" si="1"/>
        <v>0.15327929255711131</v>
      </c>
      <c r="O118" s="11"/>
      <c r="P118" s="2">
        <f>-19474.33</f>
        <v>-19474.330000000002</v>
      </c>
      <c r="Q118" s="2"/>
      <c r="R118" s="19"/>
      <c r="S118" s="2"/>
      <c r="T118" s="2">
        <f>-6047.96</f>
        <v>-6047.96</v>
      </c>
      <c r="U118" s="2"/>
      <c r="V118" s="19"/>
      <c r="W118" s="2"/>
      <c r="X118" s="2">
        <f t="shared" si="2"/>
        <v>-13426.370000000003</v>
      </c>
      <c r="Y118" s="2"/>
      <c r="Z118" s="19">
        <f t="shared" si="3"/>
        <v>2.2199832670851003</v>
      </c>
    </row>
    <row r="119" spans="1:26" s="24" customFormat="1" hidden="1" outlineLevel="1" x14ac:dyDescent="0.25">
      <c r="A119" s="44"/>
      <c r="B119" s="11" t="str">
        <f>CONCATENATE("          ", "4311", " - ", "SALES RETURN NON TAXABLE-NO VA")</f>
        <v xml:space="preserve">          4311 - SALES RETURN NON TAXABLE-NO VA</v>
      </c>
      <c r="C119" s="11"/>
      <c r="D119" s="2">
        <f t="shared" ref="D119:D125" si="17">0</f>
        <v>0</v>
      </c>
      <c r="E119" s="2"/>
      <c r="F119" s="19"/>
      <c r="G119" s="2"/>
      <c r="H119" s="2">
        <f>-361.71</f>
        <v>-361.71</v>
      </c>
      <c r="I119" s="2"/>
      <c r="J119" s="19"/>
      <c r="K119" s="2"/>
      <c r="L119" s="2">
        <f t="shared" si="0"/>
        <v>361.71</v>
      </c>
      <c r="M119" s="2"/>
      <c r="N119" s="19">
        <f t="shared" si="1"/>
        <v>-1</v>
      </c>
      <c r="O119" s="11"/>
      <c r="P119" s="2">
        <f>-941.28</f>
        <v>-941.28</v>
      </c>
      <c r="Q119" s="2"/>
      <c r="R119" s="19"/>
      <c r="S119" s="2"/>
      <c r="T119" s="2">
        <f>-2110.54</f>
        <v>-2110.54</v>
      </c>
      <c r="U119" s="2"/>
      <c r="V119" s="19"/>
      <c r="W119" s="2"/>
      <c r="X119" s="2">
        <f t="shared" si="2"/>
        <v>1169.26</v>
      </c>
      <c r="Y119" s="2"/>
      <c r="Z119" s="19">
        <f t="shared" si="3"/>
        <v>-0.55400987425019188</v>
      </c>
    </row>
    <row r="120" spans="1:26" s="24" customFormat="1" hidden="1" outlineLevel="1" x14ac:dyDescent="0.25">
      <c r="A120" s="44"/>
      <c r="B120" s="11" t="str">
        <f>CONCATENATE("          ", "4313", " - ", "SALES RETURN NON TAXABLE-TRADE")</f>
        <v xml:space="preserve">          4313 - SALES RETURN NON TAXABLE-TRADE</v>
      </c>
      <c r="C120" s="11"/>
      <c r="D120" s="2">
        <f t="shared" si="17"/>
        <v>0</v>
      </c>
      <c r="E120" s="2"/>
      <c r="F120" s="19"/>
      <c r="G120" s="2"/>
      <c r="H120" s="2">
        <f t="shared" ref="H120:H121" si="18">0</f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-2481.44</f>
        <v>-2481.44</v>
      </c>
      <c r="Q120" s="2"/>
      <c r="R120" s="19"/>
      <c r="S120" s="2"/>
      <c r="T120" s="2">
        <f>0</f>
        <v>0</v>
      </c>
      <c r="U120" s="2"/>
      <c r="V120" s="19"/>
      <c r="W120" s="2"/>
      <c r="X120" s="2">
        <f t="shared" si="2"/>
        <v>-2481.44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"4318", " - ", "SALES RETURN NON TAXABLE-STUDY")</f>
        <v xml:space="preserve">          4318 - SALES RETURN NON TAXABLE-STUDY</v>
      </c>
      <c r="C121" s="11"/>
      <c r="D121" s="2">
        <f t="shared" si="17"/>
        <v>0</v>
      </c>
      <c r="E121" s="2"/>
      <c r="F121" s="19"/>
      <c r="G121" s="2"/>
      <c r="H121" s="2">
        <f t="shared" si="18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 t="shared" ref="P121:P122" si="19">0</f>
        <v>0</v>
      </c>
      <c r="Q121" s="2"/>
      <c r="R121" s="19"/>
      <c r="S121" s="2"/>
      <c r="T121" s="2">
        <f>-5.04</f>
        <v>-5.04</v>
      </c>
      <c r="U121" s="2"/>
      <c r="V121" s="19"/>
      <c r="W121" s="2"/>
      <c r="X121" s="2">
        <f t="shared" si="2"/>
        <v>5.04</v>
      </c>
      <c r="Y121" s="2"/>
      <c r="Z121" s="19">
        <f t="shared" si="3"/>
        <v>-1</v>
      </c>
    </row>
    <row r="122" spans="1:26" s="24" customFormat="1" hidden="1" outlineLevel="1" x14ac:dyDescent="0.25">
      <c r="A122" s="44"/>
      <c r="B122" s="11" t="str">
        <f>CONCATENATE("          ", "4326", " - ", "SALES RETURN NON TAXABLE-WRITI")</f>
        <v xml:space="preserve">          4326 - SALES RETURN NON TAXABLE-WRITI</v>
      </c>
      <c r="C122" s="11"/>
      <c r="D122" s="2">
        <f t="shared" si="17"/>
        <v>0</v>
      </c>
      <c r="E122" s="2"/>
      <c r="F122" s="19"/>
      <c r="G122" s="2"/>
      <c r="H122" s="2">
        <f>-9.68</f>
        <v>-9.68</v>
      </c>
      <c r="I122" s="2"/>
      <c r="J122" s="19"/>
      <c r="K122" s="2"/>
      <c r="L122" s="2">
        <f t="shared" si="0"/>
        <v>9.68</v>
      </c>
      <c r="M122" s="2"/>
      <c r="N122" s="19">
        <f t="shared" si="1"/>
        <v>-1</v>
      </c>
      <c r="O122" s="11"/>
      <c r="P122" s="2">
        <f t="shared" si="19"/>
        <v>0</v>
      </c>
      <c r="Q122" s="2"/>
      <c r="R122" s="19"/>
      <c r="S122" s="2"/>
      <c r="T122" s="2">
        <f>-28.23</f>
        <v>-28.23</v>
      </c>
      <c r="U122" s="2"/>
      <c r="V122" s="19"/>
      <c r="W122" s="2"/>
      <c r="X122" s="2">
        <f t="shared" si="2"/>
        <v>28.23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"4327", " - ", "SALES RETURN NON TAXABLE-SCHOO")</f>
        <v xml:space="preserve">          4327 - SALES RETURN NON TAXABLE-SCHOO</v>
      </c>
      <c r="C123" s="11"/>
      <c r="D123" s="2">
        <f t="shared" si="17"/>
        <v>0</v>
      </c>
      <c r="E123" s="2"/>
      <c r="F123" s="19"/>
      <c r="G123" s="2"/>
      <c r="H123" s="2">
        <f t="shared" ref="H123:H125" si="20"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-21.87</f>
        <v>-21.87</v>
      </c>
      <c r="Q123" s="2"/>
      <c r="R123" s="19"/>
      <c r="S123" s="2"/>
      <c r="T123" s="2">
        <f>-4.99</f>
        <v>-4.99</v>
      </c>
      <c r="U123" s="2"/>
      <c r="V123" s="19"/>
      <c r="W123" s="2"/>
      <c r="X123" s="2">
        <f t="shared" si="2"/>
        <v>-16.880000000000003</v>
      </c>
      <c r="Y123" s="2"/>
      <c r="Z123" s="19">
        <f t="shared" si="3"/>
        <v>3.3827655310621245</v>
      </c>
    </row>
    <row r="124" spans="1:26" s="24" customFormat="1" hidden="1" outlineLevel="1" x14ac:dyDescent="0.25">
      <c r="A124" s="44"/>
      <c r="B124" s="11" t="str">
        <f>CONCATENATE("          ", "4331", " - ", "SALES RETURN NON TAXABLE-FOOD")</f>
        <v xml:space="preserve">          4331 - SALES RETURN NON TAXABLE-FOOD</v>
      </c>
      <c r="C124" s="11"/>
      <c r="D124" s="2">
        <f t="shared" si="17"/>
        <v>0</v>
      </c>
      <c r="E124" s="2"/>
      <c r="F124" s="19"/>
      <c r="G124" s="2"/>
      <c r="H124" s="2">
        <f t="shared" si="20"/>
        <v>0</v>
      </c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-12.57</f>
        <v>-12.57</v>
      </c>
      <c r="Q124" s="2"/>
      <c r="R124" s="19"/>
      <c r="S124" s="2"/>
      <c r="T124" s="2">
        <f t="shared" ref="T124:T125" si="21">0</f>
        <v>0</v>
      </c>
      <c r="U124" s="2"/>
      <c r="V124" s="19"/>
      <c r="W124" s="2"/>
      <c r="X124" s="2">
        <f t="shared" si="2"/>
        <v>-12.57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"4332", " - ", "SALES RETURN NON TAXABLE-JUICE")</f>
        <v xml:space="preserve">          4332 - SALES RETURN NON TAXABLE-JUICE</v>
      </c>
      <c r="C125" s="11"/>
      <c r="D125" s="2">
        <f t="shared" si="17"/>
        <v>0</v>
      </c>
      <c r="E125" s="2"/>
      <c r="F125" s="19"/>
      <c r="G125" s="2"/>
      <c r="H125" s="2">
        <f t="shared" si="20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-2.79</f>
        <v>-2.79</v>
      </c>
      <c r="Q125" s="2"/>
      <c r="R125" s="19"/>
      <c r="S125" s="2"/>
      <c r="T125" s="2">
        <f t="shared" si="21"/>
        <v>0</v>
      </c>
      <c r="U125" s="2"/>
      <c r="V125" s="19"/>
      <c r="W125" s="2"/>
      <c r="X125" s="2">
        <f t="shared" si="2"/>
        <v>-2.79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-598.43</f>
        <v>-598.42999999999995</v>
      </c>
      <c r="E126" s="2"/>
      <c r="F126" s="19"/>
      <c r="G126" s="2"/>
      <c r="H126" s="2">
        <f>-96.85</f>
        <v>-96.85</v>
      </c>
      <c r="I126" s="2"/>
      <c r="J126" s="19"/>
      <c r="K126" s="2"/>
      <c r="L126" s="2">
        <f t="shared" si="0"/>
        <v>-501.57999999999993</v>
      </c>
      <c r="M126" s="2"/>
      <c r="N126" s="19">
        <f t="shared" si="1"/>
        <v>5.1789364997418685</v>
      </c>
      <c r="O126" s="11"/>
      <c r="P126" s="2">
        <f>-1618.83</f>
        <v>-1618.83</v>
      </c>
      <c r="Q126" s="2"/>
      <c r="R126" s="19"/>
      <c r="S126" s="2"/>
      <c r="T126" s="2">
        <f>-1035.87</f>
        <v>-1035.8699999999999</v>
      </c>
      <c r="U126" s="2"/>
      <c r="V126" s="19"/>
      <c r="W126" s="2"/>
      <c r="X126" s="2">
        <f t="shared" si="2"/>
        <v>-582.96</v>
      </c>
      <c r="Y126" s="2"/>
      <c r="Z126" s="19">
        <f t="shared" si="3"/>
        <v>0.56277332097657051</v>
      </c>
    </row>
    <row r="127" spans="1:26" s="24" customFormat="1" hidden="1" outlineLevel="1" x14ac:dyDescent="0.2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-39.95</f>
        <v>-39.950000000000003</v>
      </c>
      <c r="E127" s="2"/>
      <c r="F127" s="19"/>
      <c r="G127" s="2"/>
      <c r="H127" s="2">
        <f>-34.9</f>
        <v>-34.9</v>
      </c>
      <c r="I127" s="2"/>
      <c r="J127" s="19"/>
      <c r="K127" s="2"/>
      <c r="L127" s="2">
        <f t="shared" si="0"/>
        <v>-5.0500000000000043</v>
      </c>
      <c r="M127" s="2"/>
      <c r="N127" s="19">
        <f t="shared" si="1"/>
        <v>0.14469914040114626</v>
      </c>
      <c r="O127" s="11"/>
      <c r="P127" s="2">
        <f>-285.45</f>
        <v>-285.45</v>
      </c>
      <c r="Q127" s="2"/>
      <c r="R127" s="19"/>
      <c r="S127" s="2"/>
      <c r="T127" s="2">
        <f>-292.85</f>
        <v>-292.85000000000002</v>
      </c>
      <c r="U127" s="2"/>
      <c r="V127" s="19"/>
      <c r="W127" s="2"/>
      <c r="X127" s="2">
        <f t="shared" si="2"/>
        <v>7.4000000000000341</v>
      </c>
      <c r="Y127" s="2"/>
      <c r="Z127" s="19">
        <f t="shared" si="3"/>
        <v>-2.5268908997780549E-2</v>
      </c>
    </row>
    <row r="128" spans="1:26" s="24" customFormat="1" hidden="1" outlineLevel="1" x14ac:dyDescent="0.2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 t="shared" ref="D128:D133" si="22">0</f>
        <v>0</v>
      </c>
      <c r="E128" s="2"/>
      <c r="F128" s="19"/>
      <c r="G128" s="2"/>
      <c r="H128" s="2">
        <f t="shared" ref="H128:H130" si="23">0</f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-149.22</f>
        <v>-149.22</v>
      </c>
      <c r="Q128" s="2"/>
      <c r="R128" s="19"/>
      <c r="S128" s="2"/>
      <c r="T128" s="2">
        <f>-103.6</f>
        <v>-103.6</v>
      </c>
      <c r="U128" s="2"/>
      <c r="V128" s="19"/>
      <c r="W128" s="2"/>
      <c r="X128" s="2">
        <f t="shared" si="2"/>
        <v>-45.620000000000005</v>
      </c>
      <c r="Y128" s="2"/>
      <c r="Z128" s="19">
        <f t="shared" si="3"/>
        <v>0.44034749034749043</v>
      </c>
    </row>
    <row r="129" spans="1:26" s="24" customFormat="1" hidden="1" outlineLevel="1" x14ac:dyDescent="0.2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 t="shared" si="22"/>
        <v>0</v>
      </c>
      <c r="E129" s="2"/>
      <c r="F129" s="19"/>
      <c r="G129" s="2"/>
      <c r="H129" s="2">
        <f t="shared" si="23"/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-8.15</f>
        <v>-8.15</v>
      </c>
      <c r="Q129" s="2"/>
      <c r="R129" s="19"/>
      <c r="S129" s="2"/>
      <c r="T129" s="2">
        <f t="shared" ref="T129:T130" si="24">0</f>
        <v>0</v>
      </c>
      <c r="U129" s="2"/>
      <c r="V129" s="19"/>
      <c r="W129" s="2"/>
      <c r="X129" s="2">
        <f t="shared" si="2"/>
        <v>-8.15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"4347", " - ", "SALES RETURN NON TAXABLE-MISC")</f>
        <v xml:space="preserve">          4347 - SALES RETURN NON TAXABLE-MISC</v>
      </c>
      <c r="C130" s="11"/>
      <c r="D130" s="2">
        <f t="shared" si="22"/>
        <v>0</v>
      </c>
      <c r="E130" s="2"/>
      <c r="F130" s="19"/>
      <c r="G130" s="2"/>
      <c r="H130" s="2">
        <f t="shared" si="23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-84</f>
        <v>-84</v>
      </c>
      <c r="Q130" s="2"/>
      <c r="R130" s="19"/>
      <c r="S130" s="2"/>
      <c r="T130" s="2">
        <f t="shared" si="24"/>
        <v>0</v>
      </c>
      <c r="U130" s="2"/>
      <c r="V130" s="19"/>
      <c r="W130" s="2"/>
      <c r="X130" s="2">
        <f t="shared" si="2"/>
        <v>-84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"4381", " - ", "SALES RETURN NON TAXABLE-ELECT")</f>
        <v xml:space="preserve">          4381 - SALES RETURN NON TAXABLE-ELECT</v>
      </c>
      <c r="C131" s="11"/>
      <c r="D131" s="2">
        <f t="shared" si="22"/>
        <v>0</v>
      </c>
      <c r="E131" s="2"/>
      <c r="F131" s="19"/>
      <c r="G131" s="2"/>
      <c r="H131" s="2">
        <f>-29.97</f>
        <v>-29.97</v>
      </c>
      <c r="I131" s="2"/>
      <c r="J131" s="19"/>
      <c r="K131" s="2"/>
      <c r="L131" s="2">
        <f t="shared" si="0"/>
        <v>29.97</v>
      </c>
      <c r="M131" s="2"/>
      <c r="N131" s="19">
        <f t="shared" si="1"/>
        <v>-1</v>
      </c>
      <c r="O131" s="11"/>
      <c r="P131" s="2">
        <f>-1279.84</f>
        <v>-1279.8399999999999</v>
      </c>
      <c r="Q131" s="2"/>
      <c r="R131" s="19"/>
      <c r="S131" s="2"/>
      <c r="T131" s="2">
        <f>-247.82</f>
        <v>-247.82</v>
      </c>
      <c r="U131" s="2"/>
      <c r="V131" s="19"/>
      <c r="W131" s="2"/>
      <c r="X131" s="2">
        <f t="shared" si="2"/>
        <v>-1032.02</v>
      </c>
      <c r="Y131" s="2"/>
      <c r="Z131" s="19">
        <f t="shared" si="3"/>
        <v>4.1643935114195791</v>
      </c>
    </row>
    <row r="132" spans="1:26" s="24" customFormat="1" hidden="1" outlineLevel="1" x14ac:dyDescent="0.25">
      <c r="A132" s="44"/>
      <c r="B132" s="11" t="str">
        <f>CONCATENATE("          ", "4383", " - ", "SALES RETURN NON TAXABLE-COMPU")</f>
        <v xml:space="preserve">          4383 - SALES RETURN NON TAXABLE-COMPU</v>
      </c>
      <c r="C132" s="11"/>
      <c r="D132" s="2">
        <f t="shared" si="22"/>
        <v>0</v>
      </c>
      <c r="E132" s="2"/>
      <c r="F132" s="19"/>
      <c r="G132" s="2"/>
      <c r="H132" s="2">
        <f t="shared" ref="H132:H133" si="25">0</f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-49.98</f>
        <v>-49.98</v>
      </c>
      <c r="Q132" s="2"/>
      <c r="R132" s="19"/>
      <c r="S132" s="2"/>
      <c r="T132" s="2">
        <f>-153.92</f>
        <v>-153.91999999999999</v>
      </c>
      <c r="U132" s="2"/>
      <c r="V132" s="19"/>
      <c r="W132" s="2"/>
      <c r="X132" s="2">
        <f t="shared" si="2"/>
        <v>103.94</v>
      </c>
      <c r="Y132" s="2"/>
      <c r="Z132" s="19">
        <f t="shared" si="3"/>
        <v>-0.67528586278586278</v>
      </c>
    </row>
    <row r="133" spans="1:26" s="24" customFormat="1" hidden="1" outlineLevel="1" x14ac:dyDescent="0.25">
      <c r="A133" s="44"/>
      <c r="B133" s="11" t="str">
        <f>CONCATENATE("          ", "4386", " - ", "SALES RETURN NON TAXABLE-COMPU")</f>
        <v xml:space="preserve">          4386 - SALES RETURN NON TAXABLE-COMPU</v>
      </c>
      <c r="C133" s="11"/>
      <c r="D133" s="2">
        <f t="shared" si="22"/>
        <v>0</v>
      </c>
      <c r="E133" s="2"/>
      <c r="F133" s="19"/>
      <c r="G133" s="2"/>
      <c r="H133" s="2">
        <f t="shared" si="25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-104.96</f>
        <v>-104.96</v>
      </c>
      <c r="Q133" s="2"/>
      <c r="R133" s="19"/>
      <c r="S133" s="2"/>
      <c r="T133" s="2">
        <f>-209.95</f>
        <v>-209.95</v>
      </c>
      <c r="U133" s="2"/>
      <c r="V133" s="19"/>
      <c r="W133" s="2"/>
      <c r="X133" s="2">
        <f t="shared" si="2"/>
        <v>104.99</v>
      </c>
      <c r="Y133" s="2"/>
      <c r="Z133" s="19">
        <f t="shared" si="3"/>
        <v>-0.50007144558228145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collapsed="1" x14ac:dyDescent="0.25">
      <c r="A135" s="10"/>
      <c r="B135" s="28" t="s">
        <v>8</v>
      </c>
      <c r="C135" s="10"/>
      <c r="D135" s="4">
        <f>SUM(OSRRefD16x_0)</f>
        <v>244289.98</v>
      </c>
      <c r="E135" s="4"/>
      <c r="F135" s="12">
        <f t="shared" ref="F135:F194" si="26">IF(D$12=0,0,D135/D$12)</f>
        <v>0.68012125865067341</v>
      </c>
      <c r="G135" s="4"/>
      <c r="H135" s="4">
        <f>SUM(OSRRefH16x_0)</f>
        <v>757359.76</v>
      </c>
      <c r="I135" s="4"/>
      <c r="J135" s="12">
        <f t="shared" ref="J135:J194" si="27">IF(H$12=0,0,H135/H$12)</f>
        <v>0.60899957169954266</v>
      </c>
      <c r="K135" s="4"/>
      <c r="L135" s="4">
        <f t="shared" ref="L135:L194" si="28">+D135-H135</f>
        <v>-513069.78</v>
      </c>
      <c r="M135" s="4"/>
      <c r="N135" s="12">
        <f t="shared" ref="N135:N194" si="29">IF(H135=0,0,L135/H135)</f>
        <v>-0.67744526062488453</v>
      </c>
      <c r="O135" s="10"/>
      <c r="P135" s="4">
        <f>SUM(OSRRefP16x_0)</f>
        <v>7368938.1399999997</v>
      </c>
      <c r="Q135" s="4"/>
      <c r="R135" s="12">
        <f t="shared" ref="R135:R194" si="30">IF(P$12=0,0,P135/P$12)</f>
        <v>0.64277630691779719</v>
      </c>
      <c r="S135" s="4"/>
      <c r="T135" s="4">
        <f>SUM(OSRRefT16x_0)</f>
        <v>8841336.2899999972</v>
      </c>
      <c r="U135" s="4"/>
      <c r="V135" s="12">
        <f t="shared" ref="V135:V194" si="31">IF(T$12=0,0,T135/T$12)</f>
        <v>0.62959349817084398</v>
      </c>
      <c r="W135" s="4"/>
      <c r="X135" s="4">
        <f t="shared" ref="X135:X194" si="32">+P135-T135</f>
        <v>-1472398.1499999976</v>
      </c>
      <c r="Y135" s="4"/>
      <c r="Z135" s="12">
        <f t="shared" ref="Z135:Z194" si="33">IF(T135=0,0,X135/T135)</f>
        <v>-0.16653570248937993</v>
      </c>
    </row>
    <row r="136" spans="1:26" s="24" customFormat="1" hidden="1" outlineLevel="1" x14ac:dyDescent="0.25">
      <c r="A136" s="44"/>
      <c r="B136" s="11" t="str">
        <f>CONCATENATE("          ", "5000", " - ", "PURCHASES @ COST")</f>
        <v xml:space="preserve">          5000 - PURCHASES @ COST</v>
      </c>
      <c r="C136" s="11"/>
      <c r="D136" s="2"/>
      <c r="E136" s="2"/>
      <c r="F136" s="19">
        <f t="shared" si="26"/>
        <v>0</v>
      </c>
      <c r="G136" s="2"/>
      <c r="H136" s="2"/>
      <c r="I136" s="2"/>
      <c r="J136" s="19">
        <f t="shared" si="27"/>
        <v>0</v>
      </c>
      <c r="K136" s="2"/>
      <c r="L136" s="2">
        <f t="shared" si="28"/>
        <v>0</v>
      </c>
      <c r="M136" s="2"/>
      <c r="N136" s="19">
        <f t="shared" si="29"/>
        <v>0</v>
      </c>
      <c r="O136" s="11"/>
      <c r="P136" s="2"/>
      <c r="Q136" s="2"/>
      <c r="R136" s="19">
        <f t="shared" si="30"/>
        <v>0</v>
      </c>
      <c r="S136" s="2"/>
      <c r="T136" s="2">
        <v>1020</v>
      </c>
      <c r="U136" s="2"/>
      <c r="V136" s="19">
        <f t="shared" si="31"/>
        <v>7.2634423923067517E-5</v>
      </c>
      <c r="W136" s="2"/>
      <c r="X136" s="2">
        <f t="shared" si="32"/>
        <v>-1020</v>
      </c>
      <c r="Y136" s="2"/>
      <c r="Z136" s="19">
        <f t="shared" si="33"/>
        <v>-1</v>
      </c>
    </row>
    <row r="137" spans="1:26" s="24" customFormat="1" hidden="1" outlineLevel="1" x14ac:dyDescent="0.25">
      <c r="A137" s="44"/>
      <c r="B137" s="11" t="str">
        <f>CONCATENATE("          ", "5001", " - ", "PURCHASES @ COST-NEW TEXT")</f>
        <v xml:space="preserve">          5001 - PURCHASES @ COST-NEW TEXT</v>
      </c>
      <c r="C137" s="11"/>
      <c r="D137" s="2">
        <v>71528.210000000006</v>
      </c>
      <c r="E137" s="2"/>
      <c r="F137" s="19">
        <f t="shared" si="26"/>
        <v>0.19913979367565418</v>
      </c>
      <c r="G137" s="2"/>
      <c r="H137" s="2">
        <v>70445.34</v>
      </c>
      <c r="I137" s="2"/>
      <c r="J137" s="19">
        <f t="shared" si="27"/>
        <v>5.6645710736240668E-2</v>
      </c>
      <c r="K137" s="2"/>
      <c r="L137" s="2">
        <f t="shared" si="28"/>
        <v>1082.8700000000099</v>
      </c>
      <c r="M137" s="2"/>
      <c r="N137" s="19">
        <f t="shared" si="29"/>
        <v>1.5371776188460584E-2</v>
      </c>
      <c r="O137" s="11"/>
      <c r="P137" s="2">
        <v>1641280.46</v>
      </c>
      <c r="Q137" s="2"/>
      <c r="R137" s="19">
        <f t="shared" si="30"/>
        <v>0.14316529364909872</v>
      </c>
      <c r="S137" s="2"/>
      <c r="T137" s="2">
        <v>2396173.7599999998</v>
      </c>
      <c r="U137" s="2"/>
      <c r="V137" s="19">
        <f t="shared" si="31"/>
        <v>0.17063205948742219</v>
      </c>
      <c r="W137" s="2"/>
      <c r="X137" s="2">
        <f t="shared" si="32"/>
        <v>-754893.29999999981</v>
      </c>
      <c r="Y137" s="2"/>
      <c r="Z137" s="19">
        <f t="shared" si="33"/>
        <v>-0.3150411345794889</v>
      </c>
    </row>
    <row r="138" spans="1:26" s="24" customFormat="1" hidden="1" outlineLevel="1" x14ac:dyDescent="0.25">
      <c r="A138" s="44"/>
      <c r="B138" s="11" t="str">
        <f>CONCATENATE("          ", "5002", " - ", "PURCHASES @ COST-USED TEXT")</f>
        <v xml:space="preserve">          5002 - PURCHASES @ COST-USED TEXT</v>
      </c>
      <c r="C138" s="11"/>
      <c r="D138" s="2">
        <v>14738.6</v>
      </c>
      <c r="E138" s="2"/>
      <c r="F138" s="19">
        <f t="shared" si="26"/>
        <v>4.1033345627801907E-2</v>
      </c>
      <c r="G138" s="2"/>
      <c r="H138" s="2">
        <v>25018.82</v>
      </c>
      <c r="I138" s="2"/>
      <c r="J138" s="19">
        <f t="shared" si="27"/>
        <v>2.0117850814291943E-2</v>
      </c>
      <c r="K138" s="2"/>
      <c r="L138" s="2">
        <f t="shared" si="28"/>
        <v>-10280.219999999999</v>
      </c>
      <c r="M138" s="2"/>
      <c r="N138" s="19">
        <f t="shared" si="29"/>
        <v>-0.41089947487531386</v>
      </c>
      <c r="O138" s="11"/>
      <c r="P138" s="2">
        <v>610321.38</v>
      </c>
      <c r="Q138" s="2"/>
      <c r="R138" s="19">
        <f t="shared" si="30"/>
        <v>5.3236994966736624E-2</v>
      </c>
      <c r="S138" s="2"/>
      <c r="T138" s="2">
        <v>433062.37</v>
      </c>
      <c r="U138" s="2"/>
      <c r="V138" s="19">
        <f t="shared" si="31"/>
        <v>3.0838466438929724E-2</v>
      </c>
      <c r="W138" s="2"/>
      <c r="X138" s="2">
        <f t="shared" si="32"/>
        <v>177259.01</v>
      </c>
      <c r="Y138" s="2"/>
      <c r="Z138" s="19">
        <f t="shared" si="33"/>
        <v>0.40931519863986338</v>
      </c>
    </row>
    <row r="139" spans="1:26" s="24" customFormat="1" hidden="1" outlineLevel="1" x14ac:dyDescent="0.25">
      <c r="A139" s="44"/>
      <c r="B139" s="11" t="str">
        <f>CONCATENATE("          ", "5003", " - ", "PURCHASES @ COST-RENTAL TEXT")</f>
        <v xml:space="preserve">          5003 - PURCHASES @ COST-RENTAL TEXT</v>
      </c>
      <c r="C139" s="11"/>
      <c r="D139" s="2"/>
      <c r="E139" s="2"/>
      <c r="F139" s="19">
        <f t="shared" si="26"/>
        <v>0</v>
      </c>
      <c r="G139" s="2"/>
      <c r="H139" s="2"/>
      <c r="I139" s="2"/>
      <c r="J139" s="19">
        <f t="shared" si="27"/>
        <v>0</v>
      </c>
      <c r="K139" s="2"/>
      <c r="L139" s="2">
        <f t="shared" si="28"/>
        <v>0</v>
      </c>
      <c r="M139" s="2"/>
      <c r="N139" s="19">
        <f t="shared" si="29"/>
        <v>0</v>
      </c>
      <c r="O139" s="11"/>
      <c r="P139" s="2">
        <v>-78.400000000000006</v>
      </c>
      <c r="Q139" s="2"/>
      <c r="R139" s="19">
        <f t="shared" si="30"/>
        <v>-6.8386599948246143E-6</v>
      </c>
      <c r="S139" s="2"/>
      <c r="T139" s="2">
        <v>15629.58</v>
      </c>
      <c r="U139" s="2"/>
      <c r="V139" s="19">
        <f t="shared" si="31"/>
        <v>1.1129858229995074E-3</v>
      </c>
      <c r="W139" s="2"/>
      <c r="X139" s="2">
        <f t="shared" si="32"/>
        <v>-15707.98</v>
      </c>
      <c r="Y139" s="2"/>
      <c r="Z139" s="19">
        <f t="shared" si="33"/>
        <v>-1.0050161296720705</v>
      </c>
    </row>
    <row r="140" spans="1:26" s="24" customFormat="1" hidden="1" outlineLevel="1" x14ac:dyDescent="0.25">
      <c r="A140" s="44"/>
      <c r="B140" s="11" t="str">
        <f>CONCATENATE("          ", "5004", " - ", "PURCHASES @ COST-DIGITAL TEXT")</f>
        <v xml:space="preserve">          5004 - PURCHASES @ COST-DIGITAL TEXT</v>
      </c>
      <c r="C140" s="11"/>
      <c r="D140" s="2">
        <v>-46518.259999999995</v>
      </c>
      <c r="E140" s="2"/>
      <c r="F140" s="19">
        <f t="shared" si="26"/>
        <v>-0.12951025474495217</v>
      </c>
      <c r="G140" s="2"/>
      <c r="H140" s="2">
        <v>17888.12</v>
      </c>
      <c r="I140" s="2"/>
      <c r="J140" s="19">
        <f t="shared" si="27"/>
        <v>1.4383992910463083E-2</v>
      </c>
      <c r="K140" s="2"/>
      <c r="L140" s="2">
        <f t="shared" si="28"/>
        <v>-64406.37999999999</v>
      </c>
      <c r="M140" s="2"/>
      <c r="N140" s="19">
        <f t="shared" si="29"/>
        <v>-3.6005114008626951</v>
      </c>
      <c r="O140" s="11"/>
      <c r="P140" s="2">
        <v>446269.65</v>
      </c>
      <c r="Q140" s="2"/>
      <c r="R140" s="19">
        <f t="shared" si="30"/>
        <v>3.8927122479073754E-2</v>
      </c>
      <c r="S140" s="2"/>
      <c r="T140" s="2">
        <v>501578.98</v>
      </c>
      <c r="U140" s="2"/>
      <c r="V140" s="19">
        <f t="shared" si="31"/>
        <v>3.5717549278646864E-2</v>
      </c>
      <c r="W140" s="2"/>
      <c r="X140" s="2">
        <f t="shared" si="32"/>
        <v>-55309.329999999958</v>
      </c>
      <c r="Y140" s="2"/>
      <c r="Z140" s="19">
        <f t="shared" si="33"/>
        <v>-0.11027043039164033</v>
      </c>
    </row>
    <row r="141" spans="1:26" s="24" customFormat="1" hidden="1" outlineLevel="1" x14ac:dyDescent="0.25">
      <c r="A141" s="44"/>
      <c r="B141" s="11" t="str">
        <f>CONCATENATE("          ", "5011", " - ", "PURCHASES @ COST-NO VALUE TEXT")</f>
        <v xml:space="preserve">          5011 - PURCHASES @ COST-NO VALUE TEXT</v>
      </c>
      <c r="C141" s="11"/>
      <c r="D141" s="2"/>
      <c r="E141" s="2"/>
      <c r="F141" s="19">
        <f t="shared" si="26"/>
        <v>0</v>
      </c>
      <c r="G141" s="2"/>
      <c r="H141" s="2">
        <v>237</v>
      </c>
      <c r="I141" s="2"/>
      <c r="J141" s="19">
        <f t="shared" si="27"/>
        <v>1.9057376179161089E-4</v>
      </c>
      <c r="K141" s="2"/>
      <c r="L141" s="2">
        <f t="shared" si="28"/>
        <v>-237</v>
      </c>
      <c r="M141" s="2"/>
      <c r="N141" s="19">
        <f t="shared" si="29"/>
        <v>-1</v>
      </c>
      <c r="O141" s="11"/>
      <c r="P141" s="2">
        <v>6363</v>
      </c>
      <c r="Q141" s="2"/>
      <c r="R141" s="19">
        <f t="shared" si="30"/>
        <v>5.5503052993710481E-4</v>
      </c>
      <c r="S141" s="2"/>
      <c r="T141" s="2">
        <v>3744</v>
      </c>
      <c r="U141" s="2"/>
      <c r="V141" s="19">
        <f t="shared" si="31"/>
        <v>2.6661106192937725E-4</v>
      </c>
      <c r="W141" s="2"/>
      <c r="X141" s="2">
        <f t="shared" si="32"/>
        <v>2619</v>
      </c>
      <c r="Y141" s="2"/>
      <c r="Z141" s="19">
        <f t="shared" si="33"/>
        <v>0.69951923076923073</v>
      </c>
    </row>
    <row r="142" spans="1:26" s="24" customFormat="1" hidden="1" outlineLevel="1" x14ac:dyDescent="0.25">
      <c r="A142" s="44"/>
      <c r="B142" s="11" t="str">
        <f>CONCATENATE("          ", "5013", " - ", "PURCHASES @ COST-TRADE BOOKS")</f>
        <v xml:space="preserve">          5013 - PURCHASES @ COST-TRADE BOOKS</v>
      </c>
      <c r="C142" s="11"/>
      <c r="D142" s="2"/>
      <c r="E142" s="2"/>
      <c r="F142" s="19">
        <f t="shared" si="26"/>
        <v>0</v>
      </c>
      <c r="G142" s="2"/>
      <c r="H142" s="2">
        <v>-265.93</v>
      </c>
      <c r="I142" s="2"/>
      <c r="J142" s="19">
        <f t="shared" si="27"/>
        <v>-2.1383662646938013E-4</v>
      </c>
      <c r="K142" s="2"/>
      <c r="L142" s="2">
        <f t="shared" si="28"/>
        <v>265.93</v>
      </c>
      <c r="M142" s="2"/>
      <c r="N142" s="19">
        <f t="shared" si="29"/>
        <v>-1</v>
      </c>
      <c r="O142" s="11"/>
      <c r="P142" s="2">
        <v>3197.85</v>
      </c>
      <c r="Q142" s="2"/>
      <c r="R142" s="19">
        <f t="shared" si="30"/>
        <v>2.7894143959757514E-4</v>
      </c>
      <c r="S142" s="2"/>
      <c r="T142" s="2">
        <v>5875.74</v>
      </c>
      <c r="U142" s="2"/>
      <c r="V142" s="19">
        <f t="shared" si="31"/>
        <v>4.1841273531541642E-4</v>
      </c>
      <c r="W142" s="2"/>
      <c r="X142" s="2">
        <f t="shared" si="32"/>
        <v>-2677.89</v>
      </c>
      <c r="Y142" s="2"/>
      <c r="Z142" s="19">
        <f t="shared" si="33"/>
        <v>-0.45575365826261882</v>
      </c>
    </row>
    <row r="143" spans="1:26" s="24" customFormat="1" hidden="1" outlineLevel="1" x14ac:dyDescent="0.25">
      <c r="A143" s="44"/>
      <c r="B143" s="11" t="str">
        <f>CONCATENATE("          ", "5014", " - ", "PURCHASES @ COST-REMAINDERS")</f>
        <v xml:space="preserve">          5014 - PURCHASES @ COST-REMAINDERS</v>
      </c>
      <c r="C143" s="11"/>
      <c r="D143" s="2"/>
      <c r="E143" s="2"/>
      <c r="F143" s="19">
        <f t="shared" si="26"/>
        <v>0</v>
      </c>
      <c r="G143" s="2"/>
      <c r="H143" s="2">
        <v>76.91</v>
      </c>
      <c r="I143" s="2"/>
      <c r="J143" s="19">
        <f t="shared" si="27"/>
        <v>6.1844000081826133E-5</v>
      </c>
      <c r="K143" s="2"/>
      <c r="L143" s="2">
        <f t="shared" si="28"/>
        <v>-76.91</v>
      </c>
      <c r="M143" s="2"/>
      <c r="N143" s="19">
        <f t="shared" si="29"/>
        <v>-1</v>
      </c>
      <c r="O143" s="11"/>
      <c r="P143" s="2">
        <v>615.07000000000005</v>
      </c>
      <c r="Q143" s="2"/>
      <c r="R143" s="19">
        <f t="shared" si="30"/>
        <v>5.3651206671132341E-5</v>
      </c>
      <c r="S143" s="2"/>
      <c r="T143" s="2">
        <v>1199.07</v>
      </c>
      <c r="U143" s="2"/>
      <c r="V143" s="19">
        <f t="shared" si="31"/>
        <v>8.5386037934737815E-5</v>
      </c>
      <c r="W143" s="2"/>
      <c r="X143" s="2">
        <f t="shared" si="32"/>
        <v>-583.99999999999989</v>
      </c>
      <c r="Y143" s="2"/>
      <c r="Z143" s="19">
        <f t="shared" si="33"/>
        <v>-0.48704412586421136</v>
      </c>
    </row>
    <row r="144" spans="1:26" s="24" customFormat="1" hidden="1" outlineLevel="1" x14ac:dyDescent="0.25">
      <c r="A144" s="44"/>
      <c r="B144" s="11" t="str">
        <f>CONCATENATE("          ", "5017", " - ", "PURCHASES @ COST-DORM/HOUSEWAR")</f>
        <v xml:space="preserve">          5017 - PURCHASES @ COST-DORM/HOUSEWAR</v>
      </c>
      <c r="C144" s="11"/>
      <c r="D144" s="2"/>
      <c r="E144" s="2"/>
      <c r="F144" s="19">
        <f t="shared" si="26"/>
        <v>0</v>
      </c>
      <c r="G144" s="2"/>
      <c r="H144" s="2"/>
      <c r="I144" s="2"/>
      <c r="J144" s="19">
        <f t="shared" si="27"/>
        <v>0</v>
      </c>
      <c r="K144" s="2"/>
      <c r="L144" s="2">
        <f t="shared" si="28"/>
        <v>0</v>
      </c>
      <c r="M144" s="2"/>
      <c r="N144" s="19">
        <f t="shared" si="29"/>
        <v>0</v>
      </c>
      <c r="O144" s="11"/>
      <c r="P144" s="2">
        <v>14.46</v>
      </c>
      <c r="Q144" s="2"/>
      <c r="R144" s="19">
        <f t="shared" si="30"/>
        <v>1.2613140755760703E-6</v>
      </c>
      <c r="S144" s="2"/>
      <c r="T144" s="2">
        <v>239.9</v>
      </c>
      <c r="U144" s="2"/>
      <c r="V144" s="19">
        <f t="shared" si="31"/>
        <v>1.7083331665827353E-5</v>
      </c>
      <c r="W144" s="2"/>
      <c r="X144" s="2">
        <f t="shared" si="32"/>
        <v>-225.44</v>
      </c>
      <c r="Y144" s="2"/>
      <c r="Z144" s="19">
        <f t="shared" si="33"/>
        <v>-0.93972488536890364</v>
      </c>
    </row>
    <row r="145" spans="1:26" s="24" customFormat="1" hidden="1" outlineLevel="1" x14ac:dyDescent="0.25">
      <c r="A145" s="44"/>
      <c r="B145" s="11" t="str">
        <f>CONCATENATE("          ", "5018", " - ", "PURCHASES @ COST-STUDY GUIDES")</f>
        <v xml:space="preserve">          5018 - PURCHASES @ COST-STUDY GUIDES</v>
      </c>
      <c r="C145" s="11"/>
      <c r="D145" s="2"/>
      <c r="E145" s="2"/>
      <c r="F145" s="19">
        <f t="shared" si="26"/>
        <v>0</v>
      </c>
      <c r="G145" s="2"/>
      <c r="H145" s="2">
        <v>289.08</v>
      </c>
      <c r="I145" s="2"/>
      <c r="J145" s="19">
        <f t="shared" si="27"/>
        <v>2.3245174286379272E-4</v>
      </c>
      <c r="K145" s="2"/>
      <c r="L145" s="2">
        <f t="shared" si="28"/>
        <v>-289.08</v>
      </c>
      <c r="M145" s="2"/>
      <c r="N145" s="19">
        <f t="shared" si="29"/>
        <v>-1</v>
      </c>
      <c r="O145" s="11"/>
      <c r="P145" s="2">
        <v>-205.14</v>
      </c>
      <c r="Q145" s="2"/>
      <c r="R145" s="19">
        <f t="shared" si="30"/>
        <v>-1.789391213441736E-5</v>
      </c>
      <c r="S145" s="2"/>
      <c r="T145" s="2">
        <v>2683</v>
      </c>
      <c r="U145" s="2"/>
      <c r="V145" s="19">
        <f t="shared" si="31"/>
        <v>1.9105701900548055E-4</v>
      </c>
      <c r="W145" s="2"/>
      <c r="X145" s="2">
        <f t="shared" si="32"/>
        <v>-2888.14</v>
      </c>
      <c r="Y145" s="2"/>
      <c r="Z145" s="19">
        <f t="shared" si="33"/>
        <v>-1.0764591874767051</v>
      </c>
    </row>
    <row r="146" spans="1:26" s="24" customFormat="1" hidden="1" outlineLevel="1" x14ac:dyDescent="0.25">
      <c r="A146" s="44"/>
      <c r="B146" s="11" t="str">
        <f>CONCATENATE("          ", "5025", " - ", "PURCHASES @ COST-TEST FORMS")</f>
        <v xml:space="preserve">          5025 - PURCHASES @ COST-TEST FORMS</v>
      </c>
      <c r="C146" s="11"/>
      <c r="D146" s="2"/>
      <c r="E146" s="2"/>
      <c r="F146" s="19">
        <f t="shared" si="26"/>
        <v>0</v>
      </c>
      <c r="G146" s="2"/>
      <c r="H146" s="2">
        <v>1711.75</v>
      </c>
      <c r="I146" s="2"/>
      <c r="J146" s="19">
        <f t="shared" si="27"/>
        <v>1.3764330664421517E-3</v>
      </c>
      <c r="K146" s="2"/>
      <c r="L146" s="2">
        <f t="shared" si="28"/>
        <v>-1711.75</v>
      </c>
      <c r="M146" s="2"/>
      <c r="N146" s="19">
        <f t="shared" si="29"/>
        <v>-1</v>
      </c>
      <c r="O146" s="11"/>
      <c r="P146" s="2">
        <v>26400.390000000003</v>
      </c>
      <c r="Q146" s="2"/>
      <c r="R146" s="19">
        <f t="shared" si="30"/>
        <v>2.302848098734283E-3</v>
      </c>
      <c r="S146" s="2"/>
      <c r="T146" s="2">
        <v>21282.6</v>
      </c>
      <c r="U146" s="2"/>
      <c r="V146" s="19">
        <f t="shared" si="31"/>
        <v>1.5155386182206633E-3</v>
      </c>
      <c r="W146" s="2"/>
      <c r="X146" s="2">
        <f t="shared" si="32"/>
        <v>5117.7900000000045</v>
      </c>
      <c r="Y146" s="2"/>
      <c r="Z146" s="19">
        <f t="shared" si="33"/>
        <v>0.24046826985424735</v>
      </c>
    </row>
    <row r="147" spans="1:26" s="24" customFormat="1" hidden="1" outlineLevel="1" x14ac:dyDescent="0.25">
      <c r="A147" s="44"/>
      <c r="B147" s="11" t="str">
        <f>CONCATENATE("          ", "5026", " - ", "PURCHASES @ COST-WRITING INSTR")</f>
        <v xml:space="preserve">          5026 - PURCHASES @ COST-WRITING INSTR</v>
      </c>
      <c r="C147" s="11"/>
      <c r="D147" s="2">
        <v>-7248</v>
      </c>
      <c r="E147" s="2"/>
      <c r="F147" s="19">
        <f t="shared" si="26"/>
        <v>-2.017896469883898E-2</v>
      </c>
      <c r="G147" s="2"/>
      <c r="H147" s="2">
        <v>4449.1499999999996</v>
      </c>
      <c r="I147" s="2"/>
      <c r="J147" s="19">
        <f t="shared" si="27"/>
        <v>3.5776002205702346E-3</v>
      </c>
      <c r="K147" s="2"/>
      <c r="L147" s="2">
        <f t="shared" si="28"/>
        <v>-11697.15</v>
      </c>
      <c r="M147" s="2"/>
      <c r="N147" s="19">
        <f t="shared" si="29"/>
        <v>-2.6290752166144098</v>
      </c>
      <c r="O147" s="11"/>
      <c r="P147" s="2">
        <v>44186.57</v>
      </c>
      <c r="Q147" s="2"/>
      <c r="R147" s="19">
        <f t="shared" si="30"/>
        <v>3.8542975582591507E-3</v>
      </c>
      <c r="S147" s="2"/>
      <c r="T147" s="2">
        <v>54078.76</v>
      </c>
      <c r="U147" s="2"/>
      <c r="V147" s="19">
        <f t="shared" si="31"/>
        <v>3.8509603716410071E-3</v>
      </c>
      <c r="W147" s="2"/>
      <c r="X147" s="2">
        <f t="shared" si="32"/>
        <v>-9892.1900000000023</v>
      </c>
      <c r="Y147" s="2"/>
      <c r="Z147" s="19">
        <f t="shared" si="33"/>
        <v>-0.18292190871240394</v>
      </c>
    </row>
    <row r="148" spans="1:26" s="24" customFormat="1" hidden="1" outlineLevel="1" x14ac:dyDescent="0.25">
      <c r="A148" s="44"/>
      <c r="B148" s="11" t="str">
        <f>CONCATENATE("          ", "5027", " - ", "PURCHASES @ COST-SCHOOL SUPPLI")</f>
        <v xml:space="preserve">          5027 - PURCHASES @ COST-SCHOOL SUPPLI</v>
      </c>
      <c r="C148" s="11"/>
      <c r="D148" s="2">
        <v>-2393.63</v>
      </c>
      <c r="E148" s="2"/>
      <c r="F148" s="19">
        <f t="shared" si="26"/>
        <v>-6.6640418421746624E-3</v>
      </c>
      <c r="G148" s="2"/>
      <c r="H148" s="2">
        <v>12828.83</v>
      </c>
      <c r="I148" s="2"/>
      <c r="J148" s="19">
        <f t="shared" si="27"/>
        <v>1.031577380795389E-2</v>
      </c>
      <c r="K148" s="2"/>
      <c r="L148" s="2">
        <f t="shared" si="28"/>
        <v>-15222.46</v>
      </c>
      <c r="M148" s="2"/>
      <c r="N148" s="19">
        <f t="shared" si="29"/>
        <v>-1.1865820967305669</v>
      </c>
      <c r="O148" s="11"/>
      <c r="P148" s="2">
        <v>141214.54</v>
      </c>
      <c r="Q148" s="2"/>
      <c r="R148" s="19">
        <f t="shared" si="30"/>
        <v>1.2317834507468881E-2</v>
      </c>
      <c r="S148" s="2"/>
      <c r="T148" s="2">
        <v>156195.15</v>
      </c>
      <c r="U148" s="2"/>
      <c r="V148" s="19">
        <f t="shared" si="31"/>
        <v>1.1122690921399137E-2</v>
      </c>
      <c r="W148" s="2"/>
      <c r="X148" s="2">
        <f t="shared" si="32"/>
        <v>-14980.609999999986</v>
      </c>
      <c r="Y148" s="2"/>
      <c r="Z148" s="19">
        <f t="shared" si="33"/>
        <v>-9.5909572096188556E-2</v>
      </c>
    </row>
    <row r="149" spans="1:26" s="24" customFormat="1" hidden="1" outlineLevel="1" x14ac:dyDescent="0.25">
      <c r="A149" s="44"/>
      <c r="B149" s="11" t="str">
        <f>CONCATENATE("          ", "5028", " - ", "PURCHASES @ COST-ART/TECH")</f>
        <v xml:space="preserve">          5028 - PURCHASES @ COST-ART/TECH</v>
      </c>
      <c r="C149" s="11"/>
      <c r="D149" s="2">
        <v>-60.3</v>
      </c>
      <c r="E149" s="2"/>
      <c r="F149" s="19">
        <f t="shared" si="26"/>
        <v>-1.6787963180739385E-4</v>
      </c>
      <c r="G149" s="2"/>
      <c r="H149" s="2">
        <v>1484.71</v>
      </c>
      <c r="I149" s="2"/>
      <c r="J149" s="19">
        <f t="shared" si="27"/>
        <v>1.1938682272979858E-3</v>
      </c>
      <c r="K149" s="2"/>
      <c r="L149" s="2">
        <f t="shared" si="28"/>
        <v>-1545.01</v>
      </c>
      <c r="M149" s="2"/>
      <c r="N149" s="19">
        <f t="shared" si="29"/>
        <v>-1.0406139919580255</v>
      </c>
      <c r="O149" s="11"/>
      <c r="P149" s="2">
        <v>159627.69</v>
      </c>
      <c r="Q149" s="2"/>
      <c r="R149" s="19">
        <f t="shared" si="30"/>
        <v>1.3923973184556952E-2</v>
      </c>
      <c r="S149" s="2"/>
      <c r="T149" s="2">
        <v>177482.59</v>
      </c>
      <c r="U149" s="2"/>
      <c r="V149" s="19">
        <f t="shared" si="31"/>
        <v>1.2638574197082338E-2</v>
      </c>
      <c r="W149" s="2"/>
      <c r="X149" s="2">
        <f t="shared" si="32"/>
        <v>-17854.899999999994</v>
      </c>
      <c r="Y149" s="2"/>
      <c r="Z149" s="19">
        <f t="shared" si="33"/>
        <v>-0.10060085330059694</v>
      </c>
    </row>
    <row r="150" spans="1:26" s="24" customFormat="1" hidden="1" outlineLevel="1" x14ac:dyDescent="0.25">
      <c r="A150" s="44"/>
      <c r="B150" s="11" t="str">
        <f>CONCATENATE("          ", "5031", " - ", "PURCHASES @ COST-FOOD")</f>
        <v xml:space="preserve">          5031 - PURCHASES @ COST-FOOD</v>
      </c>
      <c r="C150" s="11"/>
      <c r="D150" s="2"/>
      <c r="E150" s="2"/>
      <c r="F150" s="19">
        <f t="shared" si="26"/>
        <v>0</v>
      </c>
      <c r="G150" s="2"/>
      <c r="H150" s="2">
        <v>1464.39</v>
      </c>
      <c r="I150" s="2"/>
      <c r="J150" s="19">
        <f t="shared" si="27"/>
        <v>1.1775287385232789E-3</v>
      </c>
      <c r="K150" s="2"/>
      <c r="L150" s="2">
        <f t="shared" si="28"/>
        <v>-1464.39</v>
      </c>
      <c r="M150" s="2"/>
      <c r="N150" s="19">
        <f t="shared" si="29"/>
        <v>-1</v>
      </c>
      <c r="O150" s="11"/>
      <c r="P150" s="2">
        <v>33239.879999999997</v>
      </c>
      <c r="Q150" s="2"/>
      <c r="R150" s="19">
        <f t="shared" si="30"/>
        <v>2.8994418059792187E-3</v>
      </c>
      <c r="S150" s="2"/>
      <c r="T150" s="2">
        <v>39293.68</v>
      </c>
      <c r="U150" s="2"/>
      <c r="V150" s="19">
        <f t="shared" si="31"/>
        <v>2.7981115790366271E-3</v>
      </c>
      <c r="W150" s="2"/>
      <c r="X150" s="2">
        <f t="shared" si="32"/>
        <v>-6053.8000000000029</v>
      </c>
      <c r="Y150" s="2"/>
      <c r="Z150" s="19">
        <f t="shared" si="33"/>
        <v>-0.15406548839406242</v>
      </c>
    </row>
    <row r="151" spans="1:26" s="24" customFormat="1" hidden="1" outlineLevel="1" x14ac:dyDescent="0.25">
      <c r="A151" s="44"/>
      <c r="B151" s="11" t="str">
        <f>CONCATENATE("          ", "5032", " - ", "PURCHASES @ COST-JUICE")</f>
        <v xml:space="preserve">          5032 - PURCHASES @ COST-JUICE</v>
      </c>
      <c r="C151" s="11"/>
      <c r="D151" s="2"/>
      <c r="E151" s="2"/>
      <c r="F151" s="19">
        <f t="shared" si="26"/>
        <v>0</v>
      </c>
      <c r="G151" s="2"/>
      <c r="H151" s="2">
        <v>203.26</v>
      </c>
      <c r="I151" s="2"/>
      <c r="J151" s="19">
        <f t="shared" si="27"/>
        <v>1.6344313426904148E-4</v>
      </c>
      <c r="K151" s="2"/>
      <c r="L151" s="2">
        <f t="shared" si="28"/>
        <v>-203.26</v>
      </c>
      <c r="M151" s="2"/>
      <c r="N151" s="19">
        <f t="shared" si="29"/>
        <v>-1</v>
      </c>
      <c r="O151" s="11"/>
      <c r="P151" s="2">
        <v>7802.45</v>
      </c>
      <c r="Q151" s="2"/>
      <c r="R151" s="19">
        <f t="shared" si="30"/>
        <v>6.8059059536504211E-4</v>
      </c>
      <c r="S151" s="2"/>
      <c r="T151" s="2">
        <v>9569.02</v>
      </c>
      <c r="U151" s="2"/>
      <c r="V151" s="19">
        <f t="shared" si="31"/>
        <v>6.8141201491010944E-4</v>
      </c>
      <c r="W151" s="2"/>
      <c r="X151" s="2">
        <f t="shared" si="32"/>
        <v>-1766.5700000000006</v>
      </c>
      <c r="Y151" s="2"/>
      <c r="Z151" s="19">
        <f t="shared" si="33"/>
        <v>-0.18461347138996476</v>
      </c>
    </row>
    <row r="152" spans="1:26" s="24" customFormat="1" hidden="1" outlineLevel="1" x14ac:dyDescent="0.25">
      <c r="A152" s="44"/>
      <c r="B152" s="11" t="str">
        <f>CONCATENATE("          ", "5033", " - ", "PURCHASES @ COST-CANDY")</f>
        <v xml:space="preserve">          5033 - PURCHASES @ COST-CANDY</v>
      </c>
      <c r="C152" s="11"/>
      <c r="D152" s="2"/>
      <c r="E152" s="2"/>
      <c r="F152" s="19">
        <f t="shared" si="26"/>
        <v>0</v>
      </c>
      <c r="G152" s="2"/>
      <c r="H152" s="2">
        <v>316.45</v>
      </c>
      <c r="I152" s="2"/>
      <c r="J152" s="19">
        <f t="shared" si="27"/>
        <v>2.544601979702754E-4</v>
      </c>
      <c r="K152" s="2"/>
      <c r="L152" s="2">
        <f t="shared" si="28"/>
        <v>-316.45</v>
      </c>
      <c r="M152" s="2"/>
      <c r="N152" s="19">
        <f t="shared" si="29"/>
        <v>-1</v>
      </c>
      <c r="O152" s="11"/>
      <c r="P152" s="2">
        <v>9998.41</v>
      </c>
      <c r="Q152" s="2"/>
      <c r="R152" s="19">
        <f t="shared" si="30"/>
        <v>8.7213936835273424E-4</v>
      </c>
      <c r="S152" s="2"/>
      <c r="T152" s="2">
        <v>9492.2800000000007</v>
      </c>
      <c r="U152" s="2"/>
      <c r="V152" s="19">
        <f t="shared" si="31"/>
        <v>6.7594734266319153E-4</v>
      </c>
      <c r="W152" s="2"/>
      <c r="X152" s="2">
        <f t="shared" si="32"/>
        <v>506.1299999999992</v>
      </c>
      <c r="Y152" s="2"/>
      <c r="Z152" s="19">
        <f t="shared" si="33"/>
        <v>5.3320171760630655E-2</v>
      </c>
    </row>
    <row r="153" spans="1:26" s="24" customFormat="1" hidden="1" outlineLevel="1" x14ac:dyDescent="0.25">
      <c r="A153" s="44"/>
      <c r="B153" s="11" t="str">
        <f>CONCATENATE("          ", "5034", " - ", "PURCHASES @ COST-SODA")</f>
        <v xml:space="preserve">          5034 - PURCHASES @ COST-SODA</v>
      </c>
      <c r="C153" s="11"/>
      <c r="D153" s="2"/>
      <c r="E153" s="2"/>
      <c r="F153" s="19">
        <f t="shared" si="26"/>
        <v>0</v>
      </c>
      <c r="G153" s="2"/>
      <c r="H153" s="2">
        <v>56.97</v>
      </c>
      <c r="I153" s="2"/>
      <c r="J153" s="19">
        <f t="shared" si="27"/>
        <v>4.5810072612945459E-5</v>
      </c>
      <c r="K153" s="2"/>
      <c r="L153" s="2">
        <f t="shared" si="28"/>
        <v>-56.97</v>
      </c>
      <c r="M153" s="2"/>
      <c r="N153" s="19">
        <f t="shared" si="29"/>
        <v>-1</v>
      </c>
      <c r="O153" s="11"/>
      <c r="P153" s="2">
        <v>4033.88</v>
      </c>
      <c r="Q153" s="2"/>
      <c r="R153" s="19">
        <f t="shared" si="30"/>
        <v>3.5186650229493768E-4</v>
      </c>
      <c r="S153" s="2"/>
      <c r="T153" s="2">
        <v>3856.23</v>
      </c>
      <c r="U153" s="2"/>
      <c r="V153" s="19">
        <f t="shared" si="31"/>
        <v>2.7460298486750063E-4</v>
      </c>
      <c r="W153" s="2"/>
      <c r="X153" s="2">
        <f t="shared" si="32"/>
        <v>177.65000000000009</v>
      </c>
      <c r="Y153" s="2"/>
      <c r="Z153" s="19">
        <f t="shared" si="33"/>
        <v>4.6068310240831092E-2</v>
      </c>
    </row>
    <row r="154" spans="1:26" s="24" customFormat="1" hidden="1" outlineLevel="1" x14ac:dyDescent="0.25">
      <c r="A154" s="44"/>
      <c r="B154" s="11" t="str">
        <f>CONCATENATE("          ", "5035", " - ", "PURCHASES @ COST-HEALTH &amp; BEAU")</f>
        <v xml:space="preserve">          5035 - PURCHASES @ COST-HEALTH &amp; BEAU</v>
      </c>
      <c r="C154" s="11"/>
      <c r="D154" s="2"/>
      <c r="E154" s="2"/>
      <c r="F154" s="19">
        <f t="shared" si="26"/>
        <v>0</v>
      </c>
      <c r="G154" s="2"/>
      <c r="H154" s="2">
        <v>21.22</v>
      </c>
      <c r="I154" s="2"/>
      <c r="J154" s="19">
        <f t="shared" si="27"/>
        <v>1.7063186604295288E-5</v>
      </c>
      <c r="K154" s="2"/>
      <c r="L154" s="2">
        <f t="shared" si="28"/>
        <v>-21.22</v>
      </c>
      <c r="M154" s="2"/>
      <c r="N154" s="19">
        <f t="shared" si="29"/>
        <v>-1</v>
      </c>
      <c r="O154" s="11"/>
      <c r="P154" s="2">
        <v>1117.6500000000001</v>
      </c>
      <c r="Q154" s="2"/>
      <c r="R154" s="19">
        <f t="shared" si="30"/>
        <v>9.7490157438976153E-5</v>
      </c>
      <c r="S154" s="2"/>
      <c r="T154" s="2">
        <v>1219.07</v>
      </c>
      <c r="U154" s="2"/>
      <c r="V154" s="19">
        <f t="shared" si="31"/>
        <v>8.6810242325386188E-5</v>
      </c>
      <c r="W154" s="2"/>
      <c r="X154" s="2">
        <f t="shared" si="32"/>
        <v>-101.41999999999985</v>
      </c>
      <c r="Y154" s="2"/>
      <c r="Z154" s="19">
        <f t="shared" si="33"/>
        <v>-8.3194566349758303E-2</v>
      </c>
    </row>
    <row r="155" spans="1:26" s="24" customFormat="1" hidden="1" outlineLevel="1" x14ac:dyDescent="0.25">
      <c r="A155" s="44"/>
      <c r="B155" s="11" t="str">
        <f>CONCATENATE("          ", "5037", " - ", "PURCHASES @ COST-WATER")</f>
        <v xml:space="preserve">          5037 - PURCHASES @ COST-WATER</v>
      </c>
      <c r="C155" s="11"/>
      <c r="D155" s="2"/>
      <c r="E155" s="2"/>
      <c r="F155" s="19">
        <f t="shared" si="26"/>
        <v>0</v>
      </c>
      <c r="G155" s="2"/>
      <c r="H155" s="2">
        <v>23.2</v>
      </c>
      <c r="I155" s="2"/>
      <c r="J155" s="19">
        <f t="shared" si="27"/>
        <v>1.8655321829389757E-5</v>
      </c>
      <c r="K155" s="2"/>
      <c r="L155" s="2">
        <f t="shared" si="28"/>
        <v>-23.2</v>
      </c>
      <c r="M155" s="2"/>
      <c r="N155" s="19">
        <f t="shared" si="29"/>
        <v>-1</v>
      </c>
      <c r="O155" s="11"/>
      <c r="P155" s="2">
        <v>5693.57</v>
      </c>
      <c r="Q155" s="2"/>
      <c r="R155" s="19">
        <f t="shared" si="30"/>
        <v>4.9663761972874453E-4</v>
      </c>
      <c r="S155" s="2"/>
      <c r="T155" s="2">
        <v>5872.03</v>
      </c>
      <c r="U155" s="2"/>
      <c r="V155" s="19">
        <f t="shared" si="31"/>
        <v>4.1814854540095115E-4</v>
      </c>
      <c r="W155" s="2"/>
      <c r="X155" s="2">
        <f t="shared" si="32"/>
        <v>-178.46000000000004</v>
      </c>
      <c r="Y155" s="2"/>
      <c r="Z155" s="19">
        <f t="shared" si="33"/>
        <v>-3.0391534103197709E-2</v>
      </c>
    </row>
    <row r="156" spans="1:26" s="24" customFormat="1" hidden="1" outlineLevel="1" x14ac:dyDescent="0.25">
      <c r="A156" s="44"/>
      <c r="B156" s="11" t="str">
        <f>CONCATENATE("          ", "5040", " - ", "PURCHASES @ COST-LOGO CLOTHING")</f>
        <v xml:space="preserve">          5040 - PURCHASES @ COST-LOGO CLOTHING</v>
      </c>
      <c r="C156" s="11"/>
      <c r="D156" s="2">
        <v>1557.89</v>
      </c>
      <c r="E156" s="2"/>
      <c r="F156" s="19">
        <f t="shared" si="26"/>
        <v>4.3372802586471113E-3</v>
      </c>
      <c r="G156" s="2"/>
      <c r="H156" s="2">
        <v>35297.950000000004</v>
      </c>
      <c r="I156" s="2"/>
      <c r="J156" s="19">
        <f t="shared" si="27"/>
        <v>2.8383388671021911E-2</v>
      </c>
      <c r="K156" s="2"/>
      <c r="L156" s="2">
        <f t="shared" si="28"/>
        <v>-33740.060000000005</v>
      </c>
      <c r="M156" s="2"/>
      <c r="N156" s="19">
        <f t="shared" si="29"/>
        <v>-0.95586457570482142</v>
      </c>
      <c r="O156" s="11"/>
      <c r="P156" s="2">
        <v>976469.33000000007</v>
      </c>
      <c r="Q156" s="2"/>
      <c r="R156" s="19">
        <f t="shared" si="30"/>
        <v>8.5175277337298405E-2</v>
      </c>
      <c r="S156" s="2"/>
      <c r="T156" s="2">
        <v>1040147.1000000001</v>
      </c>
      <c r="U156" s="2"/>
      <c r="V156" s="19">
        <f t="shared" si="31"/>
        <v>7.4069103337009126E-2</v>
      </c>
      <c r="W156" s="2"/>
      <c r="X156" s="2">
        <f t="shared" si="32"/>
        <v>-63677.770000000019</v>
      </c>
      <c r="Y156" s="2"/>
      <c r="Z156" s="19">
        <f t="shared" si="33"/>
        <v>-6.1219965906745319E-2</v>
      </c>
    </row>
    <row r="157" spans="1:26" s="24" customFormat="1" hidden="1" outlineLevel="1" x14ac:dyDescent="0.25">
      <c r="A157" s="44"/>
      <c r="B157" s="11" t="str">
        <f>CONCATENATE("          ", "5041", " - ", "PURCHASES @ COST-LOGO GIFTS")</f>
        <v xml:space="preserve">          5041 - PURCHASES @ COST-LOGO GIFTS</v>
      </c>
      <c r="C157" s="11"/>
      <c r="D157" s="2">
        <v>4290.8100000000004</v>
      </c>
      <c r="E157" s="2"/>
      <c r="F157" s="19">
        <f t="shared" si="26"/>
        <v>1.1945930397271702E-2</v>
      </c>
      <c r="G157" s="2"/>
      <c r="H157" s="2">
        <v>36471.08</v>
      </c>
      <c r="I157" s="2"/>
      <c r="J157" s="19">
        <f t="shared" si="27"/>
        <v>2.9326712709716391E-2</v>
      </c>
      <c r="K157" s="2"/>
      <c r="L157" s="2">
        <f t="shared" si="28"/>
        <v>-32180.27</v>
      </c>
      <c r="M157" s="2"/>
      <c r="N157" s="19">
        <f t="shared" si="29"/>
        <v>-0.8823503444372911</v>
      </c>
      <c r="O157" s="11"/>
      <c r="P157" s="2">
        <v>149750.84</v>
      </c>
      <c r="Q157" s="2"/>
      <c r="R157" s="19">
        <f t="shared" si="30"/>
        <v>1.3062437228308438E-2</v>
      </c>
      <c r="S157" s="2"/>
      <c r="T157" s="2">
        <v>281833.13</v>
      </c>
      <c r="U157" s="2"/>
      <c r="V157" s="19">
        <f t="shared" si="31"/>
        <v>2.0069399058808824E-2</v>
      </c>
      <c r="W157" s="2"/>
      <c r="X157" s="2">
        <f t="shared" si="32"/>
        <v>-132082.29</v>
      </c>
      <c r="Y157" s="2"/>
      <c r="Z157" s="19">
        <f t="shared" si="33"/>
        <v>-0.46865423522067828</v>
      </c>
    </row>
    <row r="158" spans="1:26" s="24" customFormat="1" hidden="1" outlineLevel="1" x14ac:dyDescent="0.25">
      <c r="A158" s="44"/>
      <c r="B158" s="11" t="str">
        <f>CONCATENATE("          ", "5042", " - ", "PURCHASES @ COST-EVERYDAY GIFT")</f>
        <v xml:space="preserve">          5042 - PURCHASES @ COST-EVERYDAY GIFT</v>
      </c>
      <c r="C158" s="11"/>
      <c r="D158" s="2">
        <v>10730.16</v>
      </c>
      <c r="E158" s="2"/>
      <c r="F158" s="19">
        <f t="shared" si="26"/>
        <v>2.9873554063589141E-2</v>
      </c>
      <c r="G158" s="2"/>
      <c r="H158" s="2">
        <v>12317.53</v>
      </c>
      <c r="I158" s="2"/>
      <c r="J158" s="19">
        <f t="shared" si="27"/>
        <v>9.9046330298777265E-3</v>
      </c>
      <c r="K158" s="2"/>
      <c r="L158" s="2">
        <f t="shared" si="28"/>
        <v>-1587.3700000000008</v>
      </c>
      <c r="M158" s="2"/>
      <c r="N158" s="19">
        <f t="shared" si="29"/>
        <v>-0.12887080445511404</v>
      </c>
      <c r="O158" s="11"/>
      <c r="P158" s="2">
        <v>126615.2</v>
      </c>
      <c r="Q158" s="2"/>
      <c r="R158" s="19">
        <f t="shared" si="30"/>
        <v>1.1044366109396906E-2</v>
      </c>
      <c r="S158" s="2"/>
      <c r="T158" s="2">
        <v>142481.70000000001</v>
      </c>
      <c r="U158" s="2"/>
      <c r="V158" s="19">
        <f t="shared" si="31"/>
        <v>1.0146153136352285E-2</v>
      </c>
      <c r="W158" s="2"/>
      <c r="X158" s="2">
        <f t="shared" si="32"/>
        <v>-15866.500000000015</v>
      </c>
      <c r="Y158" s="2"/>
      <c r="Z158" s="19">
        <f t="shared" si="33"/>
        <v>-0.11135816038129819</v>
      </c>
    </row>
    <row r="159" spans="1:26" s="24" customFormat="1" hidden="1" outlineLevel="1" x14ac:dyDescent="0.25">
      <c r="A159" s="44"/>
      <c r="B159" s="11" t="str">
        <f>CONCATENATE("          ", "5043", " - ", "PURCHASES @ COST-CARDS")</f>
        <v xml:space="preserve">          5043 - PURCHASES @ COST-CARDS</v>
      </c>
      <c r="C159" s="11"/>
      <c r="D159" s="2"/>
      <c r="E159" s="2"/>
      <c r="F159" s="19">
        <f t="shared" si="26"/>
        <v>0</v>
      </c>
      <c r="G159" s="2"/>
      <c r="H159" s="2">
        <v>-968.82</v>
      </c>
      <c r="I159" s="2"/>
      <c r="J159" s="19">
        <f t="shared" si="27"/>
        <v>-7.7903659029092192E-4</v>
      </c>
      <c r="K159" s="2"/>
      <c r="L159" s="2">
        <f t="shared" si="28"/>
        <v>968.82</v>
      </c>
      <c r="M159" s="2"/>
      <c r="N159" s="19">
        <f t="shared" si="29"/>
        <v>-1</v>
      </c>
      <c r="O159" s="11"/>
      <c r="P159" s="2">
        <v>30914.659999999996</v>
      </c>
      <c r="Q159" s="2"/>
      <c r="R159" s="19">
        <f t="shared" si="30"/>
        <v>2.6966179667806717E-3</v>
      </c>
      <c r="S159" s="2"/>
      <c r="T159" s="2">
        <v>3392.76</v>
      </c>
      <c r="U159" s="2"/>
      <c r="V159" s="19">
        <f t="shared" si="31"/>
        <v>2.4159918442081036E-4</v>
      </c>
      <c r="W159" s="2"/>
      <c r="X159" s="2">
        <f t="shared" si="32"/>
        <v>27521.899999999994</v>
      </c>
      <c r="Y159" s="2"/>
      <c r="Z159" s="19">
        <f t="shared" si="33"/>
        <v>8.1119501526780535</v>
      </c>
    </row>
    <row r="160" spans="1:26" s="24" customFormat="1" hidden="1" outlineLevel="1" x14ac:dyDescent="0.25">
      <c r="A160" s="44"/>
      <c r="B160" s="11" t="str">
        <f>CONCATENATE("          ", "5044", " - ", "PURCHASES @ COST-ACCESSORIES")</f>
        <v xml:space="preserve">          5044 - PURCHASES @ COST-ACCESSORIES</v>
      </c>
      <c r="C160" s="11"/>
      <c r="D160" s="2">
        <v>1395</v>
      </c>
      <c r="E160" s="2"/>
      <c r="F160" s="19">
        <f t="shared" si="26"/>
        <v>3.8837825268874695E-3</v>
      </c>
      <c r="G160" s="2"/>
      <c r="H160" s="2">
        <v>4064.02</v>
      </c>
      <c r="I160" s="2"/>
      <c r="J160" s="19">
        <f t="shared" si="27"/>
        <v>3.2679138371153695E-3</v>
      </c>
      <c r="K160" s="2"/>
      <c r="L160" s="2">
        <f t="shared" si="28"/>
        <v>-2669.02</v>
      </c>
      <c r="M160" s="2"/>
      <c r="N160" s="19">
        <f t="shared" si="29"/>
        <v>-0.65674381523712977</v>
      </c>
      <c r="O160" s="11"/>
      <c r="P160" s="2">
        <v>37869.03</v>
      </c>
      <c r="Q160" s="2"/>
      <c r="R160" s="19">
        <f t="shared" si="30"/>
        <v>3.3032324043853717E-3</v>
      </c>
      <c r="S160" s="2"/>
      <c r="T160" s="2">
        <v>38291.129999999997</v>
      </c>
      <c r="U160" s="2"/>
      <c r="V160" s="19">
        <f t="shared" si="31"/>
        <v>2.7267197734444004E-3</v>
      </c>
      <c r="W160" s="2"/>
      <c r="X160" s="2">
        <f t="shared" si="32"/>
        <v>-422.09999999999854</v>
      </c>
      <c r="Y160" s="2"/>
      <c r="Z160" s="19">
        <f t="shared" si="33"/>
        <v>-1.1023440676731101E-2</v>
      </c>
    </row>
    <row r="161" spans="1:26" s="24" customFormat="1" hidden="1" outlineLevel="1" x14ac:dyDescent="0.25">
      <c r="A161" s="44"/>
      <c r="B161" s="11" t="str">
        <f>CONCATENATE("          ", "5045", " - ", "PURCHASES @ COST-SPECIAL ORDER")</f>
        <v xml:space="preserve">          5045 - PURCHASES @ COST-SPECIAL ORDER</v>
      </c>
      <c r="C161" s="11"/>
      <c r="D161" s="2">
        <v>16919.25</v>
      </c>
      <c r="E161" s="2"/>
      <c r="F161" s="19">
        <f t="shared" si="26"/>
        <v>4.7104435496803453E-2</v>
      </c>
      <c r="G161" s="2"/>
      <c r="H161" s="2">
        <v>21957.99</v>
      </c>
      <c r="I161" s="2"/>
      <c r="J161" s="19">
        <f t="shared" si="27"/>
        <v>1.7656610783470778E-2</v>
      </c>
      <c r="K161" s="2"/>
      <c r="L161" s="2">
        <f t="shared" si="28"/>
        <v>-5038.7400000000016</v>
      </c>
      <c r="M161" s="2"/>
      <c r="N161" s="19">
        <f t="shared" si="29"/>
        <v>-0.22947182324065185</v>
      </c>
      <c r="O161" s="11"/>
      <c r="P161" s="2">
        <v>78842.399999999994</v>
      </c>
      <c r="Q161" s="2"/>
      <c r="R161" s="19">
        <f t="shared" si="30"/>
        <v>6.8772495762239802E-3</v>
      </c>
      <c r="S161" s="2"/>
      <c r="T161" s="2">
        <v>121594.93999999999</v>
      </c>
      <c r="U161" s="2"/>
      <c r="V161" s="19">
        <f t="shared" si="31"/>
        <v>8.658802371431332E-3</v>
      </c>
      <c r="W161" s="2"/>
      <c r="X161" s="2">
        <f t="shared" si="32"/>
        <v>-42752.539999999994</v>
      </c>
      <c r="Y161" s="2"/>
      <c r="Z161" s="19">
        <f t="shared" si="33"/>
        <v>-0.35159801879913749</v>
      </c>
    </row>
    <row r="162" spans="1:26" s="24" customFormat="1" hidden="1" outlineLevel="1" x14ac:dyDescent="0.25">
      <c r="A162" s="44"/>
      <c r="B162" s="11" t="str">
        <f>CONCATENATE("          ", "5081", " - ", "PURCHASES @ COST-ELECTRONICS")</f>
        <v xml:space="preserve">          5081 - PURCHASES @ COST-ELECTRONICS</v>
      </c>
      <c r="C162" s="11"/>
      <c r="D162" s="2">
        <v>1637.44</v>
      </c>
      <c r="E162" s="2"/>
      <c r="F162" s="19">
        <f t="shared" si="26"/>
        <v>4.5587533052520559E-3</v>
      </c>
      <c r="G162" s="2"/>
      <c r="H162" s="2">
        <v>13679.91</v>
      </c>
      <c r="I162" s="2"/>
      <c r="J162" s="19">
        <f t="shared" si="27"/>
        <v>1.1000134639960657E-2</v>
      </c>
      <c r="K162" s="2"/>
      <c r="L162" s="2">
        <f t="shared" si="28"/>
        <v>-12042.47</v>
      </c>
      <c r="M162" s="2"/>
      <c r="N162" s="19">
        <f t="shared" si="29"/>
        <v>-0.88030330608900198</v>
      </c>
      <c r="O162" s="11"/>
      <c r="P162" s="2">
        <v>260469.61000000002</v>
      </c>
      <c r="Q162" s="2"/>
      <c r="R162" s="19">
        <f t="shared" si="30"/>
        <v>2.2720192624675627E-2</v>
      </c>
      <c r="S162" s="2"/>
      <c r="T162" s="2">
        <v>209317.53</v>
      </c>
      <c r="U162" s="2"/>
      <c r="V162" s="19">
        <f t="shared" si="31"/>
        <v>1.4905547263283728E-2</v>
      </c>
      <c r="W162" s="2"/>
      <c r="X162" s="2">
        <f t="shared" si="32"/>
        <v>51152.080000000016</v>
      </c>
      <c r="Y162" s="2"/>
      <c r="Z162" s="19">
        <f t="shared" si="33"/>
        <v>0.24437551885883621</v>
      </c>
    </row>
    <row r="163" spans="1:26" s="24" customFormat="1" hidden="1" outlineLevel="1" x14ac:dyDescent="0.25">
      <c r="A163" s="44"/>
      <c r="B163" s="11" t="str">
        <f>CONCATENATE("          ", "5082", " - ", "PURCHASES @ COST-COMPUTER HARD")</f>
        <v xml:space="preserve">          5082 - PURCHASES @ COST-COMPUTER HARD</v>
      </c>
      <c r="C163" s="11"/>
      <c r="D163" s="2">
        <v>140818.03</v>
      </c>
      <c r="E163" s="2"/>
      <c r="F163" s="19">
        <f t="shared" si="26"/>
        <v>0.39204774507864909</v>
      </c>
      <c r="G163" s="2"/>
      <c r="H163" s="2">
        <v>302415.51</v>
      </c>
      <c r="I163" s="2"/>
      <c r="J163" s="19">
        <f t="shared" si="27"/>
        <v>0.24317494246763091</v>
      </c>
      <c r="K163" s="2"/>
      <c r="L163" s="2">
        <f t="shared" si="28"/>
        <v>-161597.48000000001</v>
      </c>
      <c r="M163" s="2"/>
      <c r="N163" s="19">
        <f t="shared" si="29"/>
        <v>-0.53435579411915746</v>
      </c>
      <c r="O163" s="11"/>
      <c r="P163" s="2">
        <v>1641649.9</v>
      </c>
      <c r="Q163" s="2"/>
      <c r="R163" s="19">
        <f t="shared" si="30"/>
        <v>0.14319751908976819</v>
      </c>
      <c r="S163" s="2"/>
      <c r="T163" s="2">
        <v>1911385.3599999999</v>
      </c>
      <c r="U163" s="2"/>
      <c r="V163" s="19">
        <f t="shared" si="31"/>
        <v>0.13611017109665197</v>
      </c>
      <c r="W163" s="2"/>
      <c r="X163" s="2">
        <f t="shared" si="32"/>
        <v>-269735.45999999996</v>
      </c>
      <c r="Y163" s="2"/>
      <c r="Z163" s="19">
        <f t="shared" si="33"/>
        <v>-0.14112039656932393</v>
      </c>
    </row>
    <row r="164" spans="1:26" s="24" customFormat="1" hidden="1" outlineLevel="1" x14ac:dyDescent="0.25">
      <c r="A164" s="44"/>
      <c r="B164" s="11" t="str">
        <f>CONCATENATE("          ", "5083", " - ", "PURCHASES @ COST-COMPUTER EQUI")</f>
        <v xml:space="preserve">          5083 - PURCHASES @ COST-COMPUTER EQUI</v>
      </c>
      <c r="C164" s="11"/>
      <c r="D164" s="2">
        <v>14533.49</v>
      </c>
      <c r="E164" s="2"/>
      <c r="F164" s="19">
        <f t="shared" si="26"/>
        <v>4.0462304313042131E-2</v>
      </c>
      <c r="G164" s="2"/>
      <c r="H164" s="2">
        <v>6442.11</v>
      </c>
      <c r="I164" s="2"/>
      <c r="J164" s="19">
        <f t="shared" si="27"/>
        <v>5.180156694410778E-3</v>
      </c>
      <c r="K164" s="2"/>
      <c r="L164" s="2">
        <f t="shared" si="28"/>
        <v>8091.38</v>
      </c>
      <c r="M164" s="2"/>
      <c r="N164" s="19">
        <f t="shared" si="29"/>
        <v>1.2560139457413799</v>
      </c>
      <c r="O164" s="11"/>
      <c r="P164" s="2">
        <v>94945.82</v>
      </c>
      <c r="Q164" s="2"/>
      <c r="R164" s="19">
        <f t="shared" si="30"/>
        <v>8.2819155728293212E-3</v>
      </c>
      <c r="S164" s="2"/>
      <c r="T164" s="2">
        <v>108344.22</v>
      </c>
      <c r="U164" s="2"/>
      <c r="V164" s="19">
        <f t="shared" si="31"/>
        <v>7.715215691268716E-3</v>
      </c>
      <c r="W164" s="2"/>
      <c r="X164" s="2">
        <f t="shared" si="32"/>
        <v>-13398.399999999994</v>
      </c>
      <c r="Y164" s="2"/>
      <c r="Z164" s="19">
        <f t="shared" si="33"/>
        <v>-0.12366511106914604</v>
      </c>
    </row>
    <row r="165" spans="1:26" s="24" customFormat="1" hidden="1" outlineLevel="1" x14ac:dyDescent="0.25">
      <c r="A165" s="44"/>
      <c r="B165" s="11" t="str">
        <f>CONCATENATE("          ", "5084", " - ", "PURCHASES @ COST-SOFTWARE LICE")</f>
        <v xml:space="preserve">          5084 - PURCHASES @ COST-SOFTWARE LICE</v>
      </c>
      <c r="C165" s="11"/>
      <c r="D165" s="2"/>
      <c r="E165" s="2"/>
      <c r="F165" s="19">
        <f t="shared" si="26"/>
        <v>0</v>
      </c>
      <c r="G165" s="2"/>
      <c r="H165" s="2"/>
      <c r="I165" s="2"/>
      <c r="J165" s="19">
        <f t="shared" si="27"/>
        <v>0</v>
      </c>
      <c r="K165" s="2"/>
      <c r="L165" s="2">
        <f t="shared" si="28"/>
        <v>0</v>
      </c>
      <c r="M165" s="2"/>
      <c r="N165" s="19">
        <f t="shared" si="29"/>
        <v>0</v>
      </c>
      <c r="O165" s="11"/>
      <c r="P165" s="2">
        <v>2728</v>
      </c>
      <c r="Q165" s="2"/>
      <c r="R165" s="19">
        <f t="shared" si="30"/>
        <v>2.3795745492195849E-4</v>
      </c>
      <c r="S165" s="2"/>
      <c r="T165" s="2">
        <v>5183</v>
      </c>
      <c r="U165" s="2"/>
      <c r="V165" s="19">
        <f t="shared" si="31"/>
        <v>3.6908256783652841E-4</v>
      </c>
      <c r="W165" s="2"/>
      <c r="X165" s="2">
        <f t="shared" si="32"/>
        <v>-2455</v>
      </c>
      <c r="Y165" s="2"/>
      <c r="Z165" s="19">
        <f t="shared" si="33"/>
        <v>-0.47366390121551227</v>
      </c>
    </row>
    <row r="166" spans="1:26" s="24" customFormat="1" hidden="1" outlineLevel="1" x14ac:dyDescent="0.25">
      <c r="A166" s="44"/>
      <c r="B166" s="11" t="str">
        <f>CONCATENATE("          ", "5085", " - ", "PURCHASES @ COST-SOFTWARE")</f>
        <v xml:space="preserve">          5085 - PURCHASES @ COST-SOFTWARE</v>
      </c>
      <c r="C166" s="11"/>
      <c r="D166" s="2">
        <v>3661.64</v>
      </c>
      <c r="E166" s="2"/>
      <c r="F166" s="19">
        <f t="shared" si="26"/>
        <v>1.0194274875808053E-2</v>
      </c>
      <c r="G166" s="2"/>
      <c r="H166" s="2">
        <v>1875</v>
      </c>
      <c r="I166" s="2"/>
      <c r="J166" s="19">
        <f t="shared" si="27"/>
        <v>1.5077038116424913E-3</v>
      </c>
      <c r="K166" s="2"/>
      <c r="L166" s="2">
        <f t="shared" si="28"/>
        <v>1786.6399999999999</v>
      </c>
      <c r="M166" s="2"/>
      <c r="N166" s="19">
        <f t="shared" si="29"/>
        <v>0.95287466666666665</v>
      </c>
      <c r="O166" s="11"/>
      <c r="P166" s="2">
        <v>15328.14</v>
      </c>
      <c r="Q166" s="2"/>
      <c r="R166" s="19">
        <f t="shared" si="30"/>
        <v>1.3370400231259049E-3</v>
      </c>
      <c r="S166" s="2"/>
      <c r="T166" s="2">
        <v>12735.37</v>
      </c>
      <c r="U166" s="2"/>
      <c r="V166" s="19">
        <f t="shared" si="31"/>
        <v>9.0688849352658473E-4</v>
      </c>
      <c r="W166" s="2"/>
      <c r="X166" s="2">
        <f t="shared" si="32"/>
        <v>2592.7699999999986</v>
      </c>
      <c r="Y166" s="2"/>
      <c r="Z166" s="19">
        <f t="shared" si="33"/>
        <v>0.20358811718858569</v>
      </c>
    </row>
    <row r="167" spans="1:26" s="24" customFormat="1" hidden="1" outlineLevel="1" x14ac:dyDescent="0.25">
      <c r="A167" s="44"/>
      <c r="B167" s="11" t="str">
        <f>CONCATENATE("          ", "5086", " - ", "PURCHASES @ COST-COMPUTER SUPP")</f>
        <v xml:space="preserve">          5086 - PURCHASES @ COST-COMPUTER SUPP</v>
      </c>
      <c r="C167" s="11"/>
      <c r="D167" s="2">
        <v>-67.5</v>
      </c>
      <c r="E167" s="2"/>
      <c r="F167" s="19">
        <f t="shared" si="26"/>
        <v>-1.8792496097842594E-4</v>
      </c>
      <c r="G167" s="2"/>
      <c r="H167" s="2">
        <v>4684</v>
      </c>
      <c r="I167" s="2"/>
      <c r="J167" s="19">
        <f t="shared" si="27"/>
        <v>3.7664451486578289E-3</v>
      </c>
      <c r="K167" s="2"/>
      <c r="L167" s="2">
        <f t="shared" si="28"/>
        <v>-4751.5</v>
      </c>
      <c r="M167" s="2"/>
      <c r="N167" s="19">
        <f t="shared" si="29"/>
        <v>-1.0144107600341588</v>
      </c>
      <c r="O167" s="11"/>
      <c r="P167" s="2">
        <v>30309.27</v>
      </c>
      <c r="Q167" s="2"/>
      <c r="R167" s="19">
        <f t="shared" si="30"/>
        <v>2.6438111252721662E-3</v>
      </c>
      <c r="S167" s="2"/>
      <c r="T167" s="2">
        <v>61067.44</v>
      </c>
      <c r="U167" s="2"/>
      <c r="V167" s="19">
        <f t="shared" si="31"/>
        <v>4.3486258086828343E-3</v>
      </c>
      <c r="W167" s="2"/>
      <c r="X167" s="2">
        <f t="shared" si="32"/>
        <v>-30758.170000000002</v>
      </c>
      <c r="Y167" s="2"/>
      <c r="Z167" s="19">
        <f t="shared" si="33"/>
        <v>-0.50367544472144243</v>
      </c>
    </row>
    <row r="168" spans="1:26" s="24" customFormat="1" hidden="1" outlineLevel="1" x14ac:dyDescent="0.25">
      <c r="A168" s="44"/>
      <c r="B168" s="11" t="str">
        <f>CONCATENATE("          ", "5088", " - ", "PURCHASES @ COST-MUSIC")</f>
        <v xml:space="preserve">          5088 - PURCHASES @ COST-MUSIC</v>
      </c>
      <c r="C168" s="11"/>
      <c r="D168" s="2"/>
      <c r="E168" s="2"/>
      <c r="F168" s="19">
        <f t="shared" si="26"/>
        <v>0</v>
      </c>
      <c r="G168" s="2"/>
      <c r="H168" s="2">
        <v>1949</v>
      </c>
      <c r="I168" s="2"/>
      <c r="J168" s="19">
        <f t="shared" si="27"/>
        <v>1.5672078554086484E-3</v>
      </c>
      <c r="K168" s="2"/>
      <c r="L168" s="2">
        <f t="shared" si="28"/>
        <v>-1949</v>
      </c>
      <c r="M168" s="2"/>
      <c r="N168" s="19">
        <f t="shared" si="29"/>
        <v>-1</v>
      </c>
      <c r="O168" s="11"/>
      <c r="P168" s="2">
        <v>95.65</v>
      </c>
      <c r="Q168" s="2"/>
      <c r="R168" s="19">
        <f t="shared" si="30"/>
        <v>8.3433396492981424E-6</v>
      </c>
      <c r="S168" s="2"/>
      <c r="T168" s="2">
        <v>1949</v>
      </c>
      <c r="U168" s="2"/>
      <c r="V168" s="19">
        <f t="shared" si="31"/>
        <v>1.3878871786868489E-4</v>
      </c>
      <c r="W168" s="2"/>
      <c r="X168" s="2">
        <f t="shared" si="32"/>
        <v>-1853.35</v>
      </c>
      <c r="Y168" s="2"/>
      <c r="Z168" s="19">
        <f t="shared" si="33"/>
        <v>-0.95092355053873778</v>
      </c>
    </row>
    <row r="169" spans="1:26" s="24" customFormat="1" hidden="1" outlineLevel="1" x14ac:dyDescent="0.25">
      <c r="A169" s="44"/>
      <c r="B169" s="11" t="str">
        <f>CONCATENATE("          ", "5092", " - ", "PURCHASES @ COST-GRAD MERCH")</f>
        <v xml:space="preserve">          5092 - PURCHASES @ COST-GRAD MERCH</v>
      </c>
      <c r="C169" s="11"/>
      <c r="D169" s="2">
        <v>-3999.6</v>
      </c>
      <c r="E169" s="2"/>
      <c r="F169" s="19">
        <f t="shared" si="26"/>
        <v>-1.1135180354508332E-2</v>
      </c>
      <c r="G169" s="2"/>
      <c r="H169" s="2">
        <v>-10772.4</v>
      </c>
      <c r="I169" s="2"/>
      <c r="J169" s="19">
        <f t="shared" si="27"/>
        <v>-8.6621805549533717E-3</v>
      </c>
      <c r="K169" s="2"/>
      <c r="L169" s="2">
        <f t="shared" si="28"/>
        <v>6772.7999999999993</v>
      </c>
      <c r="M169" s="2"/>
      <c r="N169" s="19">
        <f t="shared" si="29"/>
        <v>-0.62871783446585716</v>
      </c>
      <c r="O169" s="11"/>
      <c r="P169" s="2">
        <v>4485.88</v>
      </c>
      <c r="Q169" s="2"/>
      <c r="R169" s="19">
        <f t="shared" si="30"/>
        <v>3.9129347063244694E-4</v>
      </c>
      <c r="S169" s="2"/>
      <c r="T169" s="2">
        <v>24835.06</v>
      </c>
      <c r="U169" s="2"/>
      <c r="V169" s="19">
        <f t="shared" si="31"/>
        <v>1.7685100747008014E-3</v>
      </c>
      <c r="W169" s="2"/>
      <c r="X169" s="2">
        <f t="shared" si="32"/>
        <v>-20349.18</v>
      </c>
      <c r="Y169" s="2"/>
      <c r="Z169" s="19">
        <f t="shared" si="33"/>
        <v>-0.81937309593775898</v>
      </c>
    </row>
    <row r="170" spans="1:26" s="24" customFormat="1" hidden="1" outlineLevel="1" x14ac:dyDescent="0.25">
      <c r="A170" s="44"/>
      <c r="B170" s="11" t="str">
        <f>CONCATENATE("          ", "5095", " - ", "PURCHASES @ COST-CUSTOMER SERV")</f>
        <v xml:space="preserve">          5095 - PURCHASES @ COST-CUSTOMER SERV</v>
      </c>
      <c r="C170" s="11"/>
      <c r="D170" s="2"/>
      <c r="E170" s="2"/>
      <c r="F170" s="19">
        <f t="shared" si="26"/>
        <v>0</v>
      </c>
      <c r="G170" s="2"/>
      <c r="H170" s="2">
        <v>0</v>
      </c>
      <c r="I170" s="2"/>
      <c r="J170" s="19">
        <f t="shared" si="27"/>
        <v>0</v>
      </c>
      <c r="K170" s="2"/>
      <c r="L170" s="2">
        <f t="shared" si="28"/>
        <v>0</v>
      </c>
      <c r="M170" s="2"/>
      <c r="N170" s="19">
        <f t="shared" si="29"/>
        <v>0</v>
      </c>
      <c r="O170" s="11"/>
      <c r="P170" s="2">
        <v>0</v>
      </c>
      <c r="Q170" s="2"/>
      <c r="R170" s="19">
        <f t="shared" si="30"/>
        <v>0</v>
      </c>
      <c r="S170" s="2"/>
      <c r="T170" s="2">
        <v>0</v>
      </c>
      <c r="U170" s="2"/>
      <c r="V170" s="19">
        <f t="shared" si="31"/>
        <v>0</v>
      </c>
      <c r="W170" s="2"/>
      <c r="X170" s="2">
        <f t="shared" si="32"/>
        <v>0</v>
      </c>
      <c r="Y170" s="2"/>
      <c r="Z170" s="19">
        <f t="shared" si="33"/>
        <v>0</v>
      </c>
    </row>
    <row r="171" spans="1:26" s="24" customFormat="1" hidden="1" outlineLevel="1" x14ac:dyDescent="0.25">
      <c r="A171" s="44"/>
      <c r="B171" s="11" t="str">
        <f>CONCATENATE("          ", "5200", " - ", "PURCHASES OFFSET")</f>
        <v xml:space="preserve">          5200 - PURCHASES OFFSET</v>
      </c>
      <c r="C171" s="11"/>
      <c r="D171" s="2">
        <v>-217306</v>
      </c>
      <c r="E171" s="2"/>
      <c r="F171" s="19">
        <f t="shared" si="26"/>
        <v>-0.6049958751167086</v>
      </c>
      <c r="G171" s="2"/>
      <c r="H171" s="2">
        <v>-562052</v>
      </c>
      <c r="I171" s="2"/>
      <c r="J171" s="19">
        <f t="shared" si="27"/>
        <v>-0.45195090279535227</v>
      </c>
      <c r="K171" s="2"/>
      <c r="L171" s="2">
        <f t="shared" si="28"/>
        <v>344746</v>
      </c>
      <c r="M171" s="2"/>
      <c r="N171" s="19">
        <f t="shared" si="29"/>
        <v>-0.61337029314013647</v>
      </c>
      <c r="O171" s="11"/>
      <c r="P171" s="2">
        <v>-5517897</v>
      </c>
      <c r="Q171" s="2"/>
      <c r="R171" s="19">
        <f t="shared" si="30"/>
        <v>-0.48131404935539224</v>
      </c>
      <c r="S171" s="2"/>
      <c r="T171" s="2">
        <v>-6439112</v>
      </c>
      <c r="U171" s="2"/>
      <c r="V171" s="19">
        <f t="shared" si="31"/>
        <v>-0.45853057911383444</v>
      </c>
      <c r="W171" s="2"/>
      <c r="X171" s="2">
        <f t="shared" si="32"/>
        <v>921215</v>
      </c>
      <c r="Y171" s="2"/>
      <c r="Z171" s="19">
        <f t="shared" si="33"/>
        <v>-0.143065534502273</v>
      </c>
    </row>
    <row r="172" spans="1:26" s="24" customFormat="1" hidden="1" outlineLevel="1" x14ac:dyDescent="0.25">
      <c r="A172" s="44"/>
      <c r="B172" s="11" t="str">
        <f>CONCATENATE("          ", "5300", " - ", "COG$ OFFSET")</f>
        <v xml:space="preserve">          5300 - COG$ OFFSET</v>
      </c>
      <c r="C172" s="11"/>
      <c r="D172" s="2">
        <v>237794.99999999997</v>
      </c>
      <c r="E172" s="2"/>
      <c r="F172" s="19">
        <f t="shared" si="26"/>
        <v>0.66203875697577474</v>
      </c>
      <c r="G172" s="2"/>
      <c r="H172" s="2">
        <v>747522</v>
      </c>
      <c r="I172" s="2"/>
      <c r="J172" s="19">
        <f t="shared" si="27"/>
        <v>0.60108894329952978</v>
      </c>
      <c r="K172" s="2"/>
      <c r="L172" s="2">
        <f t="shared" si="28"/>
        <v>-509727</v>
      </c>
      <c r="M172" s="2"/>
      <c r="N172" s="19">
        <f t="shared" si="29"/>
        <v>-0.68188896112756547</v>
      </c>
      <c r="O172" s="11"/>
      <c r="P172" s="2">
        <v>6157688.4699999997</v>
      </c>
      <c r="Q172" s="2"/>
      <c r="R172" s="19">
        <f t="shared" si="30"/>
        <v>0.53712165561711456</v>
      </c>
      <c r="S172" s="2"/>
      <c r="T172" s="2">
        <v>7342318</v>
      </c>
      <c r="U172" s="2"/>
      <c r="V172" s="19">
        <f t="shared" si="31"/>
        <v>0.52284807665683264</v>
      </c>
      <c r="W172" s="2"/>
      <c r="X172" s="2">
        <f t="shared" si="32"/>
        <v>-1184629.5300000003</v>
      </c>
      <c r="Y172" s="2"/>
      <c r="Z172" s="19">
        <f t="shared" si="33"/>
        <v>-0.16134271629204841</v>
      </c>
    </row>
    <row r="173" spans="1:26" s="24" customFormat="1" hidden="1" outlineLevel="1" x14ac:dyDescent="0.25">
      <c r="A173" s="44"/>
      <c r="B173" s="11" t="str">
        <f>CONCATENATE("          ", "5500", " - ", "FREIGHT-IN")</f>
        <v xml:space="preserve">          5500 - FREIGHT-IN</v>
      </c>
      <c r="C173" s="11"/>
      <c r="D173" s="2"/>
      <c r="E173" s="2"/>
      <c r="F173" s="19">
        <f t="shared" si="26"/>
        <v>0</v>
      </c>
      <c r="G173" s="2"/>
      <c r="H173" s="2">
        <v>14.08</v>
      </c>
      <c r="I173" s="2"/>
      <c r="J173" s="19">
        <f t="shared" si="27"/>
        <v>1.1321850489560682E-5</v>
      </c>
      <c r="K173" s="2"/>
      <c r="L173" s="2">
        <f t="shared" si="28"/>
        <v>-14.08</v>
      </c>
      <c r="M173" s="2"/>
      <c r="N173" s="19">
        <f t="shared" si="29"/>
        <v>-1</v>
      </c>
      <c r="O173" s="11"/>
      <c r="P173" s="2">
        <v>156.47999999999999</v>
      </c>
      <c r="Q173" s="2"/>
      <c r="R173" s="19">
        <f t="shared" si="30"/>
        <v>1.3649407091711167E-5</v>
      </c>
      <c r="S173" s="2"/>
      <c r="T173" s="2">
        <v>202.99</v>
      </c>
      <c r="U173" s="2"/>
      <c r="V173" s="19">
        <f t="shared" si="31"/>
        <v>1.4454962462885761E-5</v>
      </c>
      <c r="W173" s="2"/>
      <c r="X173" s="2">
        <f t="shared" si="32"/>
        <v>-46.510000000000019</v>
      </c>
      <c r="Y173" s="2"/>
      <c r="Z173" s="19">
        <f t="shared" si="33"/>
        <v>-0.22912458741809949</v>
      </c>
    </row>
    <row r="174" spans="1:26" s="24" customFormat="1" hidden="1" outlineLevel="1" x14ac:dyDescent="0.25">
      <c r="A174" s="44"/>
      <c r="B174" s="11" t="str">
        <f>CONCATENATE("          ", "5501", " - ", "FREIGHT-IN-NEW TEXT")</f>
        <v xml:space="preserve">          5501 - FREIGHT-IN-NEW TEXT</v>
      </c>
      <c r="C174" s="11"/>
      <c r="D174" s="2">
        <v>-21.22</v>
      </c>
      <c r="E174" s="2"/>
      <c r="F174" s="19">
        <f t="shared" si="26"/>
        <v>-5.9078039584625162E-5</v>
      </c>
      <c r="G174" s="2"/>
      <c r="H174" s="2">
        <v>1437.4</v>
      </c>
      <c r="I174" s="2"/>
      <c r="J174" s="19">
        <f t="shared" si="27"/>
        <v>1.1558258447226224E-3</v>
      </c>
      <c r="K174" s="2"/>
      <c r="L174" s="2">
        <f t="shared" si="28"/>
        <v>-1458.6200000000001</v>
      </c>
      <c r="M174" s="2"/>
      <c r="N174" s="19">
        <f t="shared" si="29"/>
        <v>-1.0147627661054681</v>
      </c>
      <c r="O174" s="11"/>
      <c r="P174" s="2">
        <v>69747.73000000001</v>
      </c>
      <c r="Q174" s="2"/>
      <c r="R174" s="19">
        <f t="shared" si="30"/>
        <v>6.0839414653166913E-3</v>
      </c>
      <c r="S174" s="2"/>
      <c r="T174" s="2">
        <v>64203.939999999995</v>
      </c>
      <c r="U174" s="2"/>
      <c r="V174" s="19">
        <f t="shared" si="31"/>
        <v>4.5719766622462658E-3</v>
      </c>
      <c r="W174" s="2"/>
      <c r="X174" s="2">
        <f t="shared" si="32"/>
        <v>5543.7900000000154</v>
      </c>
      <c r="Y174" s="2"/>
      <c r="Z174" s="19">
        <f t="shared" si="33"/>
        <v>8.6346570008009105E-2</v>
      </c>
    </row>
    <row r="175" spans="1:26" s="24" customFormat="1" hidden="1" outlineLevel="1" x14ac:dyDescent="0.25">
      <c r="A175" s="44"/>
      <c r="B175" s="11" t="str">
        <f>CONCATENATE("          ", "5502", " - ", "FREIGHT-IN-USED TEXT")</f>
        <v xml:space="preserve">          5502 - FREIGHT-IN-USED TEXT</v>
      </c>
      <c r="C175" s="11"/>
      <c r="D175" s="2">
        <v>379.42</v>
      </c>
      <c r="E175" s="2"/>
      <c r="F175" s="19">
        <f t="shared" si="26"/>
        <v>1.0563331658434722E-3</v>
      </c>
      <c r="G175" s="2"/>
      <c r="H175" s="2">
        <v>306.19</v>
      </c>
      <c r="I175" s="2"/>
      <c r="J175" s="19">
        <f t="shared" si="27"/>
        <v>2.4621004271296767E-4</v>
      </c>
      <c r="K175" s="2"/>
      <c r="L175" s="2">
        <f t="shared" si="28"/>
        <v>73.230000000000018</v>
      </c>
      <c r="M175" s="2"/>
      <c r="N175" s="19">
        <f t="shared" si="29"/>
        <v>0.23916522420719166</v>
      </c>
      <c r="O175" s="11"/>
      <c r="P175" s="2">
        <v>15680.76</v>
      </c>
      <c r="Q175" s="2"/>
      <c r="R175" s="19">
        <f t="shared" si="30"/>
        <v>1.3677982920975256E-3</v>
      </c>
      <c r="S175" s="2"/>
      <c r="T175" s="2">
        <v>14043.29</v>
      </c>
      <c r="U175" s="2"/>
      <c r="V175" s="19">
        <f t="shared" si="31"/>
        <v>1.0000257638574264E-3</v>
      </c>
      <c r="W175" s="2"/>
      <c r="X175" s="2">
        <f t="shared" si="32"/>
        <v>1637.4699999999993</v>
      </c>
      <c r="Y175" s="2"/>
      <c r="Z175" s="19">
        <f t="shared" si="33"/>
        <v>0.11660159407090498</v>
      </c>
    </row>
    <row r="176" spans="1:26" s="24" customFormat="1" hidden="1" outlineLevel="1" x14ac:dyDescent="0.25">
      <c r="A176" s="44"/>
      <c r="B176" s="11" t="str">
        <f>CONCATENATE("          ", "5504", " - ", "FREIGHT-IN-DIGITAL TEXT")</f>
        <v xml:space="preserve">          5504 - FREIGHT-IN-DIGITAL TEXT</v>
      </c>
      <c r="C176" s="11"/>
      <c r="D176" s="2"/>
      <c r="E176" s="2"/>
      <c r="F176" s="19">
        <f t="shared" si="26"/>
        <v>0</v>
      </c>
      <c r="G176" s="2"/>
      <c r="H176" s="2"/>
      <c r="I176" s="2"/>
      <c r="J176" s="19">
        <f t="shared" si="27"/>
        <v>0</v>
      </c>
      <c r="K176" s="2"/>
      <c r="L176" s="2">
        <f t="shared" si="28"/>
        <v>0</v>
      </c>
      <c r="M176" s="2"/>
      <c r="N176" s="19">
        <f t="shared" si="29"/>
        <v>0</v>
      </c>
      <c r="O176" s="11"/>
      <c r="P176" s="2">
        <v>118.75</v>
      </c>
      <c r="Q176" s="2"/>
      <c r="R176" s="19">
        <f t="shared" si="30"/>
        <v>1.0358301969201822E-5</v>
      </c>
      <c r="S176" s="2"/>
      <c r="T176" s="2">
        <v>243.53</v>
      </c>
      <c r="U176" s="2"/>
      <c r="V176" s="19">
        <f t="shared" si="31"/>
        <v>1.7341824762730034E-5</v>
      </c>
      <c r="W176" s="2"/>
      <c r="X176" s="2">
        <f t="shared" si="32"/>
        <v>-124.78</v>
      </c>
      <c r="Y176" s="2"/>
      <c r="Z176" s="19">
        <f t="shared" si="33"/>
        <v>-0.5123804048782491</v>
      </c>
    </row>
    <row r="177" spans="1:26" s="24" customFormat="1" hidden="1" outlineLevel="1" x14ac:dyDescent="0.25">
      <c r="A177" s="44"/>
      <c r="B177" s="11" t="str">
        <f>CONCATENATE("          ", "5513", " - ", "FREIGHT-IN-TRADE BOOKS")</f>
        <v xml:space="preserve">          5513 - FREIGHT-IN-TRADE BOOKS</v>
      </c>
      <c r="C177" s="11"/>
      <c r="D177" s="2"/>
      <c r="E177" s="2"/>
      <c r="F177" s="19">
        <f t="shared" si="26"/>
        <v>0</v>
      </c>
      <c r="G177" s="2"/>
      <c r="H177" s="2"/>
      <c r="I177" s="2"/>
      <c r="J177" s="19">
        <f t="shared" si="27"/>
        <v>0</v>
      </c>
      <c r="K177" s="2"/>
      <c r="L177" s="2">
        <f t="shared" si="28"/>
        <v>0</v>
      </c>
      <c r="M177" s="2"/>
      <c r="N177" s="19">
        <f t="shared" si="29"/>
        <v>0</v>
      </c>
      <c r="O177" s="11"/>
      <c r="P177" s="2">
        <v>30.24</v>
      </c>
      <c r="Q177" s="2"/>
      <c r="R177" s="19">
        <f t="shared" si="30"/>
        <v>2.6377688551466364E-6</v>
      </c>
      <c r="S177" s="2"/>
      <c r="T177" s="2">
        <v>54.9</v>
      </c>
      <c r="U177" s="2"/>
      <c r="V177" s="19">
        <f t="shared" si="31"/>
        <v>3.9094410523298105E-6</v>
      </c>
      <c r="W177" s="2"/>
      <c r="X177" s="2">
        <f t="shared" si="32"/>
        <v>-24.66</v>
      </c>
      <c r="Y177" s="2"/>
      <c r="Z177" s="19">
        <f t="shared" si="33"/>
        <v>-0.44918032786885248</v>
      </c>
    </row>
    <row r="178" spans="1:26" s="24" customFormat="1" hidden="1" outlineLevel="1" x14ac:dyDescent="0.25">
      <c r="A178" s="44"/>
      <c r="B178" s="11" t="str">
        <f>CONCATENATE("          ", "5518", " - ", "FREIGHT-IN-STUDY GUIDES")</f>
        <v xml:space="preserve">          5518 - FREIGHT-IN-STUDY GUIDES</v>
      </c>
      <c r="C178" s="11"/>
      <c r="D178" s="2"/>
      <c r="E178" s="2"/>
      <c r="F178" s="19">
        <f t="shared" si="26"/>
        <v>0</v>
      </c>
      <c r="G178" s="2"/>
      <c r="H178" s="2"/>
      <c r="I178" s="2"/>
      <c r="J178" s="19">
        <f t="shared" si="27"/>
        <v>0</v>
      </c>
      <c r="K178" s="2"/>
      <c r="L178" s="2">
        <f t="shared" si="28"/>
        <v>0</v>
      </c>
      <c r="M178" s="2"/>
      <c r="N178" s="19">
        <f t="shared" si="29"/>
        <v>0</v>
      </c>
      <c r="O178" s="11"/>
      <c r="P178" s="2">
        <v>21.13</v>
      </c>
      <c r="Q178" s="2"/>
      <c r="R178" s="19">
        <f t="shared" si="30"/>
        <v>1.8431235419725011E-6</v>
      </c>
      <c r="S178" s="2"/>
      <c r="T178" s="2"/>
      <c r="U178" s="2"/>
      <c r="V178" s="19">
        <f t="shared" si="31"/>
        <v>0</v>
      </c>
      <c r="W178" s="2"/>
      <c r="X178" s="2">
        <f t="shared" si="32"/>
        <v>21.13</v>
      </c>
      <c r="Y178" s="2"/>
      <c r="Z178" s="19">
        <f t="shared" si="33"/>
        <v>0</v>
      </c>
    </row>
    <row r="179" spans="1:26" s="24" customFormat="1" hidden="1" outlineLevel="1" x14ac:dyDescent="0.25">
      <c r="A179" s="44"/>
      <c r="B179" s="11" t="str">
        <f>CONCATENATE("          ", "5525", " - ", "FREIGHT-IN-TEST FORMS")</f>
        <v xml:space="preserve">          5525 - FREIGHT-IN-TEST FORMS</v>
      </c>
      <c r="C179" s="11"/>
      <c r="D179" s="2">
        <v>377.1</v>
      </c>
      <c r="E179" s="2"/>
      <c r="F179" s="19">
        <f t="shared" si="26"/>
        <v>1.0498741153328064E-3</v>
      </c>
      <c r="G179" s="2"/>
      <c r="H179" s="2">
        <v>55.71</v>
      </c>
      <c r="I179" s="2"/>
      <c r="J179" s="19">
        <f t="shared" si="27"/>
        <v>4.4796895651521701E-5</v>
      </c>
      <c r="K179" s="2"/>
      <c r="L179" s="2">
        <f t="shared" si="28"/>
        <v>321.39000000000004</v>
      </c>
      <c r="M179" s="2"/>
      <c r="N179" s="19">
        <f t="shared" si="29"/>
        <v>5.7689822294022628</v>
      </c>
      <c r="O179" s="11"/>
      <c r="P179" s="2">
        <v>1614.32</v>
      </c>
      <c r="Q179" s="2"/>
      <c r="R179" s="19">
        <f t="shared" si="30"/>
        <v>1.4081359187302641E-4</v>
      </c>
      <c r="S179" s="2"/>
      <c r="T179" s="2">
        <v>390.96</v>
      </c>
      <c r="U179" s="2"/>
      <c r="V179" s="19">
        <f t="shared" si="31"/>
        <v>2.7840347428394584E-5</v>
      </c>
      <c r="W179" s="2"/>
      <c r="X179" s="2">
        <f t="shared" si="32"/>
        <v>1223.3599999999999</v>
      </c>
      <c r="Y179" s="2"/>
      <c r="Z179" s="19">
        <f t="shared" si="33"/>
        <v>3.1291180683445874</v>
      </c>
    </row>
    <row r="180" spans="1:26" s="24" customFormat="1" hidden="1" outlineLevel="1" x14ac:dyDescent="0.25">
      <c r="A180" s="44"/>
      <c r="B180" s="11" t="str">
        <f>CONCATENATE("          ", "5526", " - ", "FREIGHT-IN-WRITING INSTRUMENTS")</f>
        <v xml:space="preserve">          5526 - FREIGHT-IN-WRITING INSTRUMENTS</v>
      </c>
      <c r="C180" s="11"/>
      <c r="D180" s="2">
        <v>14.15</v>
      </c>
      <c r="E180" s="2"/>
      <c r="F180" s="19">
        <f t="shared" si="26"/>
        <v>3.9394639968070036E-5</v>
      </c>
      <c r="G180" s="2"/>
      <c r="H180" s="2">
        <v>24.01</v>
      </c>
      <c r="I180" s="2"/>
      <c r="J180" s="19">
        <f t="shared" si="27"/>
        <v>1.9306649876019316E-5</v>
      </c>
      <c r="K180" s="2"/>
      <c r="L180" s="2">
        <f t="shared" si="28"/>
        <v>-9.8600000000000012</v>
      </c>
      <c r="M180" s="2"/>
      <c r="N180" s="19">
        <f t="shared" si="29"/>
        <v>-0.41066222407330283</v>
      </c>
      <c r="O180" s="11"/>
      <c r="P180" s="2">
        <v>274.5</v>
      </c>
      <c r="Q180" s="2"/>
      <c r="R180" s="19">
        <f t="shared" si="30"/>
        <v>2.3944032762491792E-5</v>
      </c>
      <c r="S180" s="2"/>
      <c r="T180" s="2">
        <v>256.12</v>
      </c>
      <c r="U180" s="2"/>
      <c r="V180" s="19">
        <f t="shared" si="31"/>
        <v>1.8238361426643189E-5</v>
      </c>
      <c r="W180" s="2"/>
      <c r="X180" s="2">
        <f t="shared" si="32"/>
        <v>18.379999999999995</v>
      </c>
      <c r="Y180" s="2"/>
      <c r="Z180" s="19">
        <f t="shared" si="33"/>
        <v>7.1763235983132889E-2</v>
      </c>
    </row>
    <row r="181" spans="1:26" s="24" customFormat="1" hidden="1" outlineLevel="1" x14ac:dyDescent="0.25">
      <c r="A181" s="44"/>
      <c r="B181" s="11" t="str">
        <f>CONCATENATE("          ", "5527", " - ", "FREIGHT-IN-SCHOOL SUPPLIES")</f>
        <v xml:space="preserve">          5527 - FREIGHT-IN-SCHOOL SUPPLIES</v>
      </c>
      <c r="C181" s="11"/>
      <c r="D181" s="2">
        <v>-250.91</v>
      </c>
      <c r="E181" s="2"/>
      <c r="F181" s="19">
        <f t="shared" si="26"/>
        <v>-6.9855188087550898E-4</v>
      </c>
      <c r="G181" s="2"/>
      <c r="H181" s="2">
        <v>150.80000000000001</v>
      </c>
      <c r="I181" s="2"/>
      <c r="J181" s="19">
        <f t="shared" si="27"/>
        <v>1.2125959189103344E-4</v>
      </c>
      <c r="K181" s="2"/>
      <c r="L181" s="2">
        <f t="shared" si="28"/>
        <v>-401.71000000000004</v>
      </c>
      <c r="M181" s="2"/>
      <c r="N181" s="19">
        <f t="shared" si="29"/>
        <v>-2.6638594164456233</v>
      </c>
      <c r="O181" s="11"/>
      <c r="P181" s="2">
        <v>1808</v>
      </c>
      <c r="Q181" s="2"/>
      <c r="R181" s="19">
        <f t="shared" si="30"/>
        <v>1.57707873350037E-4</v>
      </c>
      <c r="S181" s="2"/>
      <c r="T181" s="2">
        <v>1912.08</v>
      </c>
      <c r="U181" s="2"/>
      <c r="V181" s="19">
        <f t="shared" si="31"/>
        <v>1.3615963656354798E-4</v>
      </c>
      <c r="W181" s="2"/>
      <c r="X181" s="2">
        <f t="shared" si="32"/>
        <v>-104.07999999999993</v>
      </c>
      <c r="Y181" s="2"/>
      <c r="Z181" s="19">
        <f t="shared" si="33"/>
        <v>-5.4432868917618477E-2</v>
      </c>
    </row>
    <row r="182" spans="1:26" s="24" customFormat="1" hidden="1" outlineLevel="1" x14ac:dyDescent="0.25">
      <c r="A182" s="44"/>
      <c r="B182" s="11" t="str">
        <f>CONCATENATE("          ", "5528", " - ", "FREIGHT-IN-ART/TECH")</f>
        <v xml:space="preserve">          5528 - FREIGHT-IN-ART/TECH</v>
      </c>
      <c r="C182" s="11"/>
      <c r="D182" s="2">
        <v>-19.75</v>
      </c>
      <c r="E182" s="2"/>
      <c r="F182" s="19">
        <f t="shared" si="26"/>
        <v>-5.4985451545539447E-5</v>
      </c>
      <c r="G182" s="2"/>
      <c r="H182" s="2">
        <v>59.75</v>
      </c>
      <c r="I182" s="2"/>
      <c r="J182" s="19">
        <f t="shared" si="27"/>
        <v>4.8045494797674057E-5</v>
      </c>
      <c r="K182" s="2"/>
      <c r="L182" s="2">
        <f t="shared" si="28"/>
        <v>-79.5</v>
      </c>
      <c r="M182" s="2"/>
      <c r="N182" s="19">
        <f t="shared" si="29"/>
        <v>-1.3305439330543933</v>
      </c>
      <c r="O182" s="11"/>
      <c r="P182" s="2">
        <v>2824.37</v>
      </c>
      <c r="Q182" s="2"/>
      <c r="R182" s="19">
        <f t="shared" si="30"/>
        <v>2.4636359859161729E-4</v>
      </c>
      <c r="S182" s="2"/>
      <c r="T182" s="2">
        <v>7553.59</v>
      </c>
      <c r="U182" s="2"/>
      <c r="V182" s="19">
        <f t="shared" si="31"/>
        <v>5.378928021578859E-4</v>
      </c>
      <c r="W182" s="2"/>
      <c r="X182" s="2">
        <f t="shared" si="32"/>
        <v>-4729.22</v>
      </c>
      <c r="Y182" s="2"/>
      <c r="Z182" s="19">
        <f t="shared" si="33"/>
        <v>-0.62608905169594853</v>
      </c>
    </row>
    <row r="183" spans="1:26" s="24" customFormat="1" hidden="1" outlineLevel="1" x14ac:dyDescent="0.25">
      <c r="A183" s="44"/>
      <c r="B183" s="11" t="str">
        <f>CONCATENATE("          ", "5540", " - ", "FREIGHT-IN-LOGO CLOTHING")</f>
        <v xml:space="preserve">          5540 - FREIGHT-IN-LOGO CLOTHING</v>
      </c>
      <c r="C183" s="11"/>
      <c r="D183" s="2">
        <v>815.7</v>
      </c>
      <c r="E183" s="2"/>
      <c r="F183" s="19">
        <f t="shared" si="26"/>
        <v>2.2709687506681786E-3</v>
      </c>
      <c r="G183" s="2"/>
      <c r="H183" s="2">
        <v>872.01</v>
      </c>
      <c r="I183" s="2"/>
      <c r="J183" s="19">
        <f t="shared" si="27"/>
        <v>7.0119082708819673E-4</v>
      </c>
      <c r="K183" s="2"/>
      <c r="L183" s="2">
        <f t="shared" si="28"/>
        <v>-56.309999999999945</v>
      </c>
      <c r="M183" s="2"/>
      <c r="N183" s="19">
        <f t="shared" si="29"/>
        <v>-6.457494753500527E-2</v>
      </c>
      <c r="O183" s="11"/>
      <c r="P183" s="2">
        <v>32519</v>
      </c>
      <c r="Q183" s="2"/>
      <c r="R183" s="19">
        <f t="shared" si="30"/>
        <v>2.8365610251492551E-3</v>
      </c>
      <c r="S183" s="2"/>
      <c r="T183" s="2">
        <v>29895.85</v>
      </c>
      <c r="U183" s="2"/>
      <c r="V183" s="19">
        <f t="shared" si="31"/>
        <v>2.1288900416082724E-3</v>
      </c>
      <c r="W183" s="2"/>
      <c r="X183" s="2">
        <f t="shared" si="32"/>
        <v>2623.1500000000015</v>
      </c>
      <c r="Y183" s="2"/>
      <c r="Z183" s="19">
        <f t="shared" si="33"/>
        <v>8.7742947599750515E-2</v>
      </c>
    </row>
    <row r="184" spans="1:26" s="24" customFormat="1" hidden="1" outlineLevel="1" x14ac:dyDescent="0.25">
      <c r="A184" s="44"/>
      <c r="B184" s="11" t="str">
        <f>CONCATENATE("          ", "5541", " - ", "FREIGHT-IN-LOGO GIFTS")</f>
        <v xml:space="preserve">          5541 - FREIGHT-IN-LOGO GIFTS</v>
      </c>
      <c r="C184" s="11"/>
      <c r="D184" s="2">
        <v>343.16</v>
      </c>
      <c r="E184" s="2"/>
      <c r="F184" s="19">
        <f t="shared" si="26"/>
        <v>9.5538266087935781E-4</v>
      </c>
      <c r="G184" s="2"/>
      <c r="H184" s="2">
        <v>1280.73</v>
      </c>
      <c r="I184" s="2"/>
      <c r="J184" s="19">
        <f t="shared" si="27"/>
        <v>1.0298461347652737E-3</v>
      </c>
      <c r="K184" s="2"/>
      <c r="L184" s="2">
        <f t="shared" si="28"/>
        <v>-937.56999999999994</v>
      </c>
      <c r="M184" s="2"/>
      <c r="N184" s="19">
        <f t="shared" si="29"/>
        <v>-0.73205906006730526</v>
      </c>
      <c r="O184" s="11"/>
      <c r="P184" s="2">
        <v>5226.1000000000004</v>
      </c>
      <c r="Q184" s="2"/>
      <c r="R184" s="19">
        <f t="shared" si="30"/>
        <v>4.558612372315423E-4</v>
      </c>
      <c r="S184" s="2"/>
      <c r="T184" s="2">
        <v>8765.51</v>
      </c>
      <c r="U184" s="2"/>
      <c r="V184" s="19">
        <f t="shared" si="31"/>
        <v>6.2419389141361533E-4</v>
      </c>
      <c r="W184" s="2"/>
      <c r="X184" s="2">
        <f t="shared" si="32"/>
        <v>-3539.41</v>
      </c>
      <c r="Y184" s="2"/>
      <c r="Z184" s="19">
        <f t="shared" si="33"/>
        <v>-0.40378825647338257</v>
      </c>
    </row>
    <row r="185" spans="1:26" s="24" customFormat="1" hidden="1" outlineLevel="1" x14ac:dyDescent="0.25">
      <c r="A185" s="44"/>
      <c r="B185" s="11" t="str">
        <f>CONCATENATE("          ", "5542", " - ", "FREIGHT-IN-EVERYDAY GIFTS")</f>
        <v xml:space="preserve">          5542 - FREIGHT-IN-EVERYDAY GIFTS</v>
      </c>
      <c r="C185" s="11"/>
      <c r="D185" s="2">
        <v>384.47</v>
      </c>
      <c r="E185" s="2"/>
      <c r="F185" s="19">
        <f t="shared" si="26"/>
        <v>1.0703927369981544E-3</v>
      </c>
      <c r="G185" s="2"/>
      <c r="H185" s="2">
        <v>383.05</v>
      </c>
      <c r="I185" s="2"/>
      <c r="J185" s="19">
        <f t="shared" si="27"/>
        <v>3.0801383735981668E-4</v>
      </c>
      <c r="K185" s="2"/>
      <c r="L185" s="2">
        <f t="shared" si="28"/>
        <v>1.4200000000000159</v>
      </c>
      <c r="M185" s="2"/>
      <c r="N185" s="19">
        <f t="shared" si="29"/>
        <v>3.7070878475395272E-3</v>
      </c>
      <c r="O185" s="11"/>
      <c r="P185" s="2">
        <v>2223.5100000000002</v>
      </c>
      <c r="Q185" s="2"/>
      <c r="R185" s="19">
        <f t="shared" si="30"/>
        <v>1.9395189904454691E-4</v>
      </c>
      <c r="S185" s="2"/>
      <c r="T185" s="2">
        <v>1975.21</v>
      </c>
      <c r="U185" s="2"/>
      <c r="V185" s="19">
        <f t="shared" si="31"/>
        <v>1.4065513772262961E-4</v>
      </c>
      <c r="W185" s="2"/>
      <c r="X185" s="2">
        <f t="shared" si="32"/>
        <v>248.30000000000018</v>
      </c>
      <c r="Y185" s="2"/>
      <c r="Z185" s="19">
        <f t="shared" si="33"/>
        <v>0.12570815255086809</v>
      </c>
    </row>
    <row r="186" spans="1:26" s="24" customFormat="1" hidden="1" outlineLevel="1" x14ac:dyDescent="0.25">
      <c r="A186" s="44"/>
      <c r="B186" s="11" t="str">
        <f>CONCATENATE("          ", "5543", " - ", "FREIGHT-IN-CARDS")</f>
        <v xml:space="preserve">          5543 - FREIGHT-IN-CARDS</v>
      </c>
      <c r="C186" s="11"/>
      <c r="D186" s="2"/>
      <c r="E186" s="2"/>
      <c r="F186" s="19">
        <f t="shared" si="26"/>
        <v>0</v>
      </c>
      <c r="G186" s="2"/>
      <c r="H186" s="2"/>
      <c r="I186" s="2"/>
      <c r="J186" s="19">
        <f t="shared" si="27"/>
        <v>0</v>
      </c>
      <c r="K186" s="2"/>
      <c r="L186" s="2">
        <f t="shared" si="28"/>
        <v>0</v>
      </c>
      <c r="M186" s="2"/>
      <c r="N186" s="19">
        <f t="shared" si="29"/>
        <v>0</v>
      </c>
      <c r="O186" s="11"/>
      <c r="P186" s="2">
        <v>2926.76</v>
      </c>
      <c r="Q186" s="2"/>
      <c r="R186" s="19">
        <f t="shared" si="30"/>
        <v>2.5529485365373579E-4</v>
      </c>
      <c r="S186" s="2"/>
      <c r="T186" s="2">
        <v>57.18</v>
      </c>
      <c r="U186" s="2"/>
      <c r="V186" s="19">
        <f t="shared" si="31"/>
        <v>4.0718003528637264E-6</v>
      </c>
      <c r="W186" s="2"/>
      <c r="X186" s="2">
        <f t="shared" si="32"/>
        <v>2869.5800000000004</v>
      </c>
      <c r="Y186" s="2"/>
      <c r="Z186" s="19">
        <f t="shared" si="33"/>
        <v>50.185029730675069</v>
      </c>
    </row>
    <row r="187" spans="1:26" s="24" customFormat="1" hidden="1" outlineLevel="1" x14ac:dyDescent="0.25">
      <c r="A187" s="44"/>
      <c r="B187" s="11" t="str">
        <f>CONCATENATE("          ", "5544", " - ", "FREIGHT-IN-ACCESSORIES")</f>
        <v xml:space="preserve">          5544 - FREIGHT-IN-ACCESSORIES</v>
      </c>
      <c r="C187" s="11"/>
      <c r="D187" s="2"/>
      <c r="E187" s="2"/>
      <c r="F187" s="19">
        <f t="shared" si="26"/>
        <v>0</v>
      </c>
      <c r="G187" s="2"/>
      <c r="H187" s="2">
        <v>226.66</v>
      </c>
      <c r="I187" s="2"/>
      <c r="J187" s="19">
        <f t="shared" si="27"/>
        <v>1.8225927783833978E-4</v>
      </c>
      <c r="K187" s="2"/>
      <c r="L187" s="2">
        <f t="shared" si="28"/>
        <v>-226.66</v>
      </c>
      <c r="M187" s="2"/>
      <c r="N187" s="19">
        <f t="shared" si="29"/>
        <v>-1</v>
      </c>
      <c r="O187" s="11"/>
      <c r="P187" s="2">
        <v>483.44</v>
      </c>
      <c r="Q187" s="2"/>
      <c r="R187" s="19">
        <f t="shared" si="30"/>
        <v>4.2169410559923612E-5</v>
      </c>
      <c r="S187" s="2"/>
      <c r="T187" s="2">
        <v>1360.08</v>
      </c>
      <c r="U187" s="2"/>
      <c r="V187" s="19">
        <f t="shared" si="31"/>
        <v>9.6851595381652615E-5</v>
      </c>
      <c r="W187" s="2"/>
      <c r="X187" s="2">
        <f t="shared" si="32"/>
        <v>-876.63999999999987</v>
      </c>
      <c r="Y187" s="2"/>
      <c r="Z187" s="19">
        <f t="shared" si="33"/>
        <v>-0.64455032056937822</v>
      </c>
    </row>
    <row r="188" spans="1:26" s="24" customFormat="1" hidden="1" outlineLevel="1" x14ac:dyDescent="0.25">
      <c r="A188" s="44"/>
      <c r="B188" s="11" t="str">
        <f>CONCATENATE("          ", "5545", " - ", "FREIGHT-IN-SPECIAL ORDERS")</f>
        <v xml:space="preserve">          5545 - FREIGHT-IN-SPECIAL ORDERS</v>
      </c>
      <c r="C188" s="11"/>
      <c r="D188" s="2">
        <v>173.06</v>
      </c>
      <c r="E188" s="2"/>
      <c r="F188" s="19">
        <f t="shared" si="26"/>
        <v>4.818117592137244E-4</v>
      </c>
      <c r="G188" s="2"/>
      <c r="H188" s="2">
        <v>637.24</v>
      </c>
      <c r="I188" s="2"/>
      <c r="J188" s="19">
        <f t="shared" si="27"/>
        <v>5.1241022769656596E-4</v>
      </c>
      <c r="K188" s="2"/>
      <c r="L188" s="2">
        <f t="shared" si="28"/>
        <v>-464.18</v>
      </c>
      <c r="M188" s="2"/>
      <c r="N188" s="19">
        <f t="shared" si="29"/>
        <v>-0.72842257234323016</v>
      </c>
      <c r="O188" s="11"/>
      <c r="P188" s="2">
        <v>1065.32</v>
      </c>
      <c r="Q188" s="2"/>
      <c r="R188" s="19">
        <f t="shared" si="30"/>
        <v>9.2925526348042824E-5</v>
      </c>
      <c r="S188" s="2"/>
      <c r="T188" s="2">
        <v>2281.42</v>
      </c>
      <c r="U188" s="2"/>
      <c r="V188" s="19">
        <f t="shared" si="31"/>
        <v>1.6246041904565168E-4</v>
      </c>
      <c r="W188" s="2"/>
      <c r="X188" s="2">
        <f t="shared" si="32"/>
        <v>-1216.1000000000001</v>
      </c>
      <c r="Y188" s="2"/>
      <c r="Z188" s="19">
        <f t="shared" si="33"/>
        <v>-0.53304520868581851</v>
      </c>
    </row>
    <row r="189" spans="1:26" s="24" customFormat="1" hidden="1" outlineLevel="1" x14ac:dyDescent="0.25">
      <c r="A189" s="44"/>
      <c r="B189" s="11" t="str">
        <f>CONCATENATE("          ", "5581", " - ", "FREIGHT-IN-ELECTRONICS")</f>
        <v xml:space="preserve">          5581 - FREIGHT-IN-ELECTRONICS</v>
      </c>
      <c r="C189" s="11"/>
      <c r="D189" s="2">
        <v>31.25</v>
      </c>
      <c r="E189" s="2"/>
      <c r="F189" s="19">
        <f t="shared" si="26"/>
        <v>8.7002296749271279E-5</v>
      </c>
      <c r="G189" s="2"/>
      <c r="H189" s="2"/>
      <c r="I189" s="2"/>
      <c r="J189" s="19">
        <f t="shared" si="27"/>
        <v>0</v>
      </c>
      <c r="K189" s="2"/>
      <c r="L189" s="2">
        <f t="shared" si="28"/>
        <v>31.25</v>
      </c>
      <c r="M189" s="2"/>
      <c r="N189" s="19">
        <f t="shared" si="29"/>
        <v>0</v>
      </c>
      <c r="O189" s="11"/>
      <c r="P189" s="2">
        <v>137</v>
      </c>
      <c r="Q189" s="2"/>
      <c r="R189" s="19">
        <f t="shared" si="30"/>
        <v>1.1950209429731787E-5</v>
      </c>
      <c r="S189" s="2"/>
      <c r="T189" s="2"/>
      <c r="U189" s="2"/>
      <c r="V189" s="19">
        <f t="shared" si="31"/>
        <v>0</v>
      </c>
      <c r="W189" s="2"/>
      <c r="X189" s="2">
        <f t="shared" si="32"/>
        <v>137</v>
      </c>
      <c r="Y189" s="2"/>
      <c r="Z189" s="19">
        <f t="shared" si="33"/>
        <v>0</v>
      </c>
    </row>
    <row r="190" spans="1:26" s="24" customFormat="1" hidden="1" outlineLevel="1" x14ac:dyDescent="0.25">
      <c r="A190" s="44"/>
      <c r="B190" s="11" t="str">
        <f>CONCATENATE("          ", "5582", " - ", "FREIGHT-IN-COMPUTER HARDWARE")</f>
        <v xml:space="preserve">          5582 - FREIGHT-IN-COMPUTER HARDWARE</v>
      </c>
      <c r="C190" s="11"/>
      <c r="D190" s="2"/>
      <c r="E190" s="2"/>
      <c r="F190" s="19">
        <f t="shared" si="26"/>
        <v>0</v>
      </c>
      <c r="G190" s="2"/>
      <c r="H190" s="2"/>
      <c r="I190" s="2"/>
      <c r="J190" s="19">
        <f t="shared" si="27"/>
        <v>0</v>
      </c>
      <c r="K190" s="2"/>
      <c r="L190" s="2">
        <f t="shared" si="28"/>
        <v>0</v>
      </c>
      <c r="M190" s="2"/>
      <c r="N190" s="19">
        <f t="shared" si="29"/>
        <v>0</v>
      </c>
      <c r="O190" s="11"/>
      <c r="P190" s="2">
        <v>154.30000000000001</v>
      </c>
      <c r="Q190" s="2"/>
      <c r="R190" s="19">
        <f t="shared" si="30"/>
        <v>1.3459250474508137E-5</v>
      </c>
      <c r="S190" s="2"/>
      <c r="T190" s="2">
        <v>12</v>
      </c>
      <c r="U190" s="2"/>
      <c r="V190" s="19">
        <f t="shared" si="31"/>
        <v>8.5452263438902961E-7</v>
      </c>
      <c r="W190" s="2"/>
      <c r="X190" s="2">
        <f t="shared" si="32"/>
        <v>142.30000000000001</v>
      </c>
      <c r="Y190" s="2"/>
      <c r="Z190" s="19">
        <f t="shared" si="33"/>
        <v>11.858333333333334</v>
      </c>
    </row>
    <row r="191" spans="1:26" s="24" customFormat="1" hidden="1" outlineLevel="1" x14ac:dyDescent="0.25">
      <c r="A191" s="44"/>
      <c r="B191" s="11" t="str">
        <f>CONCATENATE("          ", "5583", " - ", "FREIGHT-IN-COMPUTER EQUIPMENT")</f>
        <v xml:space="preserve">          5583 - FREIGHT-IN-COMPUTER EQUIPMENT</v>
      </c>
      <c r="C191" s="11"/>
      <c r="D191" s="2"/>
      <c r="E191" s="2"/>
      <c r="F191" s="19">
        <f t="shared" si="26"/>
        <v>0</v>
      </c>
      <c r="G191" s="2"/>
      <c r="H191" s="2">
        <v>4.04</v>
      </c>
      <c r="I191" s="2"/>
      <c r="J191" s="19">
        <f t="shared" si="27"/>
        <v>3.2485991461523547E-6</v>
      </c>
      <c r="K191" s="2"/>
      <c r="L191" s="2">
        <f t="shared" si="28"/>
        <v>-4.04</v>
      </c>
      <c r="M191" s="2"/>
      <c r="N191" s="19">
        <f t="shared" si="29"/>
        <v>-1</v>
      </c>
      <c r="O191" s="11"/>
      <c r="P191" s="2">
        <v>96.55</v>
      </c>
      <c r="Q191" s="2"/>
      <c r="R191" s="19">
        <f t="shared" si="30"/>
        <v>8.4218446747489343E-6</v>
      </c>
      <c r="S191" s="2"/>
      <c r="T191" s="2">
        <v>93.42</v>
      </c>
      <c r="U191" s="2"/>
      <c r="V191" s="19">
        <f t="shared" si="31"/>
        <v>6.6524587087185956E-6</v>
      </c>
      <c r="W191" s="2"/>
      <c r="X191" s="2">
        <f t="shared" si="32"/>
        <v>3.1299999999999955</v>
      </c>
      <c r="Y191" s="2"/>
      <c r="Z191" s="19">
        <f t="shared" si="33"/>
        <v>3.3504602868764666E-2</v>
      </c>
    </row>
    <row r="192" spans="1:26" s="24" customFormat="1" hidden="1" outlineLevel="1" x14ac:dyDescent="0.25">
      <c r="A192" s="44"/>
      <c r="B192" s="11" t="str">
        <f>CONCATENATE("          ", "5585", " - ", "FREIGHT-IN-SOFTWARE")</f>
        <v xml:space="preserve">          5585 - FREIGHT-IN-SOFTWARE</v>
      </c>
      <c r="C192" s="11"/>
      <c r="D192" s="2">
        <v>10</v>
      </c>
      <c r="E192" s="2"/>
      <c r="F192" s="19">
        <f t="shared" si="26"/>
        <v>2.7840734959766807E-5</v>
      </c>
      <c r="G192" s="2"/>
      <c r="H192" s="2"/>
      <c r="I192" s="2"/>
      <c r="J192" s="19">
        <f t="shared" si="27"/>
        <v>0</v>
      </c>
      <c r="K192" s="2"/>
      <c r="L192" s="2">
        <f t="shared" si="28"/>
        <v>10</v>
      </c>
      <c r="M192" s="2"/>
      <c r="N192" s="19">
        <f t="shared" si="29"/>
        <v>0</v>
      </c>
      <c r="O192" s="11"/>
      <c r="P192" s="2">
        <v>10</v>
      </c>
      <c r="Q192" s="2"/>
      <c r="R192" s="19">
        <f t="shared" si="30"/>
        <v>8.72278060564364E-7</v>
      </c>
      <c r="S192" s="2"/>
      <c r="T192" s="2"/>
      <c r="U192" s="2"/>
      <c r="V192" s="19">
        <f t="shared" si="31"/>
        <v>0</v>
      </c>
      <c r="W192" s="2"/>
      <c r="X192" s="2">
        <f t="shared" si="32"/>
        <v>10</v>
      </c>
      <c r="Y192" s="2"/>
      <c r="Z192" s="19">
        <f t="shared" si="33"/>
        <v>0</v>
      </c>
    </row>
    <row r="193" spans="1:26" s="24" customFormat="1" hidden="1" outlineLevel="1" x14ac:dyDescent="0.2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/>
      <c r="E193" s="2"/>
      <c r="F193" s="19">
        <f t="shared" si="26"/>
        <v>0</v>
      </c>
      <c r="G193" s="2"/>
      <c r="H193" s="2">
        <v>13.98</v>
      </c>
      <c r="I193" s="2"/>
      <c r="J193" s="19">
        <f t="shared" si="27"/>
        <v>1.1241439619606416E-5</v>
      </c>
      <c r="K193" s="2"/>
      <c r="L193" s="2">
        <f t="shared" si="28"/>
        <v>-13.98</v>
      </c>
      <c r="M193" s="2"/>
      <c r="N193" s="19">
        <f t="shared" si="29"/>
        <v>-1</v>
      </c>
      <c r="O193" s="11"/>
      <c r="P193" s="2">
        <v>301.27</v>
      </c>
      <c r="Q193" s="2"/>
      <c r="R193" s="19">
        <f t="shared" si="30"/>
        <v>2.6279121130622592E-5</v>
      </c>
      <c r="S193" s="2"/>
      <c r="T193" s="2">
        <v>379.94</v>
      </c>
      <c r="U193" s="2"/>
      <c r="V193" s="19">
        <f t="shared" si="31"/>
        <v>2.7055610809147328E-5</v>
      </c>
      <c r="W193" s="2"/>
      <c r="X193" s="2">
        <f t="shared" si="32"/>
        <v>-78.670000000000016</v>
      </c>
      <c r="Y193" s="2"/>
      <c r="Z193" s="19">
        <f t="shared" si="33"/>
        <v>-0.20705900931726065</v>
      </c>
    </row>
    <row r="194" spans="1:26" s="24" customFormat="1" hidden="1" outlineLevel="1" x14ac:dyDescent="0.2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>
        <v>41.32</v>
      </c>
      <c r="E194" s="2"/>
      <c r="F194" s="19">
        <f t="shared" si="26"/>
        <v>1.1503791685375645E-4</v>
      </c>
      <c r="G194" s="2"/>
      <c r="H194" s="2">
        <v>761.96</v>
      </c>
      <c r="I194" s="2"/>
      <c r="J194" s="19">
        <f t="shared" si="27"/>
        <v>6.1269866470352677E-4</v>
      </c>
      <c r="K194" s="2"/>
      <c r="L194" s="2">
        <f t="shared" si="28"/>
        <v>-720.64</v>
      </c>
      <c r="M194" s="2"/>
      <c r="N194" s="19">
        <f t="shared" si="29"/>
        <v>-0.94577143157121102</v>
      </c>
      <c r="O194" s="11"/>
      <c r="P194" s="2">
        <v>160.05000000000001</v>
      </c>
      <c r="Q194" s="2"/>
      <c r="R194" s="19">
        <f t="shared" si="30"/>
        <v>1.3960810359332646E-5</v>
      </c>
      <c r="S194" s="2"/>
      <c r="T194" s="2">
        <v>2342.73</v>
      </c>
      <c r="U194" s="2"/>
      <c r="V194" s="19">
        <f t="shared" si="31"/>
        <v>1.6682631760518428E-4</v>
      </c>
      <c r="W194" s="2"/>
      <c r="X194" s="2">
        <f t="shared" si="32"/>
        <v>-2182.6799999999998</v>
      </c>
      <c r="Y194" s="2"/>
      <c r="Z194" s="19">
        <f t="shared" si="33"/>
        <v>-0.93168226812308708</v>
      </c>
    </row>
    <row r="195" spans="1:26" x14ac:dyDescent="0.2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25">
      <c r="A196" s="10"/>
      <c r="B196" s="29" t="s">
        <v>6</v>
      </c>
      <c r="C196" s="29"/>
      <c r="D196" s="21">
        <f>D12-D135</f>
        <v>114895.93999999986</v>
      </c>
      <c r="E196" s="14"/>
      <c r="F196" s="20">
        <f>IF(D$12=0,0,D196/D$12)</f>
        <v>0.31987874134932653</v>
      </c>
      <c r="G196" s="14"/>
      <c r="H196" s="21">
        <f>H12-H135</f>
        <v>486253.19999999925</v>
      </c>
      <c r="I196" s="14"/>
      <c r="J196" s="20">
        <f>IF(H$12=0,0,H196/H$12)</f>
        <v>0.39100042830045734</v>
      </c>
      <c r="K196" s="16"/>
      <c r="L196" s="21">
        <f>+D196-H196</f>
        <v>-371357.25999999943</v>
      </c>
      <c r="M196" s="16"/>
      <c r="N196" s="20">
        <f>IF(H196=0,0,L196/H196)</f>
        <v>-0.76371170410806555</v>
      </c>
      <c r="O196" s="28"/>
      <c r="P196" s="21">
        <f>P12-P135</f>
        <v>4095296.0900000064</v>
      </c>
      <c r="Q196" s="14"/>
      <c r="R196" s="20">
        <f>IF(P$12=0,0,P196/P$12)</f>
        <v>0.35722369308220286</v>
      </c>
      <c r="S196" s="14"/>
      <c r="T196" s="21">
        <f>T12-T135</f>
        <v>5201591.9100000095</v>
      </c>
      <c r="U196" s="14"/>
      <c r="V196" s="20">
        <f>IF(T$12=0,0,T196/T$12)</f>
        <v>0.37040650182915602</v>
      </c>
      <c r="W196" s="16"/>
      <c r="X196" s="21">
        <f>+P196-T196</f>
        <v>-1106295.8200000031</v>
      </c>
      <c r="Y196" s="16"/>
      <c r="Z196" s="20">
        <f>IF(T196=0,0,X196/T196)</f>
        <v>-0.21268408578403858</v>
      </c>
    </row>
    <row r="197" spans="1:26" x14ac:dyDescent="0.2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7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25">
      <c r="A198" s="10"/>
      <c r="B198" s="28" t="s">
        <v>9</v>
      </c>
      <c r="C198" s="10"/>
      <c r="D198" s="22">
        <f>SUM(OSRRefD22x_0)</f>
        <v>258340.22</v>
      </c>
      <c r="E198" s="22"/>
      <c r="F198" s="31">
        <f t="shared" ref="F198:F208" si="34">IF(D$12=0,0,D198/D$12)</f>
        <v>0.71923815944678482</v>
      </c>
      <c r="G198" s="22"/>
      <c r="H198" s="22">
        <f>SUM(OSRRefH22x_0)</f>
        <v>428201.56999999989</v>
      </c>
      <c r="I198" s="22"/>
      <c r="J198" s="31">
        <f t="shared" ref="J198:J208" si="35">IF(H$12=0,0,H198/H$12)</f>
        <v>0.34432060759482608</v>
      </c>
      <c r="K198" s="4"/>
      <c r="L198" s="22">
        <f t="shared" ref="L198:L208" si="36">+D198-H198</f>
        <v>-169861.34999999989</v>
      </c>
      <c r="M198" s="4"/>
      <c r="N198" s="31">
        <f t="shared" ref="N198:N208" si="37">IF(H198=0,0,L198/H198)</f>
        <v>-0.3966854909009323</v>
      </c>
      <c r="O198" s="10"/>
      <c r="P198" s="22">
        <f>SUM(OSRRefP22x_0)</f>
        <v>4105023.53</v>
      </c>
      <c r="Q198" s="22"/>
      <c r="R198" s="31">
        <f t="shared" ref="R198:R208" si="38">IF(P$12=0,0,P198/P$12)</f>
        <v>0.35807219633194792</v>
      </c>
      <c r="S198" s="22"/>
      <c r="T198" s="22">
        <f>SUM(OSRRefT22x_0)</f>
        <v>4557012.8099999987</v>
      </c>
      <c r="U198" s="22"/>
      <c r="V198" s="31">
        <f t="shared" ref="V198:V208" si="39">IF(T$12=0,0,T198/T$12)</f>
        <v>0.32450588261214613</v>
      </c>
      <c r="W198" s="4"/>
      <c r="X198" s="22">
        <f t="shared" ref="X198:X208" si="40">+P198-T198</f>
        <v>-451989.27999999886</v>
      </c>
      <c r="Y198" s="4"/>
      <c r="Z198" s="31">
        <f t="shared" ref="Z198:Z208" si="41">IF(T198=0,0,X198/T198)</f>
        <v>-9.9185431080673001E-2</v>
      </c>
    </row>
    <row r="199" spans="1:26" s="27" customFormat="1" outlineLevel="1" collapsed="1" x14ac:dyDescent="0.25">
      <c r="A199" s="25"/>
      <c r="B199" s="13" t="str">
        <f>CONCATENATE("     ","*Benefits                                         ")</f>
        <v xml:space="preserve">     *Benefits                                         </v>
      </c>
      <c r="C199" s="13"/>
      <c r="D199" s="1">
        <f>SUM(OSRRefD22_0x_0)</f>
        <v>37027.909999999996</v>
      </c>
      <c r="E199" s="1"/>
      <c r="F199" s="5">
        <f t="shared" si="34"/>
        <v>0.10308842284240989</v>
      </c>
      <c r="G199" s="1"/>
      <c r="H199" s="1">
        <f>SUM(OSRRefH22_0x_0)</f>
        <v>58011.220000000008</v>
      </c>
      <c r="I199" s="1"/>
      <c r="J199" s="5">
        <f t="shared" si="35"/>
        <v>4.6647326673083273E-2</v>
      </c>
      <c r="K199" s="1"/>
      <c r="L199" s="1">
        <f t="shared" si="36"/>
        <v>-20983.310000000012</v>
      </c>
      <c r="M199" s="1"/>
      <c r="N199" s="5">
        <f t="shared" si="37"/>
        <v>-0.36171123448188142</v>
      </c>
      <c r="O199" s="13"/>
      <c r="P199" s="1">
        <f>SUM(OSRRefP22_0x_0)</f>
        <v>512054.92</v>
      </c>
      <c r="Q199" s="1"/>
      <c r="R199" s="5">
        <f t="shared" si="38"/>
        <v>4.4665427252004057E-2</v>
      </c>
      <c r="S199" s="1"/>
      <c r="T199" s="1">
        <f>SUM(OSRRefT22_0x_0)</f>
        <v>582465.38000000012</v>
      </c>
      <c r="U199" s="1"/>
      <c r="V199" s="5">
        <f t="shared" si="39"/>
        <v>4.1477487579833945E-2</v>
      </c>
      <c r="W199" s="1"/>
      <c r="X199" s="1">
        <f t="shared" si="40"/>
        <v>-70410.460000000137</v>
      </c>
      <c r="Y199" s="1"/>
      <c r="Z199" s="5">
        <f t="shared" si="41"/>
        <v>-0.12088351070753789</v>
      </c>
    </row>
    <row r="200" spans="1:26" s="24" customFormat="1" hidden="1" outlineLevel="2" x14ac:dyDescent="0.25">
      <c r="A200" s="26"/>
      <c r="B200" s="11" t="str">
        <f>CONCATENATE("          ", "6111", " - ", "F.I.C.A.")</f>
        <v xml:space="preserve">          6111 - F.I.C.A.</v>
      </c>
      <c r="C200" s="11"/>
      <c r="D200" s="6">
        <v>6460.84</v>
      </c>
      <c r="E200" s="2"/>
      <c r="F200" s="7">
        <f t="shared" si="34"/>
        <v>1.7987453405745979E-2</v>
      </c>
      <c r="G200" s="2"/>
      <c r="H200" s="6">
        <v>13664.52</v>
      </c>
      <c r="I200" s="2"/>
      <c r="J200" s="7">
        <f t="shared" si="35"/>
        <v>1.0987759407074697E-2</v>
      </c>
      <c r="K200" s="2"/>
      <c r="L200" s="6">
        <f t="shared" si="36"/>
        <v>-7203.68</v>
      </c>
      <c r="M200" s="2"/>
      <c r="N200" s="7">
        <f t="shared" si="37"/>
        <v>-0.52718134263040339</v>
      </c>
      <c r="O200" s="11"/>
      <c r="P200" s="6">
        <v>107459.35</v>
      </c>
      <c r="Q200" s="2"/>
      <c r="R200" s="7">
        <f t="shared" si="38"/>
        <v>9.3734433407507197E-3</v>
      </c>
      <c r="S200" s="2"/>
      <c r="T200" s="6">
        <v>108990.97</v>
      </c>
      <c r="U200" s="2"/>
      <c r="V200" s="7">
        <f t="shared" si="39"/>
        <v>7.7612709007513084E-3</v>
      </c>
      <c r="W200" s="2"/>
      <c r="X200" s="6">
        <f t="shared" si="40"/>
        <v>-1531.6199999999953</v>
      </c>
      <c r="Y200" s="2"/>
      <c r="Z200" s="7">
        <f t="shared" si="41"/>
        <v>-1.4052723817395104E-2</v>
      </c>
    </row>
    <row r="201" spans="1:26" s="24" customFormat="1" hidden="1" outlineLevel="2" x14ac:dyDescent="0.25">
      <c r="A201" s="26"/>
      <c r="B201" s="11" t="str">
        <f>CONCATENATE("          ", "6112", " - ", "COMPENSATION INSURANCE")</f>
        <v xml:space="preserve">          6112 - COMPENSATION INSURANCE</v>
      </c>
      <c r="C201" s="11"/>
      <c r="D201" s="6">
        <v>2012.72</v>
      </c>
      <c r="E201" s="2"/>
      <c r="F201" s="7">
        <f t="shared" si="34"/>
        <v>5.6035604068221849E-3</v>
      </c>
      <c r="G201" s="2"/>
      <c r="H201" s="6">
        <v>1675.57</v>
      </c>
      <c r="I201" s="2"/>
      <c r="J201" s="7">
        <f t="shared" si="35"/>
        <v>1.3473404136926982E-3</v>
      </c>
      <c r="K201" s="2"/>
      <c r="L201" s="6">
        <f t="shared" si="36"/>
        <v>337.15000000000009</v>
      </c>
      <c r="M201" s="2"/>
      <c r="N201" s="7">
        <f t="shared" si="37"/>
        <v>0.20121510888831867</v>
      </c>
      <c r="O201" s="11"/>
      <c r="P201" s="6">
        <v>28304.489999999998</v>
      </c>
      <c r="Q201" s="2"/>
      <c r="R201" s="7">
        <f t="shared" si="38"/>
        <v>2.4689385642463432E-3</v>
      </c>
      <c r="S201" s="2"/>
      <c r="T201" s="6">
        <v>17940.64</v>
      </c>
      <c r="U201" s="2"/>
      <c r="V201" s="7">
        <f t="shared" si="39"/>
        <v>1.2775569129521E-3</v>
      </c>
      <c r="W201" s="2"/>
      <c r="X201" s="6">
        <f t="shared" si="40"/>
        <v>10363.849999999999</v>
      </c>
      <c r="Y201" s="2"/>
      <c r="Z201" s="7">
        <f t="shared" si="41"/>
        <v>0.57767448652890863</v>
      </c>
    </row>
    <row r="202" spans="1:26" s="24" customFormat="1" hidden="1" outlineLevel="2" x14ac:dyDescent="0.25">
      <c r="A202" s="26"/>
      <c r="B202" s="11" t="str">
        <f>CONCATENATE("          ", "6113", " - ", "GROUP INSURANCE")</f>
        <v xml:space="preserve">          6113 - GROUP INSURANCE</v>
      </c>
      <c r="C202" s="11"/>
      <c r="D202" s="6">
        <v>14448.96</v>
      </c>
      <c r="E202" s="2"/>
      <c r="F202" s="7">
        <f t="shared" si="34"/>
        <v>4.0226966580427216E-2</v>
      </c>
      <c r="G202" s="2"/>
      <c r="H202" s="6">
        <v>21627.56</v>
      </c>
      <c r="I202" s="2"/>
      <c r="J202" s="7">
        <f t="shared" si="35"/>
        <v>1.7390909145880897E-2</v>
      </c>
      <c r="K202" s="2"/>
      <c r="L202" s="6">
        <f t="shared" si="36"/>
        <v>-7178.6000000000022</v>
      </c>
      <c r="M202" s="2"/>
      <c r="N202" s="7">
        <f t="shared" si="37"/>
        <v>-0.33191908842236489</v>
      </c>
      <c r="O202" s="11"/>
      <c r="P202" s="6">
        <v>202620.76</v>
      </c>
      <c r="Q202" s="2"/>
      <c r="R202" s="7">
        <f t="shared" si="38"/>
        <v>1.7674164356287748E-2</v>
      </c>
      <c r="S202" s="2"/>
      <c r="T202" s="6">
        <v>225678.38</v>
      </c>
      <c r="U202" s="2"/>
      <c r="V202" s="7">
        <f t="shared" si="39"/>
        <v>1.607060698352071E-2</v>
      </c>
      <c r="W202" s="2"/>
      <c r="X202" s="6">
        <f t="shared" si="40"/>
        <v>-23057.619999999995</v>
      </c>
      <c r="Y202" s="2"/>
      <c r="Z202" s="7">
        <f t="shared" si="41"/>
        <v>-0.10217026549020777</v>
      </c>
    </row>
    <row r="203" spans="1:26" s="24" customFormat="1" hidden="1" outlineLevel="2" x14ac:dyDescent="0.25">
      <c r="A203" s="26"/>
      <c r="B203" s="11" t="str">
        <f>CONCATENATE("          ", "6114", " - ", "STATE UNEMPLOYMENT INSURANCE")</f>
        <v xml:space="preserve">          6114 - STATE UNEMPLOYMENT INSURANCE</v>
      </c>
      <c r="C203" s="11"/>
      <c r="D203" s="6">
        <v>358.02</v>
      </c>
      <c r="E203" s="2"/>
      <c r="F203" s="7">
        <f t="shared" si="34"/>
        <v>9.9675399302957129E-4</v>
      </c>
      <c r="G203" s="2"/>
      <c r="H203" s="6">
        <v>456.53</v>
      </c>
      <c r="I203" s="2"/>
      <c r="J203" s="7">
        <f t="shared" si="35"/>
        <v>3.670997446022115E-4</v>
      </c>
      <c r="K203" s="2"/>
      <c r="L203" s="6">
        <f t="shared" si="36"/>
        <v>-98.509999999999991</v>
      </c>
      <c r="M203" s="2"/>
      <c r="N203" s="7">
        <f t="shared" si="37"/>
        <v>-0.21577990493505356</v>
      </c>
      <c r="O203" s="11"/>
      <c r="P203" s="6">
        <v>5426.32</v>
      </c>
      <c r="Q203" s="2"/>
      <c r="R203" s="7">
        <f t="shared" si="38"/>
        <v>4.7332598856016192E-4</v>
      </c>
      <c r="S203" s="2"/>
      <c r="T203" s="6">
        <v>5566.15</v>
      </c>
      <c r="U203" s="2"/>
      <c r="V203" s="7">
        <f t="shared" si="39"/>
        <v>3.9636676345037474E-4</v>
      </c>
      <c r="W203" s="2"/>
      <c r="X203" s="6">
        <f t="shared" si="40"/>
        <v>-139.82999999999993</v>
      </c>
      <c r="Y203" s="2"/>
      <c r="Z203" s="7">
        <f t="shared" si="41"/>
        <v>-2.512149331225352E-2</v>
      </c>
    </row>
    <row r="204" spans="1:26" s="24" customFormat="1" hidden="1" outlineLevel="2" x14ac:dyDescent="0.25">
      <c r="A204" s="26"/>
      <c r="B204" s="11" t="str">
        <f>CONCATENATE("          ", "6115", " - ", "P.E.R.S.")</f>
        <v xml:space="preserve">          6115 - P.E.R.S.</v>
      </c>
      <c r="C204" s="11"/>
      <c r="D204" s="6">
        <v>4823.4799999999996</v>
      </c>
      <c r="E204" s="2"/>
      <c r="F204" s="7">
        <f t="shared" si="34"/>
        <v>1.3428922826373599E-2</v>
      </c>
      <c r="G204" s="2"/>
      <c r="H204" s="6">
        <v>5593.09</v>
      </c>
      <c r="I204" s="2"/>
      <c r="J204" s="7">
        <f t="shared" si="35"/>
        <v>4.4974523263250675E-3</v>
      </c>
      <c r="K204" s="2"/>
      <c r="L204" s="6">
        <f t="shared" si="36"/>
        <v>-769.61000000000058</v>
      </c>
      <c r="M204" s="2"/>
      <c r="N204" s="7">
        <f t="shared" si="37"/>
        <v>-0.13760014589430897</v>
      </c>
      <c r="O204" s="11"/>
      <c r="P204" s="6">
        <v>77108.89</v>
      </c>
      <c r="Q204" s="2"/>
      <c r="R204" s="7">
        <f t="shared" si="38"/>
        <v>6.7260393021470882E-3</v>
      </c>
      <c r="S204" s="2"/>
      <c r="T204" s="6">
        <v>73557.64</v>
      </c>
      <c r="U204" s="2"/>
      <c r="V204" s="7">
        <f t="shared" si="39"/>
        <v>5.2380556926866556E-3</v>
      </c>
      <c r="W204" s="2"/>
      <c r="X204" s="6">
        <f t="shared" si="40"/>
        <v>3551.25</v>
      </c>
      <c r="Y204" s="2"/>
      <c r="Z204" s="7">
        <f t="shared" si="41"/>
        <v>4.8278465703902408E-2</v>
      </c>
    </row>
    <row r="205" spans="1:26" s="24" customFormat="1" hidden="1" outlineLevel="2" x14ac:dyDescent="0.25">
      <c r="A205" s="26"/>
      <c r="B205" s="11" t="str">
        <f>CONCATENATE("          ", "6117", " - ", "RETIREMENT STAFF HOURLY")</f>
        <v xml:space="preserve">          6117 - RETIREMENT STAFF HOURLY</v>
      </c>
      <c r="C205" s="11"/>
      <c r="D205" s="6">
        <v>349.85</v>
      </c>
      <c r="E205" s="2"/>
      <c r="F205" s="7">
        <f t="shared" si="34"/>
        <v>9.7400811256744186E-4</v>
      </c>
      <c r="G205" s="2"/>
      <c r="H205" s="6">
        <v>397.58</v>
      </c>
      <c r="I205" s="2"/>
      <c r="J205" s="7">
        <f t="shared" si="35"/>
        <v>3.1969753676417155E-4</v>
      </c>
      <c r="K205" s="2"/>
      <c r="L205" s="6">
        <f t="shared" si="36"/>
        <v>-47.729999999999961</v>
      </c>
      <c r="M205" s="2"/>
      <c r="N205" s="7">
        <f t="shared" si="37"/>
        <v>-0.12005131042808985</v>
      </c>
      <c r="O205" s="11"/>
      <c r="P205" s="6">
        <v>3739.96</v>
      </c>
      <c r="Q205" s="2"/>
      <c r="R205" s="7">
        <f t="shared" si="38"/>
        <v>3.2622850553882989E-4</v>
      </c>
      <c r="S205" s="2"/>
      <c r="T205" s="6">
        <v>4604.59</v>
      </c>
      <c r="U205" s="2"/>
      <c r="V205" s="7">
        <f t="shared" si="39"/>
        <v>3.2789386475678186E-4</v>
      </c>
      <c r="W205" s="2"/>
      <c r="X205" s="6">
        <f t="shared" si="40"/>
        <v>-864.63000000000011</v>
      </c>
      <c r="Y205" s="2"/>
      <c r="Z205" s="7">
        <f t="shared" si="41"/>
        <v>-0.18777567601024198</v>
      </c>
    </row>
    <row r="206" spans="1:26" s="24" customFormat="1" hidden="1" outlineLevel="2" x14ac:dyDescent="0.25">
      <c r="A206" s="26"/>
      <c r="B206" s="11" t="str">
        <f>CONCATENATE("          ", "6118", " - ", "VACATION")</f>
        <v xml:space="preserve">          6118 - VACATION</v>
      </c>
      <c r="C206" s="11"/>
      <c r="D206" s="6">
        <v>4751.04</v>
      </c>
      <c r="E206" s="2"/>
      <c r="F206" s="7">
        <f t="shared" si="34"/>
        <v>1.3227244542325049E-2</v>
      </c>
      <c r="G206" s="2"/>
      <c r="H206" s="6">
        <v>7384.7</v>
      </c>
      <c r="I206" s="2"/>
      <c r="J206" s="7">
        <f t="shared" si="35"/>
        <v>5.9381015135126962E-3</v>
      </c>
      <c r="K206" s="2"/>
      <c r="L206" s="6">
        <f t="shared" si="36"/>
        <v>-2633.66</v>
      </c>
      <c r="M206" s="2"/>
      <c r="N206" s="7">
        <f t="shared" si="37"/>
        <v>-0.35663737186344741</v>
      </c>
      <c r="O206" s="11"/>
      <c r="P206" s="6">
        <v>65758</v>
      </c>
      <c r="Q206" s="2"/>
      <c r="R206" s="7">
        <f t="shared" si="38"/>
        <v>5.7359260706591449E-3</v>
      </c>
      <c r="S206" s="2"/>
      <c r="T206" s="6">
        <v>69437.58</v>
      </c>
      <c r="U206" s="2"/>
      <c r="V206" s="7">
        <f t="shared" si="39"/>
        <v>4.9446653155999169E-3</v>
      </c>
      <c r="W206" s="2"/>
      <c r="X206" s="6">
        <f t="shared" si="40"/>
        <v>-3679.5800000000017</v>
      </c>
      <c r="Y206" s="2"/>
      <c r="Z206" s="7">
        <f t="shared" si="41"/>
        <v>-5.2991190073156377E-2</v>
      </c>
    </row>
    <row r="207" spans="1:26" s="24" customFormat="1" hidden="1" outlineLevel="2" x14ac:dyDescent="0.25">
      <c r="A207" s="26"/>
      <c r="B207" s="11" t="str">
        <f>CONCATENATE("          ", "6119", " - ", "SICK LEAVE")</f>
        <v xml:space="preserve">          6119 - SICK LEAVE</v>
      </c>
      <c r="C207" s="11"/>
      <c r="D207" s="6">
        <v>3114.01</v>
      </c>
      <c r="E207" s="2"/>
      <c r="F207" s="7">
        <f t="shared" si="34"/>
        <v>8.6696327072063439E-3</v>
      </c>
      <c r="G207" s="2"/>
      <c r="H207" s="6">
        <v>5028.62</v>
      </c>
      <c r="I207" s="2"/>
      <c r="J207" s="7">
        <f t="shared" si="35"/>
        <v>4.0435570886942209E-3</v>
      </c>
      <c r="K207" s="2"/>
      <c r="L207" s="6">
        <f t="shared" si="36"/>
        <v>-1914.6099999999997</v>
      </c>
      <c r="M207" s="2"/>
      <c r="N207" s="7">
        <f t="shared" si="37"/>
        <v>-0.38074262919051344</v>
      </c>
      <c r="O207" s="11"/>
      <c r="P207" s="6">
        <v>952.98</v>
      </c>
      <c r="Q207" s="2"/>
      <c r="R207" s="7">
        <f t="shared" si="38"/>
        <v>8.3126354615662765E-5</v>
      </c>
      <c r="S207" s="2"/>
      <c r="T207" s="6">
        <v>52736.88</v>
      </c>
      <c r="U207" s="2"/>
      <c r="V207" s="7">
        <f t="shared" si="39"/>
        <v>3.7554048022548441E-3</v>
      </c>
      <c r="W207" s="2"/>
      <c r="X207" s="6">
        <f t="shared" si="40"/>
        <v>-51783.899999999994</v>
      </c>
      <c r="Y207" s="2"/>
      <c r="Z207" s="7">
        <f t="shared" si="41"/>
        <v>-0.98192953394284976</v>
      </c>
    </row>
    <row r="208" spans="1:26" s="24" customFormat="1" hidden="1" outlineLevel="2" x14ac:dyDescent="0.25">
      <c r="A208" s="26"/>
      <c r="B208" s="11" t="str">
        <f>CONCATENATE("          ", "6156", " - ", "EMPLOYEE MEALS")</f>
        <v xml:space="preserve">          6156 - EMPLOYEE MEALS</v>
      </c>
      <c r="C208" s="11"/>
      <c r="D208" s="6">
        <v>708.99</v>
      </c>
      <c r="E208" s="2"/>
      <c r="F208" s="7">
        <f t="shared" si="34"/>
        <v>1.9738802679125068E-3</v>
      </c>
      <c r="G208" s="2"/>
      <c r="H208" s="6">
        <v>2183.0500000000002</v>
      </c>
      <c r="I208" s="2"/>
      <c r="J208" s="7">
        <f t="shared" si="35"/>
        <v>1.7554094965366086E-3</v>
      </c>
      <c r="K208" s="2"/>
      <c r="L208" s="6">
        <f t="shared" si="36"/>
        <v>-1474.0600000000002</v>
      </c>
      <c r="M208" s="2"/>
      <c r="N208" s="7">
        <f t="shared" si="37"/>
        <v>-0.67522960994938275</v>
      </c>
      <c r="O208" s="11"/>
      <c r="P208" s="6">
        <v>20684.169999999998</v>
      </c>
      <c r="Q208" s="2"/>
      <c r="R208" s="7">
        <f t="shared" si="38"/>
        <v>1.80423476919836E-3</v>
      </c>
      <c r="S208" s="2"/>
      <c r="T208" s="6">
        <v>23952.550000000003</v>
      </c>
      <c r="U208" s="2"/>
      <c r="V208" s="7">
        <f t="shared" si="39"/>
        <v>1.7056663438612463E-3</v>
      </c>
      <c r="W208" s="2"/>
      <c r="X208" s="6">
        <f t="shared" si="40"/>
        <v>-3268.3800000000047</v>
      </c>
      <c r="Y208" s="2"/>
      <c r="Z208" s="7">
        <f t="shared" si="41"/>
        <v>-0.13645227752368763</v>
      </c>
    </row>
    <row r="209" spans="1:26" s="27" customFormat="1" outlineLevel="1" collapsed="1" x14ac:dyDescent="0.25">
      <c r="A209" s="25"/>
      <c r="B209" s="13" t="str">
        <f>CONCATENATE("     ","*Payroll                                          ")</f>
        <v xml:space="preserve">     *Payroll                                          </v>
      </c>
      <c r="C209" s="13"/>
      <c r="D209" s="1">
        <f>SUM(OSRRefD22_1x_0)</f>
        <v>89064.640000000014</v>
      </c>
      <c r="E209" s="1"/>
      <c r="F209" s="5">
        <f t="shared" ref="F209:F216" si="42">IF(D$12=0,0,D209/D$12)</f>
        <v>0.24796250365270456</v>
      </c>
      <c r="G209" s="1"/>
      <c r="H209" s="1">
        <f>SUM(OSRRefH22_1x_0)</f>
        <v>210275.96999999997</v>
      </c>
      <c r="I209" s="1"/>
      <c r="J209" s="5">
        <f t="shared" ref="J209:J216" si="43">IF(H$12=0,0,H209/H$12)</f>
        <v>0.1690847367817718</v>
      </c>
      <c r="K209" s="1"/>
      <c r="L209" s="1">
        <f t="shared" ref="L209:L216" si="44">+D209-H209</f>
        <v>-121211.32999999996</v>
      </c>
      <c r="M209" s="1"/>
      <c r="N209" s="5">
        <f t="shared" ref="N209:N216" si="45">IF(H209=0,0,L209/H209)</f>
        <v>-0.57643928595359695</v>
      </c>
      <c r="O209" s="13"/>
      <c r="P209" s="1">
        <f>SUM(OSRRefP22_1x_0)</f>
        <v>1895731.9899999998</v>
      </c>
      <c r="Q209" s="1"/>
      <c r="R209" s="5">
        <f t="shared" ref="R209:R216" si="46">IF(P$12=0,0,P209/P$12)</f>
        <v>0.16536054235870221</v>
      </c>
      <c r="S209" s="1"/>
      <c r="T209" s="1">
        <f>SUM(OSRRefT22_1x_0)</f>
        <v>2001561.2099999997</v>
      </c>
      <c r="U209" s="1"/>
      <c r="V209" s="5">
        <f t="shared" ref="V209:V216" si="47">IF(T$12=0,0,T209/T$12)</f>
        <v>0.14253161317167445</v>
      </c>
      <c r="W209" s="1"/>
      <c r="X209" s="1">
        <f t="shared" ref="X209:X216" si="48">+P209-T209</f>
        <v>-105829.21999999997</v>
      </c>
      <c r="Y209" s="1"/>
      <c r="Z209" s="5">
        <f t="shared" ref="Z209:Z216" si="49">IF(T209=0,0,X209/T209)</f>
        <v>-5.2873336808920264E-2</v>
      </c>
    </row>
    <row r="210" spans="1:26" s="24" customFormat="1" hidden="1" outlineLevel="2" x14ac:dyDescent="0.25">
      <c r="A210" s="26"/>
      <c r="B210" s="11" t="str">
        <f>CONCATENATE("          ", "6001", " - ", "ADMINISTRATIVE SALARIES")</f>
        <v xml:space="preserve">          6001 - ADMINISTRATIVE SALARIES</v>
      </c>
      <c r="C210" s="11"/>
      <c r="D210" s="6"/>
      <c r="E210" s="2"/>
      <c r="F210" s="7">
        <f t="shared" si="42"/>
        <v>0</v>
      </c>
      <c r="G210" s="2"/>
      <c r="H210" s="6">
        <v>11966</v>
      </c>
      <c r="I210" s="2"/>
      <c r="J210" s="7">
        <f t="shared" si="43"/>
        <v>9.6219646987274945E-3</v>
      </c>
      <c r="K210" s="2"/>
      <c r="L210" s="6">
        <f t="shared" si="44"/>
        <v>-11966</v>
      </c>
      <c r="M210" s="2"/>
      <c r="N210" s="7">
        <f t="shared" si="45"/>
        <v>-1</v>
      </c>
      <c r="O210" s="11"/>
      <c r="P210" s="6">
        <v>93238.31</v>
      </c>
      <c r="Q210" s="2"/>
      <c r="R210" s="7">
        <f t="shared" si="46"/>
        <v>8.1329732217098934E-3</v>
      </c>
      <c r="S210" s="2"/>
      <c r="T210" s="6">
        <v>118617</v>
      </c>
      <c r="U210" s="2"/>
      <c r="V210" s="7">
        <f t="shared" si="47"/>
        <v>8.446742610276961E-3</v>
      </c>
      <c r="W210" s="2"/>
      <c r="X210" s="6">
        <f t="shared" si="48"/>
        <v>-25378.690000000002</v>
      </c>
      <c r="Y210" s="2"/>
      <c r="Z210" s="7">
        <f t="shared" si="49"/>
        <v>-0.21395491371388589</v>
      </c>
    </row>
    <row r="211" spans="1:26" s="24" customFormat="1" hidden="1" outlineLevel="2" x14ac:dyDescent="0.25">
      <c r="A211" s="26"/>
      <c r="B211" s="11" t="str">
        <f>CONCATENATE("          ", "6002", " - ", "STAFF SALARIES")</f>
        <v xml:space="preserve">          6002 - STAFF SALARIES</v>
      </c>
      <c r="C211" s="11"/>
      <c r="D211" s="6">
        <v>47195.77</v>
      </c>
      <c r="E211" s="2"/>
      <c r="F211" s="7">
        <f t="shared" si="42"/>
        <v>0.13139649237921133</v>
      </c>
      <c r="G211" s="2"/>
      <c r="H211" s="6">
        <v>63085.61</v>
      </c>
      <c r="I211" s="2"/>
      <c r="J211" s="7">
        <f t="shared" si="43"/>
        <v>5.0727687816955559E-2</v>
      </c>
      <c r="K211" s="2"/>
      <c r="L211" s="6">
        <f t="shared" si="44"/>
        <v>-15889.840000000004</v>
      </c>
      <c r="M211" s="2"/>
      <c r="N211" s="7">
        <f t="shared" si="45"/>
        <v>-0.25187740912705769</v>
      </c>
      <c r="O211" s="11"/>
      <c r="P211" s="6">
        <v>645340.99</v>
      </c>
      <c r="Q211" s="2"/>
      <c r="R211" s="7">
        <f t="shared" si="46"/>
        <v>5.6291678715988662E-2</v>
      </c>
      <c r="S211" s="2"/>
      <c r="T211" s="6">
        <v>639919.63</v>
      </c>
      <c r="U211" s="2"/>
      <c r="V211" s="7">
        <f t="shared" si="47"/>
        <v>4.5568817335404431E-2</v>
      </c>
      <c r="W211" s="2"/>
      <c r="X211" s="6">
        <f t="shared" si="48"/>
        <v>5421.359999999986</v>
      </c>
      <c r="Y211" s="2"/>
      <c r="Z211" s="7">
        <f t="shared" si="49"/>
        <v>8.4719388902009234E-3</v>
      </c>
    </row>
    <row r="212" spans="1:26" s="24" customFormat="1" hidden="1" outlineLevel="2" x14ac:dyDescent="0.25">
      <c r="A212" s="26"/>
      <c r="B212" s="11" t="str">
        <f>CONCATENATE("          ", "6004", " - ", "STAFF HOURLY")</f>
        <v xml:space="preserve">          6004 - STAFF HOURLY</v>
      </c>
      <c r="C212" s="11"/>
      <c r="D212" s="6">
        <v>13803.95</v>
      </c>
      <c r="E212" s="2"/>
      <c r="F212" s="7">
        <f t="shared" si="42"/>
        <v>3.8431211334787302E-2</v>
      </c>
      <c r="G212" s="2"/>
      <c r="H212" s="6">
        <v>8787.77</v>
      </c>
      <c r="I212" s="2"/>
      <c r="J212" s="7">
        <f t="shared" si="43"/>
        <v>7.0663223065800199E-3</v>
      </c>
      <c r="K212" s="2"/>
      <c r="L212" s="6">
        <f t="shared" si="44"/>
        <v>5016.18</v>
      </c>
      <c r="M212" s="2"/>
      <c r="N212" s="7">
        <f t="shared" si="45"/>
        <v>0.5708137559358063</v>
      </c>
      <c r="O212" s="11"/>
      <c r="P212" s="6">
        <v>71412.13</v>
      </c>
      <c r="Q212" s="2"/>
      <c r="R212" s="7">
        <f t="shared" si="46"/>
        <v>6.2291234257170237E-3</v>
      </c>
      <c r="S212" s="2"/>
      <c r="T212" s="6">
        <v>67272.150000000009</v>
      </c>
      <c r="U212" s="2"/>
      <c r="V212" s="7">
        <f t="shared" si="47"/>
        <v>4.7904645699178303E-3</v>
      </c>
      <c r="W212" s="2"/>
      <c r="X212" s="6">
        <f t="shared" si="48"/>
        <v>4139.9799999999959</v>
      </c>
      <c r="Y212" s="2"/>
      <c r="Z212" s="7">
        <f t="shared" si="49"/>
        <v>6.1540771329591744E-2</v>
      </c>
    </row>
    <row r="213" spans="1:26" s="24" customFormat="1" hidden="1" outlineLevel="2" x14ac:dyDescent="0.25">
      <c r="A213" s="26"/>
      <c r="B213" s="11" t="str">
        <f>CONCATENATE("          ", "6005", " - ", "TEMPORARY WAGES-HOURLY")</f>
        <v xml:space="preserve">          6005 - TEMPORARY WAGES-HOURLY</v>
      </c>
      <c r="C213" s="11"/>
      <c r="D213" s="6">
        <v>8052.32</v>
      </c>
      <c r="E213" s="2"/>
      <c r="F213" s="7">
        <f t="shared" si="42"/>
        <v>2.2418250693122945E-2</v>
      </c>
      <c r="G213" s="2"/>
      <c r="H213" s="6">
        <v>31870.769999999997</v>
      </c>
      <c r="I213" s="2"/>
      <c r="J213" s="7">
        <f t="shared" si="43"/>
        <v>2.5627563418123285E-2</v>
      </c>
      <c r="K213" s="2"/>
      <c r="L213" s="6">
        <f t="shared" si="44"/>
        <v>-23818.449999999997</v>
      </c>
      <c r="M213" s="2"/>
      <c r="N213" s="7">
        <f t="shared" si="45"/>
        <v>-0.74734466722956483</v>
      </c>
      <c r="O213" s="11"/>
      <c r="P213" s="6">
        <v>218308.78999999998</v>
      </c>
      <c r="Q213" s="2"/>
      <c r="R213" s="7">
        <f t="shared" si="46"/>
        <v>1.9042596794535301E-2</v>
      </c>
      <c r="S213" s="2"/>
      <c r="T213" s="6">
        <v>242544.68999999997</v>
      </c>
      <c r="U213" s="2"/>
      <c r="V213" s="7">
        <f t="shared" si="47"/>
        <v>1.7271660621322543E-2</v>
      </c>
      <c r="W213" s="2"/>
      <c r="X213" s="6">
        <f t="shared" si="48"/>
        <v>-24235.899999999994</v>
      </c>
      <c r="Y213" s="2"/>
      <c r="Z213" s="7">
        <f t="shared" si="49"/>
        <v>-9.9923440913095213E-2</v>
      </c>
    </row>
    <row r="214" spans="1:26" s="24" customFormat="1" hidden="1" outlineLevel="2" x14ac:dyDescent="0.25">
      <c r="A214" s="26"/>
      <c r="B214" s="11" t="str">
        <f>CONCATENATE("          ", "6006", " - ", "TEMPORARY PART TIME")</f>
        <v xml:space="preserve">          6006 - TEMPORARY PART TIME</v>
      </c>
      <c r="C214" s="11"/>
      <c r="D214" s="6">
        <v>1929.14</v>
      </c>
      <c r="E214" s="2"/>
      <c r="F214" s="7">
        <f t="shared" si="42"/>
        <v>5.3708675440284539E-3</v>
      </c>
      <c r="G214" s="2"/>
      <c r="H214" s="6">
        <v>4297.51</v>
      </c>
      <c r="I214" s="2"/>
      <c r="J214" s="7">
        <f t="shared" si="43"/>
        <v>3.4556651773715859E-3</v>
      </c>
      <c r="K214" s="2"/>
      <c r="L214" s="6">
        <f t="shared" si="44"/>
        <v>-2368.37</v>
      </c>
      <c r="M214" s="2"/>
      <c r="N214" s="7">
        <f t="shared" si="45"/>
        <v>-0.55110284792821884</v>
      </c>
      <c r="O214" s="11"/>
      <c r="P214" s="6">
        <v>44094.39</v>
      </c>
      <c r="Q214" s="2"/>
      <c r="R214" s="7">
        <f t="shared" si="46"/>
        <v>3.8462568990968687E-3</v>
      </c>
      <c r="S214" s="2"/>
      <c r="T214" s="6">
        <v>61168.94</v>
      </c>
      <c r="U214" s="2"/>
      <c r="V214" s="7">
        <f t="shared" si="47"/>
        <v>4.3558536459653747E-3</v>
      </c>
      <c r="W214" s="2"/>
      <c r="X214" s="6">
        <f t="shared" si="48"/>
        <v>-17074.550000000003</v>
      </c>
      <c r="Y214" s="2"/>
      <c r="Z214" s="7">
        <f t="shared" si="49"/>
        <v>-0.27913758191657406</v>
      </c>
    </row>
    <row r="215" spans="1:26" s="24" customFormat="1" hidden="1" outlineLevel="2" x14ac:dyDescent="0.25">
      <c r="A215" s="26"/>
      <c r="B215" s="11" t="str">
        <f>CONCATENATE("          ", "6007", " - ", "STUDENT HOURLY")</f>
        <v xml:space="preserve">          6007 - STUDENT HOURLY</v>
      </c>
      <c r="C215" s="11"/>
      <c r="D215" s="6">
        <v>18083.46</v>
      </c>
      <c r="E215" s="2"/>
      <c r="F215" s="7">
        <f t="shared" si="42"/>
        <v>5.0345681701554464E-2</v>
      </c>
      <c r="G215" s="2"/>
      <c r="H215" s="6">
        <v>87451.31</v>
      </c>
      <c r="I215" s="2"/>
      <c r="J215" s="7">
        <f t="shared" si="43"/>
        <v>7.0320359157402201E-2</v>
      </c>
      <c r="K215" s="2"/>
      <c r="L215" s="6">
        <f t="shared" si="44"/>
        <v>-69367.850000000006</v>
      </c>
      <c r="M215" s="2"/>
      <c r="N215" s="7">
        <f t="shared" si="45"/>
        <v>-0.79321681973660552</v>
      </c>
      <c r="O215" s="11"/>
      <c r="P215" s="6">
        <v>807857.46000000008</v>
      </c>
      <c r="Q215" s="2"/>
      <c r="R215" s="7">
        <f t="shared" si="46"/>
        <v>7.046763384212533E-2</v>
      </c>
      <c r="S215" s="2"/>
      <c r="T215" s="6">
        <v>844552.85</v>
      </c>
      <c r="U215" s="2"/>
      <c r="V215" s="7">
        <f t="shared" si="47"/>
        <v>6.0140793855230246E-2</v>
      </c>
      <c r="W215" s="2"/>
      <c r="X215" s="6">
        <f t="shared" si="48"/>
        <v>-36695.389999999898</v>
      </c>
      <c r="Y215" s="2"/>
      <c r="Z215" s="7">
        <f t="shared" si="49"/>
        <v>-4.3449489277077091E-2</v>
      </c>
    </row>
    <row r="216" spans="1:26" s="24" customFormat="1" hidden="1" outlineLevel="2" x14ac:dyDescent="0.25">
      <c r="A216" s="26"/>
      <c r="B216" s="11" t="str">
        <f>CONCATENATE("          ", "6008", " - ", "STUDENT HOURLY-FICA EXEMPT")</f>
        <v xml:space="preserve">          6008 - STUDENT HOURLY-FICA EXEMPT</v>
      </c>
      <c r="C216" s="11"/>
      <c r="D216" s="6"/>
      <c r="E216" s="2"/>
      <c r="F216" s="7">
        <f t="shared" si="42"/>
        <v>0</v>
      </c>
      <c r="G216" s="2"/>
      <c r="H216" s="6">
        <v>2817</v>
      </c>
      <c r="I216" s="2"/>
      <c r="J216" s="7">
        <f t="shared" si="43"/>
        <v>2.2651742066116792E-3</v>
      </c>
      <c r="K216" s="2"/>
      <c r="L216" s="6">
        <f t="shared" si="44"/>
        <v>-2817</v>
      </c>
      <c r="M216" s="2"/>
      <c r="N216" s="7">
        <f t="shared" si="45"/>
        <v>-1</v>
      </c>
      <c r="O216" s="11"/>
      <c r="P216" s="6">
        <v>15479.92</v>
      </c>
      <c r="Q216" s="2"/>
      <c r="R216" s="7">
        <f t="shared" si="46"/>
        <v>1.3502794595291509E-3</v>
      </c>
      <c r="S216" s="2"/>
      <c r="T216" s="6">
        <v>27485.95</v>
      </c>
      <c r="U216" s="2"/>
      <c r="V216" s="7">
        <f t="shared" si="47"/>
        <v>1.9572805335570957E-3</v>
      </c>
      <c r="W216" s="2"/>
      <c r="X216" s="6">
        <f t="shared" si="48"/>
        <v>-12006.03</v>
      </c>
      <c r="Y216" s="2"/>
      <c r="Z216" s="7">
        <f t="shared" si="49"/>
        <v>-0.43680607728675924</v>
      </c>
    </row>
    <row r="217" spans="1:26" s="27" customFormat="1" outlineLevel="1" collapsed="1" x14ac:dyDescent="0.25">
      <c r="A217" s="25"/>
      <c r="B217" s="13" t="str">
        <f>CONCATENATE("     ","Advertising/Promo                                 ")</f>
        <v xml:space="preserve">     Advertising/Promo                                 </v>
      </c>
      <c r="C217" s="13"/>
      <c r="D217" s="1">
        <f>SUM(OSRRefD22_2x_0)</f>
        <v>1029</v>
      </c>
      <c r="E217" s="1"/>
      <c r="F217" s="5">
        <f t="shared" ref="F217:F221" si="50">IF(D$12=0,0,D217/D$12)</f>
        <v>2.8648116273600043E-3</v>
      </c>
      <c r="G217" s="1"/>
      <c r="H217" s="1">
        <f>SUM(OSRRefH22_2x_0)</f>
        <v>5818.55</v>
      </c>
      <c r="I217" s="1"/>
      <c r="J217" s="5">
        <f t="shared" ref="J217:J221" si="51">IF(H$12=0,0,H217/H$12)</f>
        <v>4.6787466737239561E-3</v>
      </c>
      <c r="K217" s="1"/>
      <c r="L217" s="1">
        <f t="shared" ref="L217:L221" si="52">+D217-H217</f>
        <v>-4789.55</v>
      </c>
      <c r="M217" s="1"/>
      <c r="N217" s="5">
        <f t="shared" ref="N217:N221" si="53">IF(H217=0,0,L217/H217)</f>
        <v>-0.82315181617413269</v>
      </c>
      <c r="O217" s="13"/>
      <c r="P217" s="1">
        <f>SUM(OSRRefP22_2x_0)</f>
        <v>47217.409999999996</v>
      </c>
      <c r="Q217" s="1"/>
      <c r="R217" s="5">
        <f t="shared" ref="R217:R221" si="54">IF(P$12=0,0,P217/P$12)</f>
        <v>4.1186710819672403E-3</v>
      </c>
      <c r="S217" s="1"/>
      <c r="T217" s="1">
        <f>SUM(OSRRefT22_2x_0)</f>
        <v>70262.989999999991</v>
      </c>
      <c r="U217" s="1"/>
      <c r="V217" s="5">
        <f t="shared" ref="V217:V221" si="55">IF(T$12=0,0,T217/T$12)</f>
        <v>5.00344294290417E-3</v>
      </c>
      <c r="W217" s="1"/>
      <c r="X217" s="1">
        <f t="shared" ref="X217:X221" si="56">+P217-T217</f>
        <v>-23045.579999999994</v>
      </c>
      <c r="Y217" s="1"/>
      <c r="Z217" s="5">
        <f t="shared" ref="Z217:Z221" si="57">IF(T217=0,0,X217/T217)</f>
        <v>-0.3279903118270372</v>
      </c>
    </row>
    <row r="218" spans="1:26" s="24" customFormat="1" hidden="1" outlineLevel="2" x14ac:dyDescent="0.25">
      <c r="A218" s="26"/>
      <c r="B218" s="11" t="str">
        <f>CONCATENATE("          ", "6362", " - ", "ADVERTISING EXPENSE")</f>
        <v xml:space="preserve">          6362 - ADVERTISING EXPENSE</v>
      </c>
      <c r="C218" s="11"/>
      <c r="D218" s="6">
        <v>1029</v>
      </c>
      <c r="E218" s="2"/>
      <c r="F218" s="7">
        <f t="shared" si="50"/>
        <v>2.8648116273600043E-3</v>
      </c>
      <c r="G218" s="2"/>
      <c r="H218" s="6">
        <v>5818.55</v>
      </c>
      <c r="I218" s="2"/>
      <c r="J218" s="7">
        <f t="shared" si="51"/>
        <v>4.6787466737239561E-3</v>
      </c>
      <c r="K218" s="2"/>
      <c r="L218" s="6">
        <f t="shared" si="52"/>
        <v>-4789.55</v>
      </c>
      <c r="M218" s="2"/>
      <c r="N218" s="7">
        <f t="shared" si="53"/>
        <v>-0.82315181617413269</v>
      </c>
      <c r="O218" s="11"/>
      <c r="P218" s="6">
        <v>47217.409999999996</v>
      </c>
      <c r="Q218" s="2"/>
      <c r="R218" s="7">
        <f t="shared" si="54"/>
        <v>4.1186710819672403E-3</v>
      </c>
      <c r="S218" s="2"/>
      <c r="T218" s="6">
        <v>70262.989999999991</v>
      </c>
      <c r="U218" s="2"/>
      <c r="V218" s="7">
        <f t="shared" si="55"/>
        <v>5.00344294290417E-3</v>
      </c>
      <c r="W218" s="2"/>
      <c r="X218" s="6">
        <f t="shared" si="56"/>
        <v>-23045.579999999994</v>
      </c>
      <c r="Y218" s="2"/>
      <c r="Z218" s="7">
        <f t="shared" si="57"/>
        <v>-0.3279903118270372</v>
      </c>
    </row>
    <row r="219" spans="1:26" s="27" customFormat="1" outlineLevel="1" collapsed="1" x14ac:dyDescent="0.25">
      <c r="A219" s="25"/>
      <c r="B219" s="13" t="str">
        <f>CONCATENATE("     ","Bad Debts/Over/Short                              ")</f>
        <v xml:space="preserve">     Bad Debts/Over/Short                              </v>
      </c>
      <c r="C219" s="13"/>
      <c r="D219" s="1">
        <f>SUM(OSRRefD22_3x_0)</f>
        <v>-4.55</v>
      </c>
      <c r="E219" s="1"/>
      <c r="F219" s="5">
        <f t="shared" si="50"/>
        <v>-1.2667534406693896E-5</v>
      </c>
      <c r="G219" s="1"/>
      <c r="H219" s="1">
        <f>SUM(OSRRefH22_3x_0)</f>
        <v>-1149.06</v>
      </c>
      <c r="I219" s="1"/>
      <c r="J219" s="5">
        <f t="shared" si="51"/>
        <v>-9.2396914229649118E-4</v>
      </c>
      <c r="K219" s="1"/>
      <c r="L219" s="1">
        <f t="shared" si="52"/>
        <v>1144.51</v>
      </c>
      <c r="M219" s="1"/>
      <c r="N219" s="5">
        <f t="shared" si="53"/>
        <v>-0.99604024158877691</v>
      </c>
      <c r="O219" s="13"/>
      <c r="P219" s="1">
        <f>SUM(OSRRefP22_3x_0)</f>
        <v>-30.92</v>
      </c>
      <c r="Q219" s="1"/>
      <c r="R219" s="5">
        <f t="shared" si="54"/>
        <v>-2.6970837632650138E-6</v>
      </c>
      <c r="S219" s="1"/>
      <c r="T219" s="1">
        <f>SUM(OSRRefT22_3x_0)</f>
        <v>284.35000000000002</v>
      </c>
      <c r="U219" s="1"/>
      <c r="V219" s="5">
        <f t="shared" si="55"/>
        <v>2.0248625924043383E-5</v>
      </c>
      <c r="W219" s="1"/>
      <c r="X219" s="1">
        <f t="shared" si="56"/>
        <v>-315.27000000000004</v>
      </c>
      <c r="Y219" s="1"/>
      <c r="Z219" s="5">
        <f t="shared" si="57"/>
        <v>-1.1087392298224019</v>
      </c>
    </row>
    <row r="220" spans="1:26" s="24" customFormat="1" hidden="1" outlineLevel="2" x14ac:dyDescent="0.25">
      <c r="A220" s="26"/>
      <c r="B220" s="11" t="str">
        <f>CONCATENATE("          ", "6272", " - ", "CASH (OVER/SHORT)")</f>
        <v xml:space="preserve">          6272 - CASH (OVER/SHORT)</v>
      </c>
      <c r="C220" s="11"/>
      <c r="D220" s="6">
        <v>-4.55</v>
      </c>
      <c r="E220" s="2"/>
      <c r="F220" s="7">
        <f t="shared" si="50"/>
        <v>-1.2667534406693896E-5</v>
      </c>
      <c r="G220" s="2"/>
      <c r="H220" s="6">
        <v>-1149.06</v>
      </c>
      <c r="I220" s="2"/>
      <c r="J220" s="7">
        <f t="shared" si="51"/>
        <v>-9.2396914229649118E-4</v>
      </c>
      <c r="K220" s="2"/>
      <c r="L220" s="6">
        <f t="shared" si="52"/>
        <v>1144.51</v>
      </c>
      <c r="M220" s="2"/>
      <c r="N220" s="7">
        <f t="shared" si="53"/>
        <v>-0.99604024158877691</v>
      </c>
      <c r="O220" s="11"/>
      <c r="P220" s="6">
        <v>-75.72</v>
      </c>
      <c r="Q220" s="2"/>
      <c r="R220" s="7">
        <f t="shared" si="54"/>
        <v>-6.6048894745933642E-6</v>
      </c>
      <c r="S220" s="2"/>
      <c r="T220" s="6">
        <v>284.35000000000002</v>
      </c>
      <c r="U220" s="2"/>
      <c r="V220" s="7">
        <f t="shared" si="55"/>
        <v>2.0248625924043383E-5</v>
      </c>
      <c r="W220" s="2"/>
      <c r="X220" s="6">
        <f t="shared" si="56"/>
        <v>-360.07000000000005</v>
      </c>
      <c r="Y220" s="2"/>
      <c r="Z220" s="7">
        <f t="shared" si="57"/>
        <v>-1.2662915421135925</v>
      </c>
    </row>
    <row r="221" spans="1:26" s="24" customFormat="1" hidden="1" outlineLevel="2" x14ac:dyDescent="0.25">
      <c r="A221" s="26"/>
      <c r="B221" s="11" t="str">
        <f>CONCATENATE("          ", "6342", " - ", "BAD DEBT")</f>
        <v xml:space="preserve">          6342 - BAD DEBT</v>
      </c>
      <c r="C221" s="11"/>
      <c r="D221" s="6"/>
      <c r="E221" s="2"/>
      <c r="F221" s="7">
        <f t="shared" si="50"/>
        <v>0</v>
      </c>
      <c r="G221" s="2"/>
      <c r="H221" s="6"/>
      <c r="I221" s="2"/>
      <c r="J221" s="7">
        <f t="shared" si="51"/>
        <v>0</v>
      </c>
      <c r="K221" s="2"/>
      <c r="L221" s="6">
        <f t="shared" si="52"/>
        <v>0</v>
      </c>
      <c r="M221" s="2"/>
      <c r="N221" s="7">
        <f t="shared" si="53"/>
        <v>0</v>
      </c>
      <c r="O221" s="11"/>
      <c r="P221" s="6">
        <v>44.8</v>
      </c>
      <c r="Q221" s="2"/>
      <c r="R221" s="7">
        <f t="shared" si="54"/>
        <v>3.9078057113283508E-6</v>
      </c>
      <c r="S221" s="2"/>
      <c r="T221" s="6"/>
      <c r="U221" s="2"/>
      <c r="V221" s="7">
        <f t="shared" si="55"/>
        <v>0</v>
      </c>
      <c r="W221" s="2"/>
      <c r="X221" s="6">
        <f t="shared" si="56"/>
        <v>44.8</v>
      </c>
      <c r="Y221" s="2"/>
      <c r="Z221" s="7">
        <f t="shared" si="57"/>
        <v>0</v>
      </c>
    </row>
    <row r="222" spans="1:26" s="27" customFormat="1" outlineLevel="1" collapsed="1" x14ac:dyDescent="0.25">
      <c r="A222" s="25"/>
      <c r="B222" s="13" t="str">
        <f>CONCATENATE("     ","Bank/card Fees                                    ")</f>
        <v xml:space="preserve">     Bank/card Fees                                    </v>
      </c>
      <c r="C222" s="13"/>
      <c r="D222" s="1">
        <f>SUM(OSRRefD22_4x_0)</f>
        <v>5413.34</v>
      </c>
      <c r="E222" s="1"/>
      <c r="F222" s="5">
        <f t="shared" ref="F222:F226" si="58">IF(D$12=0,0,D222/D$12)</f>
        <v>1.5071136418710405E-2</v>
      </c>
      <c r="G222" s="1"/>
      <c r="H222" s="1">
        <f>SUM(OSRRefH22_4x_0)</f>
        <v>16000.729999999998</v>
      </c>
      <c r="I222" s="1"/>
      <c r="J222" s="5">
        <f t="shared" ref="J222:J226" si="59">IF(H$12=0,0,H222/H$12)</f>
        <v>1.2866326192033256E-2</v>
      </c>
      <c r="K222" s="1"/>
      <c r="L222" s="1">
        <f t="shared" ref="L222:L226" si="60">+D222-H222</f>
        <v>-10587.389999999998</v>
      </c>
      <c r="M222" s="1"/>
      <c r="N222" s="5">
        <f t="shared" ref="N222:N226" si="61">IF(H222=0,0,L222/H222)</f>
        <v>-0.6616816857730865</v>
      </c>
      <c r="O222" s="13"/>
      <c r="P222" s="1">
        <f>SUM(OSRRefP22_4x_0)</f>
        <v>145245.03</v>
      </c>
      <c r="Q222" s="1"/>
      <c r="R222" s="5">
        <f t="shared" ref="R222:R226" si="62">IF(P$12=0,0,P222/P$12)</f>
        <v>1.2669405307501286E-2</v>
      </c>
      <c r="S222" s="1"/>
      <c r="T222" s="1">
        <f>SUM(OSRRefT22_4x_0)</f>
        <v>169807.62</v>
      </c>
      <c r="U222" s="1"/>
      <c r="V222" s="5">
        <f t="shared" ref="V222:V226" si="63">IF(T$12=0,0,T222/T$12)</f>
        <v>1.2092037898477606E-2</v>
      </c>
      <c r="W222" s="1"/>
      <c r="X222" s="1">
        <f t="shared" ref="X222:X226" si="64">+P222-T222</f>
        <v>-24562.589999999997</v>
      </c>
      <c r="Y222" s="1"/>
      <c r="Z222" s="5">
        <f t="shared" ref="Z222:Z226" si="65">IF(T222=0,0,X222/T222)</f>
        <v>-0.14464951572844609</v>
      </c>
    </row>
    <row r="223" spans="1:26" s="24" customFormat="1" hidden="1" outlineLevel="2" x14ac:dyDescent="0.25">
      <c r="A223" s="26"/>
      <c r="B223" s="11" t="str">
        <f>CONCATENATE("          ", "6381", " - ", "BANK/CREDIT CARD FEES")</f>
        <v xml:space="preserve">          6381 - BANK/CREDIT CARD FEES</v>
      </c>
      <c r="C223" s="11"/>
      <c r="D223" s="6">
        <v>5413.34</v>
      </c>
      <c r="E223" s="2"/>
      <c r="F223" s="7">
        <f t="shared" si="58"/>
        <v>1.5071136418710405E-2</v>
      </c>
      <c r="G223" s="2"/>
      <c r="H223" s="6">
        <v>16000.729999999998</v>
      </c>
      <c r="I223" s="2"/>
      <c r="J223" s="7">
        <f t="shared" si="59"/>
        <v>1.2866326192033256E-2</v>
      </c>
      <c r="K223" s="2"/>
      <c r="L223" s="6">
        <f t="shared" si="60"/>
        <v>-10587.389999999998</v>
      </c>
      <c r="M223" s="2"/>
      <c r="N223" s="7">
        <f t="shared" si="61"/>
        <v>-0.6616816857730865</v>
      </c>
      <c r="O223" s="11"/>
      <c r="P223" s="6">
        <v>145245.03</v>
      </c>
      <c r="Q223" s="2"/>
      <c r="R223" s="7">
        <f t="shared" si="62"/>
        <v>1.2669405307501286E-2</v>
      </c>
      <c r="S223" s="2"/>
      <c r="T223" s="6">
        <v>169807.62</v>
      </c>
      <c r="U223" s="2"/>
      <c r="V223" s="7">
        <f t="shared" si="63"/>
        <v>1.2092037898477606E-2</v>
      </c>
      <c r="W223" s="2"/>
      <c r="X223" s="6">
        <f t="shared" si="64"/>
        <v>-24562.589999999997</v>
      </c>
      <c r="Y223" s="2"/>
      <c r="Z223" s="7">
        <f t="shared" si="65"/>
        <v>-0.14464951572844609</v>
      </c>
    </row>
    <row r="224" spans="1:26" s="27" customFormat="1" outlineLevel="1" collapsed="1" x14ac:dyDescent="0.25">
      <c r="A224" s="25"/>
      <c r="B224" s="13" t="str">
        <f>CONCATENATE("     ","Depreciation                                      ")</f>
        <v xml:space="preserve">     Depreciation                                      </v>
      </c>
      <c r="C224" s="13"/>
      <c r="D224" s="1">
        <f>SUM(OSRRefD22_5x_0)</f>
        <v>30629.919999999998</v>
      </c>
      <c r="E224" s="1"/>
      <c r="F224" s="5">
        <f t="shared" si="58"/>
        <v>8.5275948455886041E-2</v>
      </c>
      <c r="G224" s="1"/>
      <c r="H224" s="1">
        <f>SUM(OSRRefH22_5x_0)</f>
        <v>30055.29</v>
      </c>
      <c r="I224" s="1"/>
      <c r="J224" s="5">
        <f t="shared" si="59"/>
        <v>2.4167720156277574E-2</v>
      </c>
      <c r="K224" s="1"/>
      <c r="L224" s="1">
        <f t="shared" si="60"/>
        <v>574.62999999999738</v>
      </c>
      <c r="M224" s="1"/>
      <c r="N224" s="5">
        <f t="shared" si="61"/>
        <v>1.9119096837861067E-2</v>
      </c>
      <c r="O224" s="13"/>
      <c r="P224" s="1">
        <f>SUM(OSRRefP22_5x_0)</f>
        <v>332117.26</v>
      </c>
      <c r="Q224" s="1"/>
      <c r="R224" s="5">
        <f t="shared" si="62"/>
        <v>2.8969859943275063E-2</v>
      </c>
      <c r="S224" s="1"/>
      <c r="T224" s="1">
        <f>SUM(OSRRefT22_5x_0)</f>
        <v>326592.31</v>
      </c>
      <c r="U224" s="1"/>
      <c r="V224" s="5">
        <f t="shared" si="63"/>
        <v>2.3256710092699886E-2</v>
      </c>
      <c r="W224" s="1"/>
      <c r="X224" s="1">
        <f t="shared" si="64"/>
        <v>5524.9500000000116</v>
      </c>
      <c r="Y224" s="1"/>
      <c r="Z224" s="5">
        <f t="shared" si="65"/>
        <v>1.6916962925428377E-2</v>
      </c>
    </row>
    <row r="225" spans="1:26" s="24" customFormat="1" hidden="1" outlineLevel="2" x14ac:dyDescent="0.25">
      <c r="A225" s="26"/>
      <c r="B225" s="11" t="str">
        <f>CONCATENATE("          ", "6321", " - ", "BUILDING DEPRECIATION")</f>
        <v xml:space="preserve">          6321 - BUILDING DEPRECIATION</v>
      </c>
      <c r="C225" s="11"/>
      <c r="D225" s="6">
        <v>16396.52</v>
      </c>
      <c r="E225" s="2"/>
      <c r="F225" s="7">
        <f t="shared" si="58"/>
        <v>4.5649116758251569E-2</v>
      </c>
      <c r="G225" s="2"/>
      <c r="H225" s="6">
        <v>16453.38</v>
      </c>
      <c r="I225" s="2"/>
      <c r="J225" s="7">
        <f t="shared" si="59"/>
        <v>1.3230305994881246E-2</v>
      </c>
      <c r="K225" s="2"/>
      <c r="L225" s="6">
        <f t="shared" si="60"/>
        <v>-56.860000000000582</v>
      </c>
      <c r="M225" s="2"/>
      <c r="N225" s="7">
        <f t="shared" si="61"/>
        <v>-3.4558248821822978E-3</v>
      </c>
      <c r="O225" s="11"/>
      <c r="P225" s="6">
        <v>180361.72</v>
      </c>
      <c r="Q225" s="2"/>
      <c r="R225" s="7">
        <f t="shared" si="62"/>
        <v>1.5732557132165287E-2</v>
      </c>
      <c r="S225" s="2"/>
      <c r="T225" s="6">
        <v>180987.18</v>
      </c>
      <c r="U225" s="2"/>
      <c r="V225" s="7">
        <f t="shared" si="63"/>
        <v>1.2888136820353458E-2</v>
      </c>
      <c r="W225" s="2"/>
      <c r="X225" s="6">
        <f t="shared" si="64"/>
        <v>-625.45999999999185</v>
      </c>
      <c r="Y225" s="2"/>
      <c r="Z225" s="7">
        <f t="shared" si="65"/>
        <v>-3.455824882182218E-3</v>
      </c>
    </row>
    <row r="226" spans="1:26" s="24" customFormat="1" hidden="1" outlineLevel="2" x14ac:dyDescent="0.25">
      <c r="A226" s="26"/>
      <c r="B226" s="11" t="str">
        <f>CONCATENATE("          ", "6322", " - ", "EQUIPMENT DEPRECIATION EXPENSE")</f>
        <v xml:space="preserve">          6322 - EQUIPMENT DEPRECIATION EXPENSE</v>
      </c>
      <c r="C226" s="11"/>
      <c r="D226" s="6">
        <v>14233.4</v>
      </c>
      <c r="E226" s="2"/>
      <c r="F226" s="7">
        <f t="shared" si="58"/>
        <v>3.9626831697634486E-2</v>
      </c>
      <c r="G226" s="2"/>
      <c r="H226" s="6">
        <v>13601.91</v>
      </c>
      <c r="I226" s="2"/>
      <c r="J226" s="7">
        <f t="shared" si="59"/>
        <v>1.093741416139633E-2</v>
      </c>
      <c r="K226" s="2"/>
      <c r="L226" s="6">
        <f t="shared" si="60"/>
        <v>631.48999999999978</v>
      </c>
      <c r="M226" s="2"/>
      <c r="N226" s="7">
        <f t="shared" si="61"/>
        <v>4.6426568033459993E-2</v>
      </c>
      <c r="O226" s="11"/>
      <c r="P226" s="6">
        <v>151755.54</v>
      </c>
      <c r="Q226" s="2"/>
      <c r="R226" s="7">
        <f t="shared" si="62"/>
        <v>1.3237302811109778E-2</v>
      </c>
      <c r="S226" s="2"/>
      <c r="T226" s="6">
        <v>145605.13</v>
      </c>
      <c r="U226" s="2"/>
      <c r="V226" s="7">
        <f t="shared" si="63"/>
        <v>1.0368573272346427E-2</v>
      </c>
      <c r="W226" s="2"/>
      <c r="X226" s="6">
        <f t="shared" si="64"/>
        <v>6150.4100000000035</v>
      </c>
      <c r="Y226" s="2"/>
      <c r="Z226" s="7">
        <f t="shared" si="65"/>
        <v>4.2240338647408941E-2</v>
      </c>
    </row>
    <row r="227" spans="1:26" s="27" customFormat="1" outlineLevel="1" collapsed="1" x14ac:dyDescent="0.25">
      <c r="A227" s="25"/>
      <c r="B227" s="13" t="str">
        <f>CONCATENATE("     ","Discounts and Markdowns                           ")</f>
        <v xml:space="preserve">     Discounts and Markdowns                           </v>
      </c>
      <c r="C227" s="13"/>
      <c r="D227" s="1">
        <f>SUM(OSRRefD22_6x_0)</f>
        <v>48114.67</v>
      </c>
      <c r="E227" s="1"/>
      <c r="F227" s="5">
        <f t="shared" ref="F227:F229" si="66">IF(D$12=0,0,D227/D$12)</f>
        <v>0.13395477751466431</v>
      </c>
      <c r="G227" s="1"/>
      <c r="H227" s="1">
        <f>SUM(OSRRefH22_6x_0)</f>
        <v>30148.94</v>
      </c>
      <c r="I227" s="1"/>
      <c r="J227" s="5">
        <f t="shared" ref="J227:J229" si="67">IF(H$12=0,0,H227/H$12)</f>
        <v>2.4243024935989746E-2</v>
      </c>
      <c r="K227" s="1"/>
      <c r="L227" s="1">
        <f t="shared" ref="L227:L229" si="68">+D227-H227</f>
        <v>17965.73</v>
      </c>
      <c r="M227" s="1"/>
      <c r="N227" s="5">
        <f t="shared" ref="N227:N229" si="69">IF(H227=0,0,L227/H227)</f>
        <v>0.59589922564441733</v>
      </c>
      <c r="O227" s="13"/>
      <c r="P227" s="1">
        <f>SUM(OSRRefP22_6x_0)</f>
        <v>421769.48</v>
      </c>
      <c r="Q227" s="1"/>
      <c r="R227" s="5">
        <f t="shared" ref="R227:R229" si="70">IF(P$12=0,0,P227/P$12)</f>
        <v>3.6790026401964028E-2</v>
      </c>
      <c r="S227" s="1"/>
      <c r="T227" s="1">
        <f>SUM(OSRRefT22_6x_0)</f>
        <v>430620.33</v>
      </c>
      <c r="U227" s="1"/>
      <c r="V227" s="5">
        <f t="shared" ref="V227:V229" si="71">IF(T$12=0,0,T227/T$12)</f>
        <v>3.0664568234422776E-2</v>
      </c>
      <c r="W227" s="1"/>
      <c r="X227" s="1">
        <f t="shared" ref="X227:X229" si="72">+P227-T227</f>
        <v>-8850.8500000000349</v>
      </c>
      <c r="Y227" s="1"/>
      <c r="Z227" s="5">
        <f t="shared" ref="Z227:Z229" si="73">IF(T227=0,0,X227/T227)</f>
        <v>-2.0553720721917693E-2</v>
      </c>
    </row>
    <row r="228" spans="1:26" s="24" customFormat="1" hidden="1" outlineLevel="2" x14ac:dyDescent="0.25">
      <c r="A228" s="26"/>
      <c r="B228" s="11" t="str">
        <f>CONCATENATE("          ", "6382", " - ", "DISCOUNTS/MARK DOWNS")</f>
        <v xml:space="preserve">          6382 - DISCOUNTS/MARK DOWNS</v>
      </c>
      <c r="C228" s="11"/>
      <c r="D228" s="6">
        <v>48114.67</v>
      </c>
      <c r="E228" s="2"/>
      <c r="F228" s="7">
        <f t="shared" si="66"/>
        <v>0.13395477751466431</v>
      </c>
      <c r="G228" s="2"/>
      <c r="H228" s="6">
        <v>30230.73</v>
      </c>
      <c r="I228" s="2"/>
      <c r="J228" s="7">
        <f t="shared" si="67"/>
        <v>2.430879298652534E-2</v>
      </c>
      <c r="K228" s="2"/>
      <c r="L228" s="6">
        <f t="shared" si="68"/>
        <v>17883.939999999999</v>
      </c>
      <c r="M228" s="2"/>
      <c r="N228" s="7">
        <f t="shared" si="69"/>
        <v>0.59158148016935086</v>
      </c>
      <c r="O228" s="11"/>
      <c r="P228" s="6">
        <v>425001.1</v>
      </c>
      <c r="Q228" s="2"/>
      <c r="R228" s="7">
        <f t="shared" si="70"/>
        <v>3.7071913524572127E-2</v>
      </c>
      <c r="S228" s="2"/>
      <c r="T228" s="6">
        <v>435196.49</v>
      </c>
      <c r="U228" s="2"/>
      <c r="V228" s="7">
        <f t="shared" si="71"/>
        <v>3.099043759263825E-2</v>
      </c>
      <c r="W228" s="2"/>
      <c r="X228" s="6">
        <f t="shared" si="72"/>
        <v>-10195.390000000014</v>
      </c>
      <c r="Y228" s="2"/>
      <c r="Z228" s="7">
        <f t="shared" si="73"/>
        <v>-2.3427096114676877E-2</v>
      </c>
    </row>
    <row r="229" spans="1:26" s="24" customFormat="1" hidden="1" outlineLevel="2" x14ac:dyDescent="0.25">
      <c r="A229" s="26"/>
      <c r="B229" s="11" t="str">
        <f>CONCATENATE("          ", "9175", " - ", "EARNED DISCOUNTS")</f>
        <v xml:space="preserve">          9175 - EARNED DISCOUNTS</v>
      </c>
      <c r="C229" s="11"/>
      <c r="D229" s="6"/>
      <c r="E229" s="2"/>
      <c r="F229" s="7">
        <f t="shared" si="66"/>
        <v>0</v>
      </c>
      <c r="G229" s="2"/>
      <c r="H229" s="6">
        <v>-81.790000000000006</v>
      </c>
      <c r="I229" s="2"/>
      <c r="J229" s="7">
        <f t="shared" si="67"/>
        <v>-6.576805053559433E-5</v>
      </c>
      <c r="K229" s="2"/>
      <c r="L229" s="6">
        <f t="shared" si="68"/>
        <v>81.790000000000006</v>
      </c>
      <c r="M229" s="2"/>
      <c r="N229" s="7">
        <f t="shared" si="69"/>
        <v>-1</v>
      </c>
      <c r="O229" s="11"/>
      <c r="P229" s="6">
        <v>-3231.62</v>
      </c>
      <c r="Q229" s="2"/>
      <c r="R229" s="7">
        <f t="shared" si="70"/>
        <v>-2.8188712260810101E-4</v>
      </c>
      <c r="S229" s="2"/>
      <c r="T229" s="6">
        <v>-4576.16</v>
      </c>
      <c r="U229" s="2"/>
      <c r="V229" s="7">
        <f t="shared" si="71"/>
        <v>-3.2586935821547514E-4</v>
      </c>
      <c r="W229" s="2"/>
      <c r="X229" s="6">
        <f t="shared" si="72"/>
        <v>1344.54</v>
      </c>
      <c r="Y229" s="2"/>
      <c r="Z229" s="7">
        <f t="shared" si="73"/>
        <v>-0.29381402748155661</v>
      </c>
    </row>
    <row r="230" spans="1:26" s="27" customFormat="1" outlineLevel="1" collapsed="1" x14ac:dyDescent="0.25">
      <c r="A230" s="25"/>
      <c r="B230" s="13" t="str">
        <f>CONCATENATE("     ","Donations                                         ")</f>
        <v xml:space="preserve">     Donations                                         </v>
      </c>
      <c r="C230" s="13"/>
      <c r="D230" s="1">
        <f>SUM(OSRRefD22_7x_0)</f>
        <v>-1385.81</v>
      </c>
      <c r="E230" s="1"/>
      <c r="F230" s="5">
        <f t="shared" ref="F230:F238" si="74">IF(D$12=0,0,D230/D$12)</f>
        <v>-3.858196891459444E-3</v>
      </c>
      <c r="G230" s="1"/>
      <c r="H230" s="1">
        <f>SUM(OSRRefH22_7x_0)</f>
        <v>296.94</v>
      </c>
      <c r="I230" s="1"/>
      <c r="J230" s="5">
        <f t="shared" ref="J230:J238" si="75">IF(H$12=0,0,H230/H$12)</f>
        <v>2.3877203724219806E-4</v>
      </c>
      <c r="K230" s="1"/>
      <c r="L230" s="1">
        <f t="shared" ref="L230:L238" si="76">+D230-H230</f>
        <v>-1682.75</v>
      </c>
      <c r="M230" s="1"/>
      <c r="N230" s="5">
        <f t="shared" ref="N230:N238" si="77">IF(H230=0,0,L230/H230)</f>
        <v>-5.6669697582003096</v>
      </c>
      <c r="O230" s="13"/>
      <c r="P230" s="1">
        <f>SUM(OSRRefP22_7x_0)</f>
        <v>10985.64</v>
      </c>
      <c r="Q230" s="1"/>
      <c r="R230" s="5">
        <f t="shared" ref="R230:R238" si="78">IF(P$12=0,0,P230/P$12)</f>
        <v>9.582532753258299E-4</v>
      </c>
      <c r="S230" s="1"/>
      <c r="T230" s="1">
        <f>SUM(OSRRefT22_7x_0)</f>
        <v>9184</v>
      </c>
      <c r="U230" s="1"/>
      <c r="V230" s="5">
        <f t="shared" ref="V230:V238" si="79">IF(T$12=0,0,T230/T$12)</f>
        <v>6.5399465618573734E-4</v>
      </c>
      <c r="W230" s="1"/>
      <c r="X230" s="1">
        <f t="shared" ref="X230:X238" si="80">+P230-T230</f>
        <v>1801.6399999999994</v>
      </c>
      <c r="Y230" s="1"/>
      <c r="Z230" s="5">
        <f t="shared" ref="Z230:Z238" si="81">IF(T230=0,0,X230/T230)</f>
        <v>0.19617160278745638</v>
      </c>
    </row>
    <row r="231" spans="1:26" s="24" customFormat="1" hidden="1" outlineLevel="2" x14ac:dyDescent="0.25">
      <c r="A231" s="26"/>
      <c r="B231" s="11" t="str">
        <f>CONCATENATE("          ", "6399", " - ", "DONATION-ON CAMPUS")</f>
        <v xml:space="preserve">          6399 - DONATION-ON CAMPUS</v>
      </c>
      <c r="C231" s="11"/>
      <c r="D231" s="6">
        <v>-1385.81</v>
      </c>
      <c r="E231" s="2"/>
      <c r="F231" s="7">
        <f t="shared" si="74"/>
        <v>-3.858196891459444E-3</v>
      </c>
      <c r="G231" s="2"/>
      <c r="H231" s="6">
        <v>296.94</v>
      </c>
      <c r="I231" s="2"/>
      <c r="J231" s="7">
        <f t="shared" si="75"/>
        <v>2.3877203724219806E-4</v>
      </c>
      <c r="K231" s="2"/>
      <c r="L231" s="6">
        <f t="shared" si="76"/>
        <v>-1682.75</v>
      </c>
      <c r="M231" s="2"/>
      <c r="N231" s="7">
        <f t="shared" si="77"/>
        <v>-5.6669697582003096</v>
      </c>
      <c r="O231" s="11"/>
      <c r="P231" s="6">
        <v>10985.64</v>
      </c>
      <c r="Q231" s="2"/>
      <c r="R231" s="7">
        <f t="shared" si="78"/>
        <v>9.582532753258299E-4</v>
      </c>
      <c r="S231" s="2"/>
      <c r="T231" s="6">
        <v>9184</v>
      </c>
      <c r="U231" s="2"/>
      <c r="V231" s="7">
        <f t="shared" si="79"/>
        <v>6.5399465618573734E-4</v>
      </c>
      <c r="W231" s="2"/>
      <c r="X231" s="6">
        <f t="shared" si="80"/>
        <v>1801.6399999999994</v>
      </c>
      <c r="Y231" s="2"/>
      <c r="Z231" s="7">
        <f t="shared" si="81"/>
        <v>0.19617160278745638</v>
      </c>
    </row>
    <row r="232" spans="1:26" s="27" customFormat="1" outlineLevel="1" collapsed="1" x14ac:dyDescent="0.25">
      <c r="A232" s="25"/>
      <c r="B232" s="13" t="str">
        <f>CONCATENATE("     ","Employees' Appreciation                           ")</f>
        <v xml:space="preserve">     Employees' Appreciation                           </v>
      </c>
      <c r="C232" s="13"/>
      <c r="D232" s="1">
        <f>SUM(OSRRefD22_8x_0)</f>
        <v>0</v>
      </c>
      <c r="E232" s="1"/>
      <c r="F232" s="5">
        <f t="shared" si="74"/>
        <v>0</v>
      </c>
      <c r="G232" s="1"/>
      <c r="H232" s="1">
        <f>SUM(OSRRefH22_8x_0)</f>
        <v>136.44</v>
      </c>
      <c r="I232" s="1"/>
      <c r="J232" s="5">
        <f t="shared" si="75"/>
        <v>1.0971259096560081E-4</v>
      </c>
      <c r="K232" s="1"/>
      <c r="L232" s="1">
        <f t="shared" si="76"/>
        <v>-136.44</v>
      </c>
      <c r="M232" s="1"/>
      <c r="N232" s="5">
        <f t="shared" si="77"/>
        <v>-1</v>
      </c>
      <c r="O232" s="13"/>
      <c r="P232" s="1">
        <f>SUM(OSRRefP22_8x_0)</f>
        <v>1554.27</v>
      </c>
      <c r="Q232" s="1"/>
      <c r="R232" s="5">
        <f t="shared" si="78"/>
        <v>1.3557556211933741E-4</v>
      </c>
      <c r="S232" s="1"/>
      <c r="T232" s="1">
        <f>SUM(OSRRefT22_8x_0)</f>
        <v>4248.03</v>
      </c>
      <c r="U232" s="1"/>
      <c r="V232" s="5">
        <f t="shared" si="79"/>
        <v>3.0250314888030243E-4</v>
      </c>
      <c r="W232" s="1"/>
      <c r="X232" s="1">
        <f t="shared" si="80"/>
        <v>-2693.7599999999998</v>
      </c>
      <c r="Y232" s="1"/>
      <c r="Z232" s="5">
        <f t="shared" si="81"/>
        <v>-0.63411981553802588</v>
      </c>
    </row>
    <row r="233" spans="1:26" s="24" customFormat="1" hidden="1" outlineLevel="2" x14ac:dyDescent="0.25">
      <c r="A233" s="26"/>
      <c r="B233" s="11" t="str">
        <f>CONCATENATE("          ", "6277", " - ", "EMPLOYEE APPRECIATION")</f>
        <v xml:space="preserve">          6277 - EMPLOYEE APPRECIATION</v>
      </c>
      <c r="C233" s="11"/>
      <c r="D233" s="6"/>
      <c r="E233" s="2"/>
      <c r="F233" s="7">
        <f t="shared" si="74"/>
        <v>0</v>
      </c>
      <c r="G233" s="2"/>
      <c r="H233" s="6">
        <v>136.44</v>
      </c>
      <c r="I233" s="2"/>
      <c r="J233" s="7">
        <f t="shared" si="75"/>
        <v>1.0971259096560081E-4</v>
      </c>
      <c r="K233" s="2"/>
      <c r="L233" s="6">
        <f t="shared" si="76"/>
        <v>-136.44</v>
      </c>
      <c r="M233" s="2"/>
      <c r="N233" s="7">
        <f t="shared" si="77"/>
        <v>-1</v>
      </c>
      <c r="O233" s="11"/>
      <c r="P233" s="6">
        <v>1554.27</v>
      </c>
      <c r="Q233" s="2"/>
      <c r="R233" s="7">
        <f t="shared" si="78"/>
        <v>1.3557556211933741E-4</v>
      </c>
      <c r="S233" s="2"/>
      <c r="T233" s="6">
        <v>4248.03</v>
      </c>
      <c r="U233" s="2"/>
      <c r="V233" s="7">
        <f t="shared" si="79"/>
        <v>3.0250314888030243E-4</v>
      </c>
      <c r="W233" s="2"/>
      <c r="X233" s="6">
        <f t="shared" si="80"/>
        <v>-2693.7599999999998</v>
      </c>
      <c r="Y233" s="2"/>
      <c r="Z233" s="7">
        <f t="shared" si="81"/>
        <v>-0.63411981553802588</v>
      </c>
    </row>
    <row r="234" spans="1:26" s="27" customFormat="1" outlineLevel="1" collapsed="1" x14ac:dyDescent="0.25">
      <c r="A234" s="25"/>
      <c r="B234" s="13" t="str">
        <f>CONCATENATE("     ","Equipment Rental                                  ")</f>
        <v xml:space="preserve">     Equipment Rental                                  </v>
      </c>
      <c r="C234" s="13"/>
      <c r="D234" s="1">
        <f>SUM(OSRRefD22_9x_0)</f>
        <v>1687.5</v>
      </c>
      <c r="E234" s="1"/>
      <c r="F234" s="5">
        <f t="shared" si="74"/>
        <v>4.6981240244606485E-3</v>
      </c>
      <c r="G234" s="1"/>
      <c r="H234" s="1">
        <f>SUM(OSRRefH22_9x_0)</f>
        <v>3431.48</v>
      </c>
      <c r="I234" s="1"/>
      <c r="J234" s="5">
        <f t="shared" si="75"/>
        <v>2.7592829203066539E-3</v>
      </c>
      <c r="K234" s="1"/>
      <c r="L234" s="1">
        <f t="shared" si="76"/>
        <v>-1743.98</v>
      </c>
      <c r="M234" s="1"/>
      <c r="N234" s="5">
        <f t="shared" si="77"/>
        <v>-0.50822968515043077</v>
      </c>
      <c r="O234" s="13"/>
      <c r="P234" s="1">
        <f>SUM(OSRRefP22_9x_0)</f>
        <v>18451.63</v>
      </c>
      <c r="Q234" s="1"/>
      <c r="R234" s="5">
        <f t="shared" si="78"/>
        <v>1.6094952030651236E-3</v>
      </c>
      <c r="S234" s="1"/>
      <c r="T234" s="1">
        <f>SUM(OSRRefT22_9x_0)</f>
        <v>37554.910000000003</v>
      </c>
      <c r="U234" s="1"/>
      <c r="V234" s="5">
        <f t="shared" si="79"/>
        <v>2.6742933856202431E-3</v>
      </c>
      <c r="W234" s="1"/>
      <c r="X234" s="1">
        <f t="shared" si="80"/>
        <v>-19103.280000000002</v>
      </c>
      <c r="Y234" s="1"/>
      <c r="Z234" s="5">
        <f t="shared" si="81"/>
        <v>-0.50867596274361992</v>
      </c>
    </row>
    <row r="235" spans="1:26" s="24" customFormat="1" hidden="1" outlineLevel="2" x14ac:dyDescent="0.25">
      <c r="A235" s="26"/>
      <c r="B235" s="11" t="str">
        <f>CONCATENATE("          ", "6351", " - ", "EQUIPMENT RENTAL")</f>
        <v xml:space="preserve">          6351 - EQUIPMENT RENTAL</v>
      </c>
      <c r="C235" s="11"/>
      <c r="D235" s="6">
        <v>1687.5</v>
      </c>
      <c r="E235" s="2"/>
      <c r="F235" s="7">
        <f t="shared" si="74"/>
        <v>4.6981240244606485E-3</v>
      </c>
      <c r="G235" s="2"/>
      <c r="H235" s="6">
        <v>3431.48</v>
      </c>
      <c r="I235" s="2"/>
      <c r="J235" s="7">
        <f t="shared" si="75"/>
        <v>2.7592829203066539E-3</v>
      </c>
      <c r="K235" s="2"/>
      <c r="L235" s="6">
        <f t="shared" si="76"/>
        <v>-1743.98</v>
      </c>
      <c r="M235" s="2"/>
      <c r="N235" s="7">
        <f t="shared" si="77"/>
        <v>-0.50822968515043077</v>
      </c>
      <c r="O235" s="11"/>
      <c r="P235" s="6">
        <v>18451.63</v>
      </c>
      <c r="Q235" s="2"/>
      <c r="R235" s="7">
        <f t="shared" si="78"/>
        <v>1.6094952030651236E-3</v>
      </c>
      <c r="S235" s="2"/>
      <c r="T235" s="6">
        <v>37554.910000000003</v>
      </c>
      <c r="U235" s="2"/>
      <c r="V235" s="7">
        <f t="shared" si="79"/>
        <v>2.6742933856202431E-3</v>
      </c>
      <c r="W235" s="2"/>
      <c r="X235" s="6">
        <f t="shared" si="80"/>
        <v>-19103.280000000002</v>
      </c>
      <c r="Y235" s="2"/>
      <c r="Z235" s="7">
        <f t="shared" si="81"/>
        <v>-0.50867596274361992</v>
      </c>
    </row>
    <row r="236" spans="1:26" s="27" customFormat="1" outlineLevel="1" collapsed="1" x14ac:dyDescent="0.25">
      <c r="A236" s="25"/>
      <c r="B236" s="13" t="str">
        <f>CONCATENATE("     ","Freight out/Postage                               ")</f>
        <v xml:space="preserve">     Freight out/Postage                               </v>
      </c>
      <c r="C236" s="13"/>
      <c r="D236" s="1">
        <f>SUM(OSRRefD22_10x_0)</f>
        <v>6098.17</v>
      </c>
      <c r="E236" s="1"/>
      <c r="F236" s="5">
        <f t="shared" si="74"/>
        <v>1.6977753470960116E-2</v>
      </c>
      <c r="G236" s="1"/>
      <c r="H236" s="1">
        <f>SUM(OSRRefH22_10x_0)</f>
        <v>1261.96</v>
      </c>
      <c r="I236" s="1"/>
      <c r="J236" s="5">
        <f t="shared" si="75"/>
        <v>1.0147530144748579E-3</v>
      </c>
      <c r="K236" s="1"/>
      <c r="L236" s="1">
        <f t="shared" si="76"/>
        <v>4836.21</v>
      </c>
      <c r="M236" s="1"/>
      <c r="N236" s="5">
        <f t="shared" si="77"/>
        <v>3.8323005483533552</v>
      </c>
      <c r="O236" s="13"/>
      <c r="P236" s="1">
        <f>SUM(OSRRefP22_10x_0)</f>
        <v>16112.96</v>
      </c>
      <c r="Q236" s="1"/>
      <c r="R236" s="5">
        <f t="shared" si="78"/>
        <v>1.4054981498751173E-3</v>
      </c>
      <c r="S236" s="1"/>
      <c r="T236" s="1">
        <f>SUM(OSRRefT22_10x_0)</f>
        <v>-2616.3500000000058</v>
      </c>
      <c r="U236" s="1"/>
      <c r="V236" s="5">
        <f t="shared" si="79"/>
        <v>-1.8631085787364522E-4</v>
      </c>
      <c r="W236" s="1"/>
      <c r="X236" s="1">
        <f t="shared" si="80"/>
        <v>18729.310000000005</v>
      </c>
      <c r="Y236" s="1"/>
      <c r="Z236" s="5">
        <f t="shared" si="81"/>
        <v>-7.158564412253698</v>
      </c>
    </row>
    <row r="237" spans="1:26" s="24" customFormat="1" hidden="1" outlineLevel="2" x14ac:dyDescent="0.25">
      <c r="A237" s="26"/>
      <c r="B237" s="11" t="str">
        <f>CONCATENATE("          ", "6305", " - ", "FREIGHT OUT")</f>
        <v xml:space="preserve">          6305 - FREIGHT OUT</v>
      </c>
      <c r="C237" s="11"/>
      <c r="D237" s="6">
        <v>7586</v>
      </c>
      <c r="E237" s="2"/>
      <c r="F237" s="7">
        <f t="shared" si="74"/>
        <v>2.1119981540479098E-2</v>
      </c>
      <c r="G237" s="2"/>
      <c r="H237" s="6">
        <v>3570.7</v>
      </c>
      <c r="I237" s="2"/>
      <c r="J237" s="7">
        <f t="shared" si="75"/>
        <v>2.8712309334569834E-3</v>
      </c>
      <c r="K237" s="2"/>
      <c r="L237" s="6">
        <f t="shared" si="76"/>
        <v>4015.3</v>
      </c>
      <c r="M237" s="2"/>
      <c r="N237" s="7">
        <f t="shared" si="77"/>
        <v>1.1245134007337498</v>
      </c>
      <c r="O237" s="11"/>
      <c r="P237" s="6">
        <v>70031.78</v>
      </c>
      <c r="Q237" s="2"/>
      <c r="R237" s="7">
        <f t="shared" si="78"/>
        <v>6.108718523627021E-3</v>
      </c>
      <c r="S237" s="2"/>
      <c r="T237" s="6">
        <v>71398.83</v>
      </c>
      <c r="U237" s="2"/>
      <c r="V237" s="7">
        <f t="shared" si="79"/>
        <v>5.0843263586578735E-3</v>
      </c>
      <c r="W237" s="2"/>
      <c r="X237" s="6">
        <f t="shared" si="80"/>
        <v>-1367.0500000000029</v>
      </c>
      <c r="Y237" s="2"/>
      <c r="Z237" s="7">
        <f t="shared" si="81"/>
        <v>-1.9146672291408737E-2</v>
      </c>
    </row>
    <row r="238" spans="1:26" s="24" customFormat="1" hidden="1" outlineLevel="2" x14ac:dyDescent="0.25">
      <c r="A238" s="26"/>
      <c r="B238" s="11" t="str">
        <f>CONCATENATE("          ", "6307", " - ", "POSTAGE")</f>
        <v xml:space="preserve">          6307 - POSTAGE</v>
      </c>
      <c r="C238" s="11"/>
      <c r="D238" s="6">
        <v>-1487.83</v>
      </c>
      <c r="E238" s="2"/>
      <c r="F238" s="7">
        <f t="shared" si="74"/>
        <v>-4.1422280695189847E-3</v>
      </c>
      <c r="G238" s="2"/>
      <c r="H238" s="6">
        <v>-2308.7399999999998</v>
      </c>
      <c r="I238" s="2"/>
      <c r="J238" s="7">
        <f t="shared" si="75"/>
        <v>-1.8564779189821255E-3</v>
      </c>
      <c r="K238" s="2"/>
      <c r="L238" s="6">
        <f t="shared" si="76"/>
        <v>820.90999999999985</v>
      </c>
      <c r="M238" s="2"/>
      <c r="N238" s="7">
        <f t="shared" si="77"/>
        <v>-0.355566239593891</v>
      </c>
      <c r="O238" s="11"/>
      <c r="P238" s="6">
        <v>-53918.82</v>
      </c>
      <c r="Q238" s="2"/>
      <c r="R238" s="7">
        <f t="shared" si="78"/>
        <v>-4.7032203737519037E-3</v>
      </c>
      <c r="S238" s="2"/>
      <c r="T238" s="6">
        <v>-74015.180000000008</v>
      </c>
      <c r="U238" s="2"/>
      <c r="V238" s="7">
        <f t="shared" si="79"/>
        <v>-5.2706372165315192E-3</v>
      </c>
      <c r="W238" s="2"/>
      <c r="X238" s="6">
        <f t="shared" si="80"/>
        <v>20096.360000000008</v>
      </c>
      <c r="Y238" s="2"/>
      <c r="Z238" s="7">
        <f t="shared" si="81"/>
        <v>-0.27151673481034572</v>
      </c>
    </row>
    <row r="239" spans="1:26" s="27" customFormat="1" outlineLevel="1" collapsed="1" x14ac:dyDescent="0.25">
      <c r="A239" s="25"/>
      <c r="B239" s="13" t="str">
        <f>CONCATENATE("     ","General                                           ")</f>
        <v xml:space="preserve">     General                                           </v>
      </c>
      <c r="C239" s="13"/>
      <c r="D239" s="1">
        <f>SUM(OSRRefD22_11x_0)</f>
        <v>40.99</v>
      </c>
      <c r="E239" s="1"/>
      <c r="F239" s="5">
        <f t="shared" ref="F239:F253" si="82">IF(D$12=0,0,D239/D$12)</f>
        <v>1.1411917260008415E-4</v>
      </c>
      <c r="G239" s="1"/>
      <c r="H239" s="1">
        <f>SUM(OSRRefH22_11x_0)</f>
        <v>-0.18</v>
      </c>
      <c r="I239" s="1"/>
      <c r="J239" s="5">
        <f t="shared" ref="J239:J253" si="83">IF(H$12=0,0,H239/H$12)</f>
        <v>-1.4473956591767917E-7</v>
      </c>
      <c r="K239" s="1"/>
      <c r="L239" s="1">
        <f t="shared" ref="L239:L253" si="84">+D239-H239</f>
        <v>41.17</v>
      </c>
      <c r="M239" s="1"/>
      <c r="N239" s="5">
        <f t="shared" ref="N239:N253" si="85">IF(H239=0,0,L239/H239)</f>
        <v>-228.72222222222223</v>
      </c>
      <c r="O239" s="13"/>
      <c r="P239" s="1">
        <f>SUM(OSRRefP22_11x_0)</f>
        <v>-1365.63</v>
      </c>
      <c r="Q239" s="1"/>
      <c r="R239" s="5">
        <f t="shared" ref="R239:R253" si="86">IF(P$12=0,0,P239/P$12)</f>
        <v>-1.1912090878485124E-4</v>
      </c>
      <c r="S239" s="1"/>
      <c r="T239" s="1">
        <f>SUM(OSRRefT22_11x_0)</f>
        <v>25714.550000000003</v>
      </c>
      <c r="U239" s="1"/>
      <c r="V239" s="5">
        <f t="shared" ref="V239:V253" si="87">IF(T$12=0,0,T239/T$12)</f>
        <v>1.8311387506773687E-3</v>
      </c>
      <c r="W239" s="1"/>
      <c r="X239" s="1">
        <f t="shared" ref="X239:X253" si="88">+P239-T239</f>
        <v>-27080.180000000004</v>
      </c>
      <c r="Y239" s="1"/>
      <c r="Z239" s="5">
        <f t="shared" ref="Z239:Z253" si="89">IF(T239=0,0,X239/T239)</f>
        <v>-1.053107287508434</v>
      </c>
    </row>
    <row r="240" spans="1:26" s="24" customFormat="1" hidden="1" outlineLevel="2" x14ac:dyDescent="0.25">
      <c r="A240" s="26"/>
      <c r="B240" s="11" t="str">
        <f>CONCATENATE("          ", "6279", " - ", "GENERAL EXPENSE")</f>
        <v xml:space="preserve">          6279 - GENERAL EXPENSE</v>
      </c>
      <c r="C240" s="11"/>
      <c r="D240" s="6">
        <v>40.99</v>
      </c>
      <c r="E240" s="2"/>
      <c r="F240" s="7">
        <f t="shared" si="82"/>
        <v>1.1411917260008415E-4</v>
      </c>
      <c r="G240" s="2"/>
      <c r="H240" s="6">
        <v>-0.18</v>
      </c>
      <c r="I240" s="2"/>
      <c r="J240" s="7">
        <f t="shared" si="83"/>
        <v>-1.4473956591767917E-7</v>
      </c>
      <c r="K240" s="2"/>
      <c r="L240" s="6">
        <f t="shared" si="84"/>
        <v>41.17</v>
      </c>
      <c r="M240" s="2"/>
      <c r="N240" s="7">
        <f t="shared" si="85"/>
        <v>-228.72222222222223</v>
      </c>
      <c r="O240" s="11"/>
      <c r="P240" s="6">
        <v>-1365.63</v>
      </c>
      <c r="Q240" s="2"/>
      <c r="R240" s="7">
        <f t="shared" si="86"/>
        <v>-1.1912090878485124E-4</v>
      </c>
      <c r="S240" s="2"/>
      <c r="T240" s="6">
        <v>25714.550000000003</v>
      </c>
      <c r="U240" s="2"/>
      <c r="V240" s="7">
        <f t="shared" si="87"/>
        <v>1.8311387506773687E-3</v>
      </c>
      <c r="W240" s="2"/>
      <c r="X240" s="6">
        <f t="shared" si="88"/>
        <v>-27080.180000000004</v>
      </c>
      <c r="Y240" s="2"/>
      <c r="Z240" s="7">
        <f t="shared" si="89"/>
        <v>-1.053107287508434</v>
      </c>
    </row>
    <row r="241" spans="1:26" s="27" customFormat="1" outlineLevel="1" collapsed="1" x14ac:dyDescent="0.25">
      <c r="A241" s="25"/>
      <c r="B241" s="13" t="str">
        <f>CONCATENATE("     ","Insurance                                         ")</f>
        <v xml:space="preserve">     Insurance                                         </v>
      </c>
      <c r="C241" s="13"/>
      <c r="D241" s="1">
        <f>SUM(OSRRefD22_12x_0)</f>
        <v>4044.74</v>
      </c>
      <c r="E241" s="1"/>
      <c r="F241" s="5">
        <f t="shared" si="82"/>
        <v>1.1260853432116719E-2</v>
      </c>
      <c r="G241" s="1"/>
      <c r="H241" s="1">
        <f>SUM(OSRRefH22_12x_0)</f>
        <v>3809.97</v>
      </c>
      <c r="I241" s="1"/>
      <c r="J241" s="5">
        <f t="shared" si="83"/>
        <v>3.063630021996556E-3</v>
      </c>
      <c r="K241" s="1"/>
      <c r="L241" s="1">
        <f t="shared" si="84"/>
        <v>234.76999999999998</v>
      </c>
      <c r="M241" s="1"/>
      <c r="N241" s="5">
        <f t="shared" si="85"/>
        <v>6.1619907768302638E-2</v>
      </c>
      <c r="O241" s="13"/>
      <c r="P241" s="1">
        <f>SUM(OSRRefP22_12x_0)</f>
        <v>44492.140000000007</v>
      </c>
      <c r="Q241" s="1"/>
      <c r="R241" s="5">
        <f t="shared" si="86"/>
        <v>3.8809517589558167E-3</v>
      </c>
      <c r="S241" s="1"/>
      <c r="T241" s="1">
        <f>SUM(OSRRefT22_12x_0)</f>
        <v>35120.899999999994</v>
      </c>
      <c r="U241" s="1"/>
      <c r="V241" s="5">
        <f t="shared" si="87"/>
        <v>2.5009669991761388E-3</v>
      </c>
      <c r="W241" s="1"/>
      <c r="X241" s="1">
        <f t="shared" si="88"/>
        <v>9371.2400000000125</v>
      </c>
      <c r="Y241" s="1"/>
      <c r="Z241" s="5">
        <f t="shared" si="89"/>
        <v>0.26682801408847762</v>
      </c>
    </row>
    <row r="242" spans="1:26" s="24" customFormat="1" hidden="1" outlineLevel="2" x14ac:dyDescent="0.25">
      <c r="A242" s="26"/>
      <c r="B242" s="11" t="str">
        <f>CONCATENATE("          ", "6314", " - ", "LIABILITY INSURANCE")</f>
        <v xml:space="preserve">          6314 - LIABILITY INSURANCE</v>
      </c>
      <c r="C242" s="11"/>
      <c r="D242" s="6">
        <v>4044.74</v>
      </c>
      <c r="E242" s="2"/>
      <c r="F242" s="7">
        <f t="shared" si="82"/>
        <v>1.1260853432116719E-2</v>
      </c>
      <c r="G242" s="2"/>
      <c r="H242" s="6">
        <v>3809.97</v>
      </c>
      <c r="I242" s="2"/>
      <c r="J242" s="7">
        <f t="shared" si="83"/>
        <v>3.063630021996556E-3</v>
      </c>
      <c r="K242" s="2"/>
      <c r="L242" s="6">
        <f t="shared" si="84"/>
        <v>234.76999999999998</v>
      </c>
      <c r="M242" s="2"/>
      <c r="N242" s="7">
        <f t="shared" si="85"/>
        <v>6.1619907768302638E-2</v>
      </c>
      <c r="O242" s="11"/>
      <c r="P242" s="6">
        <v>44492.140000000007</v>
      </c>
      <c r="Q242" s="2"/>
      <c r="R242" s="7">
        <f t="shared" si="86"/>
        <v>3.8809517589558167E-3</v>
      </c>
      <c r="S242" s="2"/>
      <c r="T242" s="6">
        <v>35120.899999999994</v>
      </c>
      <c r="U242" s="2"/>
      <c r="V242" s="7">
        <f t="shared" si="87"/>
        <v>2.5009669991761388E-3</v>
      </c>
      <c r="W242" s="2"/>
      <c r="X242" s="6">
        <f t="shared" si="88"/>
        <v>9371.2400000000125</v>
      </c>
      <c r="Y242" s="2"/>
      <c r="Z242" s="7">
        <f t="shared" si="89"/>
        <v>0.26682801408847762</v>
      </c>
    </row>
    <row r="243" spans="1:26" s="27" customFormat="1" outlineLevel="1" collapsed="1" x14ac:dyDescent="0.25">
      <c r="A243" s="25"/>
      <c r="B243" s="13" t="str">
        <f>CONCATENATE("     ","Inventory Adjustment                              ")</f>
        <v xml:space="preserve">     Inventory Adjustment                              </v>
      </c>
      <c r="C243" s="13"/>
      <c r="D243" s="1">
        <f>SUM(OSRRefD22_13x_0)</f>
        <v>4550</v>
      </c>
      <c r="E243" s="1"/>
      <c r="F243" s="5">
        <f t="shared" si="82"/>
        <v>1.2667534406693897E-2</v>
      </c>
      <c r="G243" s="1"/>
      <c r="H243" s="1">
        <f>SUM(OSRRefH22_13x_0)</f>
        <v>10300</v>
      </c>
      <c r="I243" s="1"/>
      <c r="J243" s="5">
        <f t="shared" si="83"/>
        <v>8.2823196052894191E-3</v>
      </c>
      <c r="K243" s="1"/>
      <c r="L243" s="1">
        <f t="shared" si="84"/>
        <v>-5750</v>
      </c>
      <c r="M243" s="1"/>
      <c r="N243" s="5">
        <f t="shared" si="85"/>
        <v>-0.55825242718446599</v>
      </c>
      <c r="O243" s="13"/>
      <c r="P243" s="1">
        <f>SUM(OSRRefP22_13x_0)</f>
        <v>53350</v>
      </c>
      <c r="Q243" s="1"/>
      <c r="R243" s="5">
        <f t="shared" si="86"/>
        <v>4.6536034531108822E-3</v>
      </c>
      <c r="S243" s="1"/>
      <c r="T243" s="1">
        <f>SUM(OSRRefT22_13x_0)</f>
        <v>110900</v>
      </c>
      <c r="U243" s="1"/>
      <c r="V243" s="5">
        <f t="shared" si="87"/>
        <v>7.8972133461452827E-3</v>
      </c>
      <c r="W243" s="1"/>
      <c r="X243" s="1">
        <f t="shared" si="88"/>
        <v>-57550</v>
      </c>
      <c r="Y243" s="1"/>
      <c r="Z243" s="5">
        <f t="shared" si="89"/>
        <v>-0.51893597835888183</v>
      </c>
    </row>
    <row r="244" spans="1:26" s="24" customFormat="1" hidden="1" outlineLevel="2" x14ac:dyDescent="0.25">
      <c r="A244" s="26"/>
      <c r="B244" s="11" t="str">
        <f>CONCATENATE("          ", "6408", " - ", "INVENTORY ADJUSTMENT")</f>
        <v xml:space="preserve">          6408 - INVENTORY ADJUSTMENT</v>
      </c>
      <c r="C244" s="11"/>
      <c r="D244" s="6">
        <v>4550</v>
      </c>
      <c r="E244" s="2"/>
      <c r="F244" s="7">
        <f t="shared" si="82"/>
        <v>1.2667534406693897E-2</v>
      </c>
      <c r="G244" s="2"/>
      <c r="H244" s="6">
        <v>10300</v>
      </c>
      <c r="I244" s="2"/>
      <c r="J244" s="7">
        <f t="shared" si="83"/>
        <v>8.2823196052894191E-3</v>
      </c>
      <c r="K244" s="2"/>
      <c r="L244" s="6">
        <f t="shared" si="84"/>
        <v>-5750</v>
      </c>
      <c r="M244" s="2"/>
      <c r="N244" s="7">
        <f t="shared" si="85"/>
        <v>-0.55825242718446599</v>
      </c>
      <c r="O244" s="11"/>
      <c r="P244" s="6">
        <v>53350</v>
      </c>
      <c r="Q244" s="2"/>
      <c r="R244" s="7">
        <f t="shared" si="86"/>
        <v>4.6536034531108822E-3</v>
      </c>
      <c r="S244" s="2"/>
      <c r="T244" s="6">
        <v>110900</v>
      </c>
      <c r="U244" s="2"/>
      <c r="V244" s="7">
        <f t="shared" si="87"/>
        <v>7.8972133461452827E-3</v>
      </c>
      <c r="W244" s="2"/>
      <c r="X244" s="6">
        <f t="shared" si="88"/>
        <v>-57550</v>
      </c>
      <c r="Y244" s="2"/>
      <c r="Z244" s="7">
        <f t="shared" si="89"/>
        <v>-0.51893597835888183</v>
      </c>
    </row>
    <row r="245" spans="1:26" s="27" customFormat="1" outlineLevel="1" collapsed="1" x14ac:dyDescent="0.25">
      <c r="A245" s="25"/>
      <c r="B245" s="13" t="str">
        <f>CONCATENATE("     ","Professional Services                             ")</f>
        <v xml:space="preserve">     Professional Services                             </v>
      </c>
      <c r="C245" s="13"/>
      <c r="D245" s="1">
        <f>SUM(OSRRefD22_14x_0)</f>
        <v>0</v>
      </c>
      <c r="E245" s="1"/>
      <c r="F245" s="5">
        <f t="shared" si="82"/>
        <v>0</v>
      </c>
      <c r="G245" s="1"/>
      <c r="H245" s="1">
        <f>SUM(OSRRefH22_14x_0)</f>
        <v>0</v>
      </c>
      <c r="I245" s="1"/>
      <c r="J245" s="5">
        <f t="shared" si="83"/>
        <v>0</v>
      </c>
      <c r="K245" s="1"/>
      <c r="L245" s="1">
        <f t="shared" si="84"/>
        <v>0</v>
      </c>
      <c r="M245" s="1"/>
      <c r="N245" s="5">
        <f t="shared" si="85"/>
        <v>0</v>
      </c>
      <c r="O245" s="13"/>
      <c r="P245" s="1">
        <f>SUM(OSRRefP22_14x_0)</f>
        <v>9129.56</v>
      </c>
      <c r="Q245" s="1"/>
      <c r="R245" s="5">
        <f t="shared" si="86"/>
        <v>7.9635148906059946E-4</v>
      </c>
      <c r="S245" s="1"/>
      <c r="T245" s="1">
        <f>SUM(OSRRefT22_14x_0)</f>
        <v>8276.43</v>
      </c>
      <c r="U245" s="1"/>
      <c r="V245" s="5">
        <f t="shared" si="87"/>
        <v>5.8936639724469972E-4</v>
      </c>
      <c r="W245" s="1"/>
      <c r="X245" s="1">
        <f t="shared" si="88"/>
        <v>853.1299999999992</v>
      </c>
      <c r="Y245" s="1"/>
      <c r="Z245" s="5">
        <f t="shared" si="89"/>
        <v>0.10307946783818617</v>
      </c>
    </row>
    <row r="246" spans="1:26" s="24" customFormat="1" hidden="1" outlineLevel="2" x14ac:dyDescent="0.25">
      <c r="A246" s="26"/>
      <c r="B246" s="11" t="str">
        <f>CONCATENATE("          ", "6336", " - ", "PROFESSIONAL SERVICES")</f>
        <v xml:space="preserve">          6336 - PROFESSIONAL SERVICES</v>
      </c>
      <c r="C246" s="11"/>
      <c r="D246" s="6"/>
      <c r="E246" s="2"/>
      <c r="F246" s="7">
        <f t="shared" si="82"/>
        <v>0</v>
      </c>
      <c r="G246" s="2"/>
      <c r="H246" s="6"/>
      <c r="I246" s="2"/>
      <c r="J246" s="7">
        <f t="shared" si="83"/>
        <v>0</v>
      </c>
      <c r="K246" s="2"/>
      <c r="L246" s="6">
        <f t="shared" si="84"/>
        <v>0</v>
      </c>
      <c r="M246" s="2"/>
      <c r="N246" s="7">
        <f t="shared" si="85"/>
        <v>0</v>
      </c>
      <c r="O246" s="11"/>
      <c r="P246" s="6">
        <v>9129.56</v>
      </c>
      <c r="Q246" s="2"/>
      <c r="R246" s="7">
        <f t="shared" si="86"/>
        <v>7.9635148906059946E-4</v>
      </c>
      <c r="S246" s="2"/>
      <c r="T246" s="6">
        <v>8276.43</v>
      </c>
      <c r="U246" s="2"/>
      <c r="V246" s="7">
        <f t="shared" si="87"/>
        <v>5.8936639724469972E-4</v>
      </c>
      <c r="W246" s="2"/>
      <c r="X246" s="6">
        <f t="shared" si="88"/>
        <v>853.1299999999992</v>
      </c>
      <c r="Y246" s="2"/>
      <c r="Z246" s="7">
        <f t="shared" si="89"/>
        <v>0.10307946783818617</v>
      </c>
    </row>
    <row r="247" spans="1:26" s="27" customFormat="1" outlineLevel="1" collapsed="1" x14ac:dyDescent="0.25">
      <c r="A247" s="25"/>
      <c r="B247" s="13" t="str">
        <f>CONCATENATE("     ","Rent                                              ")</f>
        <v xml:space="preserve">     Rent                                              </v>
      </c>
      <c r="C247" s="13"/>
      <c r="D247" s="1">
        <f>SUM(OSRRefD22_15x_0)</f>
        <v>6100</v>
      </c>
      <c r="E247" s="1"/>
      <c r="F247" s="5">
        <f t="shared" si="82"/>
        <v>1.6982848325457753E-2</v>
      </c>
      <c r="G247" s="1"/>
      <c r="H247" s="1">
        <f>SUM(OSRRefH22_15x_0)</f>
        <v>6100</v>
      </c>
      <c r="I247" s="1"/>
      <c r="J247" s="5">
        <f t="shared" si="83"/>
        <v>4.9050630672102385E-3</v>
      </c>
      <c r="K247" s="1"/>
      <c r="L247" s="1">
        <f t="shared" si="84"/>
        <v>0</v>
      </c>
      <c r="M247" s="1"/>
      <c r="N247" s="5">
        <f t="shared" si="85"/>
        <v>0</v>
      </c>
      <c r="O247" s="13"/>
      <c r="P247" s="1">
        <f>SUM(OSRRefP22_15x_0)</f>
        <v>68700</v>
      </c>
      <c r="Q247" s="1"/>
      <c r="R247" s="5">
        <f t="shared" si="86"/>
        <v>5.9925502760771803E-3</v>
      </c>
      <c r="S247" s="1"/>
      <c r="T247" s="1">
        <f>SUM(OSRRefT22_15x_0)</f>
        <v>68001.08</v>
      </c>
      <c r="U247" s="1"/>
      <c r="V247" s="5">
        <f t="shared" si="87"/>
        <v>4.8423718352415962E-3</v>
      </c>
      <c r="W247" s="1"/>
      <c r="X247" s="1">
        <f t="shared" si="88"/>
        <v>698.91999999999825</v>
      </c>
      <c r="Y247" s="1"/>
      <c r="Z247" s="5">
        <f t="shared" si="89"/>
        <v>1.0278072054149703E-2</v>
      </c>
    </row>
    <row r="248" spans="1:26" s="24" customFormat="1" hidden="1" outlineLevel="2" x14ac:dyDescent="0.25">
      <c r="A248" s="26"/>
      <c r="B248" s="11" t="str">
        <f>CONCATENATE("          ", "6273", " - ", "RENT")</f>
        <v xml:space="preserve">          6273 - RENT</v>
      </c>
      <c r="C248" s="11"/>
      <c r="D248" s="6">
        <v>6100</v>
      </c>
      <c r="E248" s="2"/>
      <c r="F248" s="7">
        <f t="shared" si="82"/>
        <v>1.6982848325457753E-2</v>
      </c>
      <c r="G248" s="2"/>
      <c r="H248" s="6">
        <v>6100</v>
      </c>
      <c r="I248" s="2"/>
      <c r="J248" s="7">
        <f t="shared" si="83"/>
        <v>4.9050630672102385E-3</v>
      </c>
      <c r="K248" s="2"/>
      <c r="L248" s="6">
        <f t="shared" si="84"/>
        <v>0</v>
      </c>
      <c r="M248" s="2"/>
      <c r="N248" s="7">
        <f t="shared" si="85"/>
        <v>0</v>
      </c>
      <c r="O248" s="11"/>
      <c r="P248" s="6">
        <v>68700</v>
      </c>
      <c r="Q248" s="2"/>
      <c r="R248" s="7">
        <f t="shared" si="86"/>
        <v>5.9925502760771803E-3</v>
      </c>
      <c r="S248" s="2"/>
      <c r="T248" s="6">
        <v>68001.08</v>
      </c>
      <c r="U248" s="2"/>
      <c r="V248" s="7">
        <f t="shared" si="87"/>
        <v>4.8423718352415962E-3</v>
      </c>
      <c r="W248" s="2"/>
      <c r="X248" s="6">
        <f t="shared" si="88"/>
        <v>698.91999999999825</v>
      </c>
      <c r="Y248" s="2"/>
      <c r="Z248" s="7">
        <f t="shared" si="89"/>
        <v>1.0278072054149703E-2</v>
      </c>
    </row>
    <row r="249" spans="1:26" s="27" customFormat="1" outlineLevel="1" collapsed="1" x14ac:dyDescent="0.25">
      <c r="A249" s="25"/>
      <c r="B249" s="13" t="str">
        <f>CONCATENATE("     ","Repair and Maintenance                            ")</f>
        <v xml:space="preserve">     Repair and Maintenance                            </v>
      </c>
      <c r="C249" s="13"/>
      <c r="D249" s="1">
        <f>SUM(OSRRefD22_16x_0)</f>
        <v>5285.57</v>
      </c>
      <c r="E249" s="1"/>
      <c r="F249" s="5">
        <f t="shared" si="82"/>
        <v>1.4715415348129464E-2</v>
      </c>
      <c r="G249" s="1"/>
      <c r="H249" s="1">
        <f>SUM(OSRRefH22_16x_0)</f>
        <v>20865.419999999998</v>
      </c>
      <c r="I249" s="1"/>
      <c r="J249" s="5">
        <f t="shared" si="83"/>
        <v>1.6778065741611451E-2</v>
      </c>
      <c r="K249" s="1"/>
      <c r="L249" s="1">
        <f t="shared" si="84"/>
        <v>-15579.849999999999</v>
      </c>
      <c r="M249" s="1"/>
      <c r="N249" s="5">
        <f t="shared" si="85"/>
        <v>-0.74668278903563889</v>
      </c>
      <c r="O249" s="13"/>
      <c r="P249" s="1">
        <f>SUM(OSRRefP22_16x_0)</f>
        <v>133836.76999999999</v>
      </c>
      <c r="Q249" s="1"/>
      <c r="R249" s="5">
        <f t="shared" si="86"/>
        <v>1.1674287816779885E-2</v>
      </c>
      <c r="S249" s="1"/>
      <c r="T249" s="1">
        <f>SUM(OSRRefT22_16x_0)</f>
        <v>177021.72</v>
      </c>
      <c r="U249" s="1"/>
      <c r="V249" s="5">
        <f t="shared" si="87"/>
        <v>1.2605755543206431E-2</v>
      </c>
      <c r="W249" s="1"/>
      <c r="X249" s="1">
        <f t="shared" si="88"/>
        <v>-43184.950000000012</v>
      </c>
      <c r="Y249" s="1"/>
      <c r="Z249" s="5">
        <f t="shared" si="89"/>
        <v>-0.24395283245468416</v>
      </c>
    </row>
    <row r="250" spans="1:26" s="24" customFormat="1" hidden="1" outlineLevel="2" x14ac:dyDescent="0.25">
      <c r="A250" s="26"/>
      <c r="B250" s="11" t="str">
        <f>CONCATENATE("          ", "6371", " - ", "COMPUTER SOFTWARE MAINTENANCE")</f>
        <v xml:space="preserve">          6371 - COMPUTER SOFTWARE MAINTENANCE</v>
      </c>
      <c r="C250" s="11"/>
      <c r="D250" s="6"/>
      <c r="E250" s="2"/>
      <c r="F250" s="7">
        <f t="shared" si="82"/>
        <v>0</v>
      </c>
      <c r="G250" s="2"/>
      <c r="H250" s="6">
        <v>12101</v>
      </c>
      <c r="I250" s="2"/>
      <c r="J250" s="7">
        <f t="shared" si="83"/>
        <v>9.7305193731657535E-3</v>
      </c>
      <c r="K250" s="2"/>
      <c r="L250" s="6">
        <f t="shared" si="84"/>
        <v>-12101</v>
      </c>
      <c r="M250" s="2"/>
      <c r="N250" s="7">
        <f t="shared" si="85"/>
        <v>-1</v>
      </c>
      <c r="O250" s="11"/>
      <c r="P250" s="6">
        <v>16417.5</v>
      </c>
      <c r="Q250" s="2"/>
      <c r="R250" s="7">
        <f t="shared" si="86"/>
        <v>1.4320625059315445E-3</v>
      </c>
      <c r="S250" s="2"/>
      <c r="T250" s="6">
        <v>58391.83</v>
      </c>
      <c r="U250" s="2"/>
      <c r="V250" s="7">
        <f t="shared" si="87"/>
        <v>4.1580950331996979E-3</v>
      </c>
      <c r="W250" s="2"/>
      <c r="X250" s="6">
        <f t="shared" si="88"/>
        <v>-41974.33</v>
      </c>
      <c r="Y250" s="2"/>
      <c r="Z250" s="7">
        <f t="shared" si="89"/>
        <v>-0.71883909101667132</v>
      </c>
    </row>
    <row r="251" spans="1:26" s="24" customFormat="1" hidden="1" outlineLevel="2" x14ac:dyDescent="0.25">
      <c r="A251" s="26"/>
      <c r="B251" s="11" t="str">
        <f>CONCATENATE("          ", "6372", " - ", "COMPUTER HARDWARE MAINTENANCE")</f>
        <v xml:space="preserve">          6372 - COMPUTER HARDWARE MAINTENANCE</v>
      </c>
      <c r="C251" s="11"/>
      <c r="D251" s="6"/>
      <c r="E251" s="2"/>
      <c r="F251" s="7">
        <f t="shared" si="82"/>
        <v>0</v>
      </c>
      <c r="G251" s="2"/>
      <c r="H251" s="6"/>
      <c r="I251" s="2"/>
      <c r="J251" s="7">
        <f t="shared" si="83"/>
        <v>0</v>
      </c>
      <c r="K251" s="2"/>
      <c r="L251" s="6">
        <f t="shared" si="84"/>
        <v>0</v>
      </c>
      <c r="M251" s="2"/>
      <c r="N251" s="7">
        <f t="shared" si="85"/>
        <v>0</v>
      </c>
      <c r="O251" s="11"/>
      <c r="P251" s="6">
        <v>52.32</v>
      </c>
      <c r="Q251" s="2"/>
      <c r="R251" s="7">
        <f t="shared" si="86"/>
        <v>4.5637588128727526E-6</v>
      </c>
      <c r="S251" s="2"/>
      <c r="T251" s="6">
        <v>51.79</v>
      </c>
      <c r="U251" s="2"/>
      <c r="V251" s="7">
        <f t="shared" si="87"/>
        <v>3.687977269583987E-6</v>
      </c>
      <c r="W251" s="2"/>
      <c r="X251" s="6">
        <f t="shared" si="88"/>
        <v>0.53000000000000114</v>
      </c>
      <c r="Y251" s="2"/>
      <c r="Z251" s="7">
        <f t="shared" si="89"/>
        <v>1.0233635837034199E-2</v>
      </c>
    </row>
    <row r="252" spans="1:26" s="24" customFormat="1" hidden="1" outlineLevel="2" x14ac:dyDescent="0.25">
      <c r="A252" s="26"/>
      <c r="B252" s="11" t="str">
        <f>CONCATENATE("          ", "6373", " - ", "MAINTENANCE CONTRACTS")</f>
        <v xml:space="preserve">          6373 - MAINTENANCE CONTRACTS</v>
      </c>
      <c r="C252" s="11"/>
      <c r="D252" s="6">
        <v>3743.93</v>
      </c>
      <c r="E252" s="2"/>
      <c r="F252" s="7">
        <f t="shared" si="82"/>
        <v>1.0423376283791974E-2</v>
      </c>
      <c r="G252" s="2"/>
      <c r="H252" s="6">
        <v>7875.74</v>
      </c>
      <c r="I252" s="2"/>
      <c r="J252" s="7">
        <f t="shared" si="83"/>
        <v>6.3329510493361253E-3</v>
      </c>
      <c r="K252" s="2"/>
      <c r="L252" s="6">
        <f t="shared" si="84"/>
        <v>-4131.8099999999995</v>
      </c>
      <c r="M252" s="2"/>
      <c r="N252" s="7">
        <f t="shared" si="85"/>
        <v>-0.52462498762021093</v>
      </c>
      <c r="O252" s="11"/>
      <c r="P252" s="6">
        <v>78674.05</v>
      </c>
      <c r="Q252" s="2"/>
      <c r="R252" s="7">
        <f t="shared" si="86"/>
        <v>6.8625647750743804E-3</v>
      </c>
      <c r="S252" s="2"/>
      <c r="T252" s="6">
        <v>89767.59</v>
      </c>
      <c r="U252" s="2"/>
      <c r="V252" s="7">
        <f t="shared" si="87"/>
        <v>6.3923697907961926E-3</v>
      </c>
      <c r="W252" s="2"/>
      <c r="X252" s="6">
        <f t="shared" si="88"/>
        <v>-11093.539999999994</v>
      </c>
      <c r="Y252" s="2"/>
      <c r="Z252" s="7">
        <f t="shared" si="89"/>
        <v>-0.12358068207022149</v>
      </c>
    </row>
    <row r="253" spans="1:26" s="24" customFormat="1" hidden="1" outlineLevel="2" x14ac:dyDescent="0.25">
      <c r="A253" s="26"/>
      <c r="B253" s="11" t="str">
        <f>CONCATENATE("          ", "6375", " - ", "OUTSIDE REPAIRS &amp; MAINTENANCE")</f>
        <v xml:space="preserve">          6375 - OUTSIDE REPAIRS &amp; MAINTENANCE</v>
      </c>
      <c r="C253" s="11"/>
      <c r="D253" s="6">
        <v>1541.64</v>
      </c>
      <c r="E253" s="2"/>
      <c r="F253" s="7">
        <f t="shared" si="82"/>
        <v>4.2920390643374903E-3</v>
      </c>
      <c r="G253" s="2"/>
      <c r="H253" s="6">
        <v>888.68</v>
      </c>
      <c r="I253" s="2"/>
      <c r="J253" s="7">
        <f t="shared" si="83"/>
        <v>7.1459531910957291E-4</v>
      </c>
      <c r="K253" s="2"/>
      <c r="L253" s="6">
        <f t="shared" si="84"/>
        <v>652.96000000000015</v>
      </c>
      <c r="M253" s="2"/>
      <c r="N253" s="7">
        <f t="shared" si="85"/>
        <v>0.73475266687671625</v>
      </c>
      <c r="O253" s="11"/>
      <c r="P253" s="6">
        <v>38692.899999999994</v>
      </c>
      <c r="Q253" s="2"/>
      <c r="R253" s="7">
        <f t="shared" si="86"/>
        <v>3.3750967769610872E-3</v>
      </c>
      <c r="S253" s="2"/>
      <c r="T253" s="6">
        <v>28810.510000000002</v>
      </c>
      <c r="U253" s="2"/>
      <c r="V253" s="7">
        <f t="shared" si="87"/>
        <v>2.051602741940957E-3</v>
      </c>
      <c r="W253" s="2"/>
      <c r="X253" s="6">
        <f t="shared" si="88"/>
        <v>9882.3899999999921</v>
      </c>
      <c r="Y253" s="2"/>
      <c r="Z253" s="7">
        <f t="shared" si="89"/>
        <v>0.34301336560859186</v>
      </c>
    </row>
    <row r="254" spans="1:26" s="27" customFormat="1" outlineLevel="1" collapsed="1" x14ac:dyDescent="0.25">
      <c r="A254" s="25"/>
      <c r="B254" s="13" t="str">
        <f>CONCATENATE("     ","Royalty &amp; Commissions                             ")</f>
        <v xml:space="preserve">     Royalty &amp; Commissions                             </v>
      </c>
      <c r="C254" s="13"/>
      <c r="D254" s="1">
        <f>SUM(OSRRefD22_17x_0)</f>
        <v>0</v>
      </c>
      <c r="E254" s="1"/>
      <c r="F254" s="5">
        <f t="shared" ref="F254:F257" si="90">IF(D$12=0,0,D254/D$12)</f>
        <v>0</v>
      </c>
      <c r="G254" s="1"/>
      <c r="H254" s="1">
        <f>SUM(OSRRefH22_17x_0)</f>
        <v>10277.049999999999</v>
      </c>
      <c r="I254" s="1"/>
      <c r="J254" s="5">
        <f t="shared" ref="J254:J257" si="91">IF(H$12=0,0,H254/H$12)</f>
        <v>8.2638653106349141E-3</v>
      </c>
      <c r="K254" s="1"/>
      <c r="L254" s="1">
        <f t="shared" ref="L254:L257" si="92">+D254-H254</f>
        <v>-10277.049999999999</v>
      </c>
      <c r="M254" s="1"/>
      <c r="N254" s="5">
        <f t="shared" ref="N254:N257" si="93">IF(H254=0,0,L254/H254)</f>
        <v>-1</v>
      </c>
      <c r="O254" s="13"/>
      <c r="P254" s="1">
        <f>SUM(OSRRefP22_17x_0)</f>
        <v>123449.40000000001</v>
      </c>
      <c r="Q254" s="1"/>
      <c r="R254" s="5">
        <f t="shared" ref="R254:R257" si="94">IF(P$12=0,0,P254/P$12)</f>
        <v>1.076822032098344E-2</v>
      </c>
      <c r="S254" s="1"/>
      <c r="T254" s="1">
        <f>SUM(OSRRefT22_17x_0)</f>
        <v>168126.15</v>
      </c>
      <c r="U254" s="1"/>
      <c r="V254" s="5">
        <f t="shared" ref="V254:V257" si="95">IF(T$12=0,0,T254/T$12)</f>
        <v>1.1972300050640429E-2</v>
      </c>
      <c r="W254" s="1"/>
      <c r="X254" s="1">
        <f t="shared" ref="X254:X257" si="96">+P254-T254</f>
        <v>-44676.749999999985</v>
      </c>
      <c r="Y254" s="1"/>
      <c r="Z254" s="5">
        <f t="shared" ref="Z254:Z257" si="97">IF(T254=0,0,X254/T254)</f>
        <v>-0.26573349832848719</v>
      </c>
    </row>
    <row r="255" spans="1:26" s="24" customFormat="1" hidden="1" outlineLevel="2" x14ac:dyDescent="0.25">
      <c r="A255" s="26"/>
      <c r="B255" s="11" t="str">
        <f>CONCATENATE("          ", "6253", " - ", "ROYALTY DUE ATHLETICS-LRG")</f>
        <v xml:space="preserve">          6253 - ROYALTY DUE ATHLETICS-LRG</v>
      </c>
      <c r="C255" s="11"/>
      <c r="D255" s="6"/>
      <c r="E255" s="2"/>
      <c r="F255" s="7">
        <f t="shared" si="90"/>
        <v>0</v>
      </c>
      <c r="G255" s="2"/>
      <c r="H255" s="6"/>
      <c r="I255" s="2"/>
      <c r="J255" s="7">
        <f t="shared" si="91"/>
        <v>0</v>
      </c>
      <c r="K255" s="2"/>
      <c r="L255" s="6">
        <f t="shared" si="92"/>
        <v>0</v>
      </c>
      <c r="M255" s="2"/>
      <c r="N255" s="7">
        <f t="shared" si="93"/>
        <v>0</v>
      </c>
      <c r="O255" s="11"/>
      <c r="P255" s="6">
        <v>32870.44</v>
      </c>
      <c r="Q255" s="2"/>
      <c r="R255" s="7">
        <f t="shared" si="94"/>
        <v>2.8672163653097296E-3</v>
      </c>
      <c r="S255" s="2"/>
      <c r="T255" s="6">
        <v>41365.990000000005</v>
      </c>
      <c r="U255" s="2"/>
      <c r="V255" s="7">
        <f t="shared" si="95"/>
        <v>2.945681229075855E-3</v>
      </c>
      <c r="W255" s="2"/>
      <c r="X255" s="6">
        <f t="shared" si="96"/>
        <v>-8495.5500000000029</v>
      </c>
      <c r="Y255" s="2"/>
      <c r="Z255" s="7">
        <f t="shared" si="97"/>
        <v>-0.20537523700025073</v>
      </c>
    </row>
    <row r="256" spans="1:26" s="24" customFormat="1" hidden="1" outlineLevel="2" x14ac:dyDescent="0.25">
      <c r="A256" s="26"/>
      <c r="B256" s="11" t="str">
        <f>CONCATENATE("          ", "6254", " - ", "ROYALTY &amp; COMMISSIONS")</f>
        <v xml:space="preserve">          6254 - ROYALTY &amp; COMMISSIONS</v>
      </c>
      <c r="C256" s="11"/>
      <c r="D256" s="6"/>
      <c r="E256" s="2"/>
      <c r="F256" s="7">
        <f t="shared" si="90"/>
        <v>0</v>
      </c>
      <c r="G256" s="2"/>
      <c r="H256" s="6">
        <v>2865.23</v>
      </c>
      <c r="I256" s="2"/>
      <c r="J256" s="7">
        <f t="shared" si="91"/>
        <v>2.3039563691906214E-3</v>
      </c>
      <c r="K256" s="2"/>
      <c r="L256" s="6">
        <f t="shared" si="92"/>
        <v>-2865.23</v>
      </c>
      <c r="M256" s="2"/>
      <c r="N256" s="7">
        <f t="shared" si="93"/>
        <v>-1</v>
      </c>
      <c r="O256" s="11"/>
      <c r="P256" s="6">
        <v>7971.22</v>
      </c>
      <c r="Q256" s="2"/>
      <c r="R256" s="7">
        <f t="shared" si="94"/>
        <v>6.9531203219318693E-4</v>
      </c>
      <c r="S256" s="2"/>
      <c r="T256" s="6">
        <v>16509.43</v>
      </c>
      <c r="U256" s="2"/>
      <c r="V256" s="7">
        <f t="shared" si="95"/>
        <v>1.1756401346551064E-3</v>
      </c>
      <c r="W256" s="2"/>
      <c r="X256" s="6">
        <f t="shared" si="96"/>
        <v>-8538.2099999999991</v>
      </c>
      <c r="Y256" s="2"/>
      <c r="Z256" s="7">
        <f t="shared" si="97"/>
        <v>-0.51717170126406542</v>
      </c>
    </row>
    <row r="257" spans="1:26" s="24" customFormat="1" hidden="1" outlineLevel="2" x14ac:dyDescent="0.25">
      <c r="A257" s="26"/>
      <c r="B257" s="11" t="str">
        <f>CONCATENATE("          ", "6259", " - ", "ROYALTY &amp; COMMISSIONS")</f>
        <v xml:space="preserve">          6259 - ROYALTY &amp; COMMISSIONS</v>
      </c>
      <c r="C257" s="11"/>
      <c r="D257" s="6"/>
      <c r="E257" s="2"/>
      <c r="F257" s="7">
        <f t="shared" si="90"/>
        <v>0</v>
      </c>
      <c r="G257" s="2"/>
      <c r="H257" s="6">
        <v>7411.82</v>
      </c>
      <c r="I257" s="2"/>
      <c r="J257" s="7">
        <f t="shared" si="91"/>
        <v>5.9599089414442931E-3</v>
      </c>
      <c r="K257" s="2"/>
      <c r="L257" s="6">
        <f t="shared" si="92"/>
        <v>-7411.82</v>
      </c>
      <c r="M257" s="2"/>
      <c r="N257" s="7">
        <f t="shared" si="93"/>
        <v>-1</v>
      </c>
      <c r="O257" s="11"/>
      <c r="P257" s="6">
        <v>82607.740000000005</v>
      </c>
      <c r="Q257" s="2"/>
      <c r="R257" s="7">
        <f t="shared" si="94"/>
        <v>7.205691923480524E-3</v>
      </c>
      <c r="S257" s="2"/>
      <c r="T257" s="6">
        <v>110250.73</v>
      </c>
      <c r="U257" s="2"/>
      <c r="V257" s="7">
        <f t="shared" si="95"/>
        <v>7.8509786869094683E-3</v>
      </c>
      <c r="W257" s="2"/>
      <c r="X257" s="6">
        <f t="shared" si="96"/>
        <v>-27642.989999999991</v>
      </c>
      <c r="Y257" s="2"/>
      <c r="Z257" s="7">
        <f t="shared" si="97"/>
        <v>-0.25072840787539447</v>
      </c>
    </row>
    <row r="258" spans="1:26" s="27" customFormat="1" outlineLevel="1" collapsed="1" x14ac:dyDescent="0.25">
      <c r="A258" s="25"/>
      <c r="B258" s="13" t="str">
        <f>CONCATENATE("     ","Services                                          ")</f>
        <v xml:space="preserve">     Services                                          </v>
      </c>
      <c r="C258" s="13"/>
      <c r="D258" s="1">
        <f>SUM(OSRRefD22_18x_0)</f>
        <v>4376.38</v>
      </c>
      <c r="E258" s="1"/>
      <c r="F258" s="5">
        <f t="shared" ref="F258:F262" si="98">IF(D$12=0,0,D258/D$12)</f>
        <v>1.2184163566322426E-2</v>
      </c>
      <c r="G258" s="1"/>
      <c r="H258" s="1">
        <f>SUM(OSRRefH22_18x_0)</f>
        <v>4665.8100000000004</v>
      </c>
      <c r="I258" s="1"/>
      <c r="J258" s="5">
        <f t="shared" ref="J258:J262" si="99">IF(H$12=0,0,H258/H$12)</f>
        <v>3.7518184114131484E-3</v>
      </c>
      <c r="K258" s="1"/>
      <c r="L258" s="1">
        <f t="shared" ref="L258:L262" si="100">+D258-H258</f>
        <v>-289.43000000000029</v>
      </c>
      <c r="M258" s="1"/>
      <c r="N258" s="5">
        <f t="shared" ref="N258:N262" si="101">IF(H258=0,0,L258/H258)</f>
        <v>-6.2032101607223666E-2</v>
      </c>
      <c r="O258" s="13"/>
      <c r="P258" s="1">
        <f>SUM(OSRRefP22_18x_0)</f>
        <v>50633.25</v>
      </c>
      <c r="Q258" s="1"/>
      <c r="R258" s="5">
        <f t="shared" ref="R258:R262" si="102">IF(P$12=0,0,P258/P$12)</f>
        <v>4.416627311007058E-3</v>
      </c>
      <c r="S258" s="1"/>
      <c r="T258" s="1">
        <f>SUM(OSRRefT22_18x_0)</f>
        <v>49208</v>
      </c>
      <c r="U258" s="1"/>
      <c r="V258" s="5">
        <f t="shared" ref="V258:V262" si="103">IF(T$12=0,0,T258/T$12)</f>
        <v>3.504112482751281E-3</v>
      </c>
      <c r="W258" s="1"/>
      <c r="X258" s="1">
        <f t="shared" ref="X258:X262" si="104">+P258-T258</f>
        <v>1425.25</v>
      </c>
      <c r="Y258" s="1"/>
      <c r="Z258" s="5">
        <f t="shared" ref="Z258:Z262" si="105">IF(T258=0,0,X258/T258)</f>
        <v>2.896378637619899E-2</v>
      </c>
    </row>
    <row r="259" spans="1:26" s="24" customFormat="1" hidden="1" outlineLevel="2" x14ac:dyDescent="0.25">
      <c r="A259" s="26"/>
      <c r="B259" s="11" t="str">
        <f>CONCATENATE("          ", "6282", " - ", "JANITORIAL/EXTERMINATOR EXPENS")</f>
        <v xml:space="preserve">          6282 - JANITORIAL/EXTERMINATOR EXPENS</v>
      </c>
      <c r="C259" s="11"/>
      <c r="D259" s="6"/>
      <c r="E259" s="2"/>
      <c r="F259" s="7">
        <f t="shared" si="98"/>
        <v>0</v>
      </c>
      <c r="G259" s="2"/>
      <c r="H259" s="6">
        <v>252</v>
      </c>
      <c r="I259" s="2"/>
      <c r="J259" s="7">
        <f t="shared" si="99"/>
        <v>2.0263539228475083E-4</v>
      </c>
      <c r="K259" s="2"/>
      <c r="L259" s="6">
        <f t="shared" si="100"/>
        <v>-252</v>
      </c>
      <c r="M259" s="2"/>
      <c r="N259" s="7">
        <f t="shared" si="101"/>
        <v>-1</v>
      </c>
      <c r="O259" s="11"/>
      <c r="P259" s="6">
        <v>2686.02</v>
      </c>
      <c r="Q259" s="2"/>
      <c r="R259" s="7">
        <f t="shared" si="102"/>
        <v>2.3429563162370929E-4</v>
      </c>
      <c r="S259" s="2"/>
      <c r="T259" s="6">
        <v>2617.29</v>
      </c>
      <c r="U259" s="2"/>
      <c r="V259" s="7">
        <f t="shared" si="103"/>
        <v>1.8637779548000529E-4</v>
      </c>
      <c r="W259" s="2"/>
      <c r="X259" s="6">
        <f t="shared" si="104"/>
        <v>68.730000000000018</v>
      </c>
      <c r="Y259" s="2"/>
      <c r="Z259" s="7">
        <f t="shared" si="105"/>
        <v>2.6259986474559571E-2</v>
      </c>
    </row>
    <row r="260" spans="1:26" s="24" customFormat="1" hidden="1" outlineLevel="2" x14ac:dyDescent="0.25">
      <c r="A260" s="26"/>
      <c r="B260" s="11" t="str">
        <f>CONCATENATE("          ", "6283", " - ", "PLANT SERVICE")</f>
        <v xml:space="preserve">          6283 - PLANT SERVICE</v>
      </c>
      <c r="C260" s="11"/>
      <c r="D260" s="6"/>
      <c r="E260" s="2"/>
      <c r="F260" s="7">
        <f t="shared" si="98"/>
        <v>0</v>
      </c>
      <c r="G260" s="2"/>
      <c r="H260" s="6">
        <v>173</v>
      </c>
      <c r="I260" s="2"/>
      <c r="J260" s="7">
        <f t="shared" si="99"/>
        <v>1.3911080502088054E-4</v>
      </c>
      <c r="K260" s="2"/>
      <c r="L260" s="6">
        <f t="shared" si="100"/>
        <v>-173</v>
      </c>
      <c r="M260" s="2"/>
      <c r="N260" s="7">
        <f t="shared" si="101"/>
        <v>-1</v>
      </c>
      <c r="O260" s="11"/>
      <c r="P260" s="6">
        <v>541.98</v>
      </c>
      <c r="Q260" s="2"/>
      <c r="R260" s="7">
        <f t="shared" si="102"/>
        <v>4.7275726326467399E-5</v>
      </c>
      <c r="S260" s="2"/>
      <c r="T260" s="6">
        <v>2025.5</v>
      </c>
      <c r="U260" s="2"/>
      <c r="V260" s="7">
        <f t="shared" si="103"/>
        <v>1.4423629966291496E-4</v>
      </c>
      <c r="W260" s="2"/>
      <c r="X260" s="6">
        <f t="shared" si="104"/>
        <v>-1483.52</v>
      </c>
      <c r="Y260" s="2"/>
      <c r="Z260" s="7">
        <f t="shared" si="105"/>
        <v>-0.73242162429029867</v>
      </c>
    </row>
    <row r="261" spans="1:26" s="24" customFormat="1" hidden="1" outlineLevel="2" x14ac:dyDescent="0.25">
      <c r="A261" s="26"/>
      <c r="B261" s="11" t="str">
        <f>CONCATENATE("          ", "6284", " - ", "TRASH REMOVAL EXPENSE")</f>
        <v xml:space="preserve">          6284 - TRASH REMOVAL EXPENSE</v>
      </c>
      <c r="C261" s="11"/>
      <c r="D261" s="6">
        <v>134.82</v>
      </c>
      <c r="E261" s="2"/>
      <c r="F261" s="7">
        <f t="shared" si="98"/>
        <v>3.753487887275761E-4</v>
      </c>
      <c r="G261" s="2"/>
      <c r="H261" s="6">
        <v>121.46</v>
      </c>
      <c r="I261" s="2"/>
      <c r="J261" s="7">
        <f t="shared" si="99"/>
        <v>9.766704264645173E-5</v>
      </c>
      <c r="K261" s="2"/>
      <c r="L261" s="6">
        <f t="shared" si="100"/>
        <v>13.36</v>
      </c>
      <c r="M261" s="2"/>
      <c r="N261" s="7">
        <f t="shared" si="101"/>
        <v>0.10999506010209123</v>
      </c>
      <c r="O261" s="11"/>
      <c r="P261" s="6">
        <v>1483.02</v>
      </c>
      <c r="Q261" s="2"/>
      <c r="R261" s="7">
        <f t="shared" si="102"/>
        <v>1.2936058093781629E-4</v>
      </c>
      <c r="S261" s="2"/>
      <c r="T261" s="6">
        <v>1336.06</v>
      </c>
      <c r="U261" s="2"/>
      <c r="V261" s="7">
        <f t="shared" si="103"/>
        <v>9.5141125908483905E-5</v>
      </c>
      <c r="W261" s="2"/>
      <c r="X261" s="6">
        <f t="shared" si="104"/>
        <v>146.96000000000004</v>
      </c>
      <c r="Y261" s="2"/>
      <c r="Z261" s="7">
        <f t="shared" si="105"/>
        <v>0.10999506010209126</v>
      </c>
    </row>
    <row r="262" spans="1:26" s="24" customFormat="1" hidden="1" outlineLevel="2" x14ac:dyDescent="0.25">
      <c r="A262" s="26"/>
      <c r="B262" s="11" t="str">
        <f>CONCATENATE("          ", "6285", " - ", "JANITORIAL SERVICES")</f>
        <v xml:space="preserve">          6285 - JANITORIAL SERVICES</v>
      </c>
      <c r="C262" s="11"/>
      <c r="D262" s="6">
        <v>4241.5600000000004</v>
      </c>
      <c r="E262" s="2"/>
      <c r="F262" s="7">
        <f t="shared" si="98"/>
        <v>1.180881477759485E-2</v>
      </c>
      <c r="G262" s="2"/>
      <c r="H262" s="6">
        <v>4119.3500000000004</v>
      </c>
      <c r="I262" s="2"/>
      <c r="J262" s="7">
        <f t="shared" si="99"/>
        <v>3.312405171461065E-3</v>
      </c>
      <c r="K262" s="2"/>
      <c r="L262" s="6">
        <f t="shared" si="100"/>
        <v>122.21000000000004</v>
      </c>
      <c r="M262" s="2"/>
      <c r="N262" s="7">
        <f t="shared" si="101"/>
        <v>2.9667301880151001E-2</v>
      </c>
      <c r="O262" s="11"/>
      <c r="P262" s="6">
        <v>45922.23</v>
      </c>
      <c r="Q262" s="2"/>
      <c r="R262" s="7">
        <f t="shared" si="102"/>
        <v>4.0056953721190657E-3</v>
      </c>
      <c r="S262" s="2"/>
      <c r="T262" s="6">
        <v>43229.15</v>
      </c>
      <c r="U262" s="2"/>
      <c r="V262" s="7">
        <f t="shared" si="103"/>
        <v>3.0783572616998769E-3</v>
      </c>
      <c r="W262" s="2"/>
      <c r="X262" s="6">
        <f t="shared" si="104"/>
        <v>2693.0800000000017</v>
      </c>
      <c r="Y262" s="2"/>
      <c r="Z262" s="7">
        <f t="shared" si="105"/>
        <v>6.229777823528803E-2</v>
      </c>
    </row>
    <row r="263" spans="1:26" s="27" customFormat="1" outlineLevel="1" collapsed="1" x14ac:dyDescent="0.25">
      <c r="A263" s="25"/>
      <c r="B263" s="13" t="str">
        <f>CONCATENATE("     ","Subscriptions &amp; Dues                              ")</f>
        <v xml:space="preserve">     Subscriptions &amp; Dues                              </v>
      </c>
      <c r="C263" s="13"/>
      <c r="D263" s="1">
        <f>SUM(OSRRefD22_19x_0)</f>
        <v>260</v>
      </c>
      <c r="E263" s="1"/>
      <c r="F263" s="5">
        <f t="shared" ref="F263:F265" si="106">IF(D$12=0,0,D263/D$12)</f>
        <v>7.23859108953937E-4</v>
      </c>
      <c r="G263" s="1"/>
      <c r="H263" s="1">
        <f>SUM(OSRRefH22_19x_0)</f>
        <v>541.96</v>
      </c>
      <c r="I263" s="1"/>
      <c r="J263" s="5">
        <f t="shared" ref="J263:J265" si="107">IF(H$12=0,0,H263/H$12)</f>
        <v>4.3579475080414117E-4</v>
      </c>
      <c r="K263" s="1"/>
      <c r="L263" s="1">
        <f t="shared" ref="L263:L265" si="108">+D263-H263</f>
        <v>-281.96000000000004</v>
      </c>
      <c r="M263" s="1"/>
      <c r="N263" s="5">
        <f t="shared" ref="N263:N265" si="109">IF(H263=0,0,L263/H263)</f>
        <v>-0.52025979777105325</v>
      </c>
      <c r="O263" s="13"/>
      <c r="P263" s="1">
        <f>SUM(OSRRefP22_19x_0)</f>
        <v>2472.35</v>
      </c>
      <c r="Q263" s="1"/>
      <c r="R263" s="5">
        <f t="shared" ref="R263:R265" si="110">IF(P$12=0,0,P263/P$12)</f>
        <v>2.1565766630363053E-4</v>
      </c>
      <c r="S263" s="1"/>
      <c r="T263" s="1">
        <f>SUM(OSRRefT22_19x_0)</f>
        <v>12444.859999999999</v>
      </c>
      <c r="U263" s="1"/>
      <c r="V263" s="5">
        <f t="shared" ref="V263:V265" si="111">IF(T$12=0,0,T263/T$12)</f>
        <v>8.8620121265022152E-4</v>
      </c>
      <c r="W263" s="1"/>
      <c r="X263" s="1">
        <f t="shared" ref="X263:X265" si="112">+P263-T263</f>
        <v>-9972.5099999999984</v>
      </c>
      <c r="Y263" s="1"/>
      <c r="Z263" s="5">
        <f t="shared" ref="Z263:Z265" si="113">IF(T263=0,0,X263/T263)</f>
        <v>-0.80133565182734068</v>
      </c>
    </row>
    <row r="264" spans="1:26" s="24" customFormat="1" hidden="1" outlineLevel="2" x14ac:dyDescent="0.25">
      <c r="A264" s="26"/>
      <c r="B264" s="11" t="str">
        <f>CONCATENATE("          ", "6258", " - ", "MEMBERSHIP DUES")</f>
        <v xml:space="preserve">          6258 - MEMBERSHIP DUES</v>
      </c>
      <c r="C264" s="11"/>
      <c r="D264" s="6">
        <v>260</v>
      </c>
      <c r="E264" s="2"/>
      <c r="F264" s="7">
        <f t="shared" si="106"/>
        <v>7.23859108953937E-4</v>
      </c>
      <c r="G264" s="2"/>
      <c r="H264" s="6">
        <v>250</v>
      </c>
      <c r="I264" s="2"/>
      <c r="J264" s="7">
        <f t="shared" si="107"/>
        <v>2.0102717488566552E-4</v>
      </c>
      <c r="K264" s="2"/>
      <c r="L264" s="6">
        <f t="shared" si="108"/>
        <v>10</v>
      </c>
      <c r="M264" s="2"/>
      <c r="N264" s="7">
        <f t="shared" si="109"/>
        <v>0.04</v>
      </c>
      <c r="O264" s="11"/>
      <c r="P264" s="6">
        <v>-320.08999999999997</v>
      </c>
      <c r="Q264" s="2"/>
      <c r="R264" s="7">
        <f t="shared" si="110"/>
        <v>-2.7920748440604726E-5</v>
      </c>
      <c r="S264" s="2"/>
      <c r="T264" s="6">
        <v>3154.64</v>
      </c>
      <c r="U264" s="2"/>
      <c r="V264" s="7">
        <f t="shared" si="111"/>
        <v>2.2464260694575071E-4</v>
      </c>
      <c r="W264" s="2"/>
      <c r="X264" s="6">
        <f t="shared" si="112"/>
        <v>-3474.73</v>
      </c>
      <c r="Y264" s="2"/>
      <c r="Z264" s="7">
        <f t="shared" si="113"/>
        <v>-1.1014664113813304</v>
      </c>
    </row>
    <row r="265" spans="1:26" s="24" customFormat="1" hidden="1" outlineLevel="2" x14ac:dyDescent="0.25">
      <c r="A265" s="26"/>
      <c r="B265" s="11" t="str">
        <f>CONCATENATE("          ", "6275", " - ", "SUBSCRIPTIONS")</f>
        <v xml:space="preserve">          6275 - SUBSCRIPTIONS</v>
      </c>
      <c r="C265" s="11"/>
      <c r="D265" s="6"/>
      <c r="E265" s="2"/>
      <c r="F265" s="7">
        <f t="shared" si="106"/>
        <v>0</v>
      </c>
      <c r="G265" s="2"/>
      <c r="H265" s="6">
        <v>291.95999999999998</v>
      </c>
      <c r="I265" s="2"/>
      <c r="J265" s="7">
        <f t="shared" si="107"/>
        <v>2.347675759184756E-4</v>
      </c>
      <c r="K265" s="2"/>
      <c r="L265" s="6">
        <f t="shared" si="108"/>
        <v>-291.95999999999998</v>
      </c>
      <c r="M265" s="2"/>
      <c r="N265" s="7">
        <f t="shared" si="109"/>
        <v>-1</v>
      </c>
      <c r="O265" s="11"/>
      <c r="P265" s="6">
        <v>2792.44</v>
      </c>
      <c r="Q265" s="2"/>
      <c r="R265" s="7">
        <f t="shared" si="110"/>
        <v>2.4357841474423526E-4</v>
      </c>
      <c r="S265" s="2"/>
      <c r="T265" s="6">
        <v>9290.2199999999993</v>
      </c>
      <c r="U265" s="2"/>
      <c r="V265" s="7">
        <f t="shared" si="111"/>
        <v>6.6155860570447087E-4</v>
      </c>
      <c r="W265" s="2"/>
      <c r="X265" s="6">
        <f t="shared" si="112"/>
        <v>-6497.7799999999988</v>
      </c>
      <c r="Y265" s="2"/>
      <c r="Z265" s="7">
        <f t="shared" si="113"/>
        <v>-0.69942154222397313</v>
      </c>
    </row>
    <row r="266" spans="1:26" s="27" customFormat="1" outlineLevel="1" collapsed="1" x14ac:dyDescent="0.25">
      <c r="A266" s="25"/>
      <c r="B266" s="13" t="str">
        <f>CONCATENATE("     ","Supplies                                          ")</f>
        <v xml:space="preserve">     Supplies                                          </v>
      </c>
      <c r="C266" s="13"/>
      <c r="D266" s="1">
        <f>SUM(OSRRefD22_20x_0)</f>
        <v>4756.8600000000006</v>
      </c>
      <c r="E266" s="1"/>
      <c r="F266" s="5">
        <f t="shared" ref="F266:F274" si="114">IF(D$12=0,0,D266/D$12)</f>
        <v>1.3243447850071635E-2</v>
      </c>
      <c r="G266" s="1"/>
      <c r="H266" s="1">
        <f>SUM(OSRRefH22_20x_0)</f>
        <v>8766.2000000000007</v>
      </c>
      <c r="I266" s="1"/>
      <c r="J266" s="5">
        <f t="shared" ref="J266:J274" si="115">IF(H$12=0,0,H266/H$12)</f>
        <v>7.0489776819308847E-3</v>
      </c>
      <c r="K266" s="1"/>
      <c r="L266" s="1">
        <f t="shared" ref="L266:L274" si="116">+D266-H266</f>
        <v>-4009.34</v>
      </c>
      <c r="M266" s="1"/>
      <c r="N266" s="5">
        <f t="shared" ref="N266:N274" si="117">IF(H266=0,0,L266/H266)</f>
        <v>-0.45736350984463048</v>
      </c>
      <c r="O266" s="13"/>
      <c r="P266" s="1">
        <f>SUM(OSRRefP22_20x_0)</f>
        <v>96297.08</v>
      </c>
      <c r="Q266" s="1"/>
      <c r="R266" s="5">
        <f t="shared" ref="R266:R274" si="118">IF(P$12=0,0,P266/P$12)</f>
        <v>8.3997830180411407E-3</v>
      </c>
      <c r="S266" s="1"/>
      <c r="T266" s="1">
        <f>SUM(OSRRefT22_20x_0)</f>
        <v>159765.35999999999</v>
      </c>
      <c r="U266" s="1"/>
      <c r="V266" s="5">
        <f t="shared" ref="V266:V274" si="119">IF(T$12=0,0,T266/T$12)</f>
        <v>1.1376926359275974E-2</v>
      </c>
      <c r="W266" s="1"/>
      <c r="X266" s="1">
        <f t="shared" ref="X266:X274" si="120">+P266-T266</f>
        <v>-63468.279999999984</v>
      </c>
      <c r="Y266" s="1"/>
      <c r="Z266" s="5">
        <f t="shared" ref="Z266:Z274" si="121">IF(T266=0,0,X266/T266)</f>
        <v>-0.3972593308086308</v>
      </c>
    </row>
    <row r="267" spans="1:26" s="24" customFormat="1" hidden="1" outlineLevel="2" x14ac:dyDescent="0.25">
      <c r="A267" s="26"/>
      <c r="B267" s="11" t="str">
        <f>CONCATENATE("          ", "6234", " - ", "EXPENDABLE SUPPLIES &amp; EQUIPMEN")</f>
        <v xml:space="preserve">          6234 - EXPENDABLE SUPPLIES &amp; EQUIPMEN</v>
      </c>
      <c r="C267" s="11"/>
      <c r="D267" s="6">
        <v>700.76</v>
      </c>
      <c r="E267" s="2"/>
      <c r="F267" s="7">
        <f t="shared" si="114"/>
        <v>1.9509673430406188E-3</v>
      </c>
      <c r="G267" s="2"/>
      <c r="H267" s="6"/>
      <c r="I267" s="2"/>
      <c r="J267" s="7">
        <f t="shared" si="115"/>
        <v>0</v>
      </c>
      <c r="K267" s="2"/>
      <c r="L267" s="6">
        <f t="shared" si="116"/>
        <v>700.76</v>
      </c>
      <c r="M267" s="2"/>
      <c r="N267" s="7">
        <f t="shared" si="117"/>
        <v>0</v>
      </c>
      <c r="O267" s="11"/>
      <c r="P267" s="6">
        <v>4142.5600000000004</v>
      </c>
      <c r="Q267" s="2"/>
      <c r="R267" s="7">
        <f t="shared" si="118"/>
        <v>3.613464202571512E-4</v>
      </c>
      <c r="S267" s="2"/>
      <c r="T267" s="6">
        <v>3681.43</v>
      </c>
      <c r="U267" s="2"/>
      <c r="V267" s="7">
        <f t="shared" si="119"/>
        <v>2.6215543849323377E-4</v>
      </c>
      <c r="W267" s="2"/>
      <c r="X267" s="6">
        <f t="shared" si="120"/>
        <v>461.13000000000056</v>
      </c>
      <c r="Y267" s="2"/>
      <c r="Z267" s="7">
        <f t="shared" si="121"/>
        <v>0.12525839144028286</v>
      </c>
    </row>
    <row r="268" spans="1:26" s="24" customFormat="1" hidden="1" outlineLevel="2" x14ac:dyDescent="0.25">
      <c r="A268" s="26"/>
      <c r="B268" s="11" t="str">
        <f>CONCATENATE("          ", "6235", " - ", "COVID-19 EXPENSES")</f>
        <v xml:space="preserve">          6235 - COVID-19 EXPENSES</v>
      </c>
      <c r="C268" s="11"/>
      <c r="D268" s="6">
        <v>1550</v>
      </c>
      <c r="E268" s="2"/>
      <c r="F268" s="7">
        <f t="shared" si="114"/>
        <v>4.3153139187638552E-3</v>
      </c>
      <c r="G268" s="2"/>
      <c r="H268" s="6"/>
      <c r="I268" s="2"/>
      <c r="J268" s="7">
        <f t="shared" si="115"/>
        <v>0</v>
      </c>
      <c r="K268" s="2"/>
      <c r="L268" s="6">
        <f t="shared" si="116"/>
        <v>1550</v>
      </c>
      <c r="M268" s="2"/>
      <c r="N268" s="7">
        <f t="shared" si="117"/>
        <v>0</v>
      </c>
      <c r="O268" s="11"/>
      <c r="P268" s="6">
        <v>1550</v>
      </c>
      <c r="Q268" s="2"/>
      <c r="R268" s="7">
        <f t="shared" si="118"/>
        <v>1.3520309938747641E-4</v>
      </c>
      <c r="S268" s="2"/>
      <c r="T268" s="6"/>
      <c r="U268" s="2"/>
      <c r="V268" s="7">
        <f t="shared" si="119"/>
        <v>0</v>
      </c>
      <c r="W268" s="2"/>
      <c r="X268" s="6">
        <f t="shared" si="120"/>
        <v>1550</v>
      </c>
      <c r="Y268" s="2"/>
      <c r="Z268" s="7">
        <f t="shared" si="121"/>
        <v>0</v>
      </c>
    </row>
    <row r="269" spans="1:26" s="24" customFormat="1" hidden="1" outlineLevel="2" x14ac:dyDescent="0.25">
      <c r="A269" s="26"/>
      <c r="B269" s="11" t="str">
        <f>CONCATENATE("          ", "6237", " - ", "JANITORIAL SUPPLIES")</f>
        <v xml:space="preserve">          6237 - JANITORIAL SUPPLIES</v>
      </c>
      <c r="C269" s="11"/>
      <c r="D269" s="6"/>
      <c r="E269" s="2"/>
      <c r="F269" s="7">
        <f t="shared" si="114"/>
        <v>0</v>
      </c>
      <c r="G269" s="2"/>
      <c r="H269" s="6">
        <v>407.67</v>
      </c>
      <c r="I269" s="2"/>
      <c r="J269" s="7">
        <f t="shared" si="115"/>
        <v>3.2781099354255703E-4</v>
      </c>
      <c r="K269" s="2"/>
      <c r="L269" s="6">
        <f t="shared" si="116"/>
        <v>-407.67</v>
      </c>
      <c r="M269" s="2"/>
      <c r="N269" s="7">
        <f t="shared" si="117"/>
        <v>-1</v>
      </c>
      <c r="O269" s="11"/>
      <c r="P269" s="6">
        <v>5305.04</v>
      </c>
      <c r="Q269" s="2"/>
      <c r="R269" s="7">
        <f t="shared" si="118"/>
        <v>4.6274700024163734E-4</v>
      </c>
      <c r="S269" s="2"/>
      <c r="T269" s="6">
        <v>6284.89</v>
      </c>
      <c r="U269" s="2"/>
      <c r="V269" s="7">
        <f t="shared" si="119"/>
        <v>4.4754839663710573E-4</v>
      </c>
      <c r="W269" s="2"/>
      <c r="X269" s="6">
        <f t="shared" si="120"/>
        <v>-979.85000000000036</v>
      </c>
      <c r="Y269" s="2"/>
      <c r="Z269" s="7">
        <f t="shared" si="121"/>
        <v>-0.15590567217564671</v>
      </c>
    </row>
    <row r="270" spans="1:26" s="24" customFormat="1" hidden="1" outlineLevel="2" x14ac:dyDescent="0.25">
      <c r="A270" s="26"/>
      <c r="B270" s="11" t="str">
        <f>CONCATENATE("          ", "6241", " - ", "OFFICE EXPENSE")</f>
        <v xml:space="preserve">          6241 - OFFICE EXPENSE</v>
      </c>
      <c r="C270" s="11"/>
      <c r="D270" s="6">
        <v>1359.12</v>
      </c>
      <c r="E270" s="2"/>
      <c r="F270" s="7">
        <f t="shared" si="114"/>
        <v>3.7838899698518259E-3</v>
      </c>
      <c r="G270" s="2"/>
      <c r="H270" s="6">
        <v>1241.22</v>
      </c>
      <c r="I270" s="2"/>
      <c r="J270" s="7">
        <f t="shared" si="115"/>
        <v>9.9807580004634294E-4</v>
      </c>
      <c r="K270" s="2"/>
      <c r="L270" s="6">
        <f t="shared" si="116"/>
        <v>117.89999999999986</v>
      </c>
      <c r="M270" s="2"/>
      <c r="N270" s="7">
        <f t="shared" si="117"/>
        <v>9.4987190022719464E-2</v>
      </c>
      <c r="O270" s="11"/>
      <c r="P270" s="6">
        <v>25565.69</v>
      </c>
      <c r="Q270" s="2"/>
      <c r="R270" s="7">
        <f t="shared" si="118"/>
        <v>2.2300390490189751E-3</v>
      </c>
      <c r="S270" s="2"/>
      <c r="T270" s="6">
        <v>35435.519999999997</v>
      </c>
      <c r="U270" s="2"/>
      <c r="V270" s="7">
        <f t="shared" si="119"/>
        <v>2.5233711584454286E-3</v>
      </c>
      <c r="W270" s="2"/>
      <c r="X270" s="6">
        <f t="shared" si="120"/>
        <v>-9869.8299999999981</v>
      </c>
      <c r="Y270" s="2"/>
      <c r="Z270" s="7">
        <f t="shared" si="121"/>
        <v>-0.27852928361147228</v>
      </c>
    </row>
    <row r="271" spans="1:26" s="24" customFormat="1" hidden="1" outlineLevel="2" x14ac:dyDescent="0.25">
      <c r="A271" s="26"/>
      <c r="B271" s="11" t="str">
        <f>CONCATENATE("          ", "6243", " - ", "PAPER SUPPLIES")</f>
        <v xml:space="preserve">          6243 - PAPER SUPPLIES</v>
      </c>
      <c r="C271" s="11"/>
      <c r="D271" s="6">
        <v>50.85</v>
      </c>
      <c r="E271" s="2"/>
      <c r="F271" s="7">
        <f t="shared" si="114"/>
        <v>1.4157013727041421E-4</v>
      </c>
      <c r="G271" s="2"/>
      <c r="H271" s="6">
        <v>3035.13</v>
      </c>
      <c r="I271" s="2"/>
      <c r="J271" s="7">
        <f t="shared" si="115"/>
        <v>2.4405744372429199E-3</v>
      </c>
      <c r="K271" s="2"/>
      <c r="L271" s="6">
        <f t="shared" si="116"/>
        <v>-2984.28</v>
      </c>
      <c r="M271" s="2"/>
      <c r="N271" s="7">
        <f t="shared" si="117"/>
        <v>-0.98324618714849121</v>
      </c>
      <c r="O271" s="11"/>
      <c r="P271" s="6">
        <v>17939.21</v>
      </c>
      <c r="Q271" s="2"/>
      <c r="R271" s="7">
        <f t="shared" si="118"/>
        <v>1.5647979306856843E-3</v>
      </c>
      <c r="S271" s="2"/>
      <c r="T271" s="6">
        <v>34120.870000000003</v>
      </c>
      <c r="U271" s="2"/>
      <c r="V271" s="7">
        <f t="shared" si="119"/>
        <v>2.4297546433371345E-3</v>
      </c>
      <c r="W271" s="2"/>
      <c r="X271" s="6">
        <f t="shared" si="120"/>
        <v>-16181.660000000003</v>
      </c>
      <c r="Y271" s="2"/>
      <c r="Z271" s="7">
        <f t="shared" si="121"/>
        <v>-0.47424523466136714</v>
      </c>
    </row>
    <row r="272" spans="1:26" s="24" customFormat="1" hidden="1" outlineLevel="2" x14ac:dyDescent="0.25">
      <c r="A272" s="26"/>
      <c r="B272" s="11" t="str">
        <f>CONCATENATE("          ", "6245", " - ", "PRINTING")</f>
        <v xml:space="preserve">          6245 - PRINTING</v>
      </c>
      <c r="C272" s="11"/>
      <c r="D272" s="6">
        <v>66.150000000000006</v>
      </c>
      <c r="E272" s="2"/>
      <c r="F272" s="7">
        <f t="shared" si="114"/>
        <v>1.8416646175885745E-4</v>
      </c>
      <c r="G272" s="2"/>
      <c r="H272" s="6">
        <v>2527.31</v>
      </c>
      <c r="I272" s="2"/>
      <c r="J272" s="7">
        <f t="shared" si="115"/>
        <v>2.0322319574411652E-3</v>
      </c>
      <c r="K272" s="2"/>
      <c r="L272" s="6">
        <f t="shared" si="116"/>
        <v>-2461.16</v>
      </c>
      <c r="M272" s="2"/>
      <c r="N272" s="7">
        <f t="shared" si="117"/>
        <v>-0.97382592558886716</v>
      </c>
      <c r="O272" s="11"/>
      <c r="P272" s="6">
        <v>10627.6</v>
      </c>
      <c r="Q272" s="2"/>
      <c r="R272" s="7">
        <f t="shared" si="118"/>
        <v>9.2702223164538354E-4</v>
      </c>
      <c r="S272" s="2"/>
      <c r="T272" s="6">
        <v>14820.350000000002</v>
      </c>
      <c r="U272" s="2"/>
      <c r="V272" s="7">
        <f t="shared" si="119"/>
        <v>1.0553603770472881E-3</v>
      </c>
      <c r="W272" s="2"/>
      <c r="X272" s="6">
        <f t="shared" si="120"/>
        <v>-4192.7500000000018</v>
      </c>
      <c r="Y272" s="2"/>
      <c r="Z272" s="7">
        <f t="shared" si="121"/>
        <v>-0.28290492464752864</v>
      </c>
    </row>
    <row r="273" spans="1:26" s="24" customFormat="1" hidden="1" outlineLevel="2" x14ac:dyDescent="0.25">
      <c r="A273" s="26"/>
      <c r="B273" s="11" t="str">
        <f>CONCATENATE("          ", "6247", " - ", "STORE SUPPLIES")</f>
        <v xml:space="preserve">          6247 - STORE SUPPLIES</v>
      </c>
      <c r="C273" s="11"/>
      <c r="D273" s="6">
        <v>1029.98</v>
      </c>
      <c r="E273" s="2"/>
      <c r="F273" s="7">
        <f t="shared" si="114"/>
        <v>2.8675400193860618E-3</v>
      </c>
      <c r="G273" s="2"/>
      <c r="H273" s="6">
        <v>1554.87</v>
      </c>
      <c r="I273" s="2"/>
      <c r="J273" s="7">
        <f t="shared" si="115"/>
        <v>1.2502844936578988E-3</v>
      </c>
      <c r="K273" s="2"/>
      <c r="L273" s="6">
        <f t="shared" si="116"/>
        <v>-524.88999999999987</v>
      </c>
      <c r="M273" s="2"/>
      <c r="N273" s="7">
        <f t="shared" si="117"/>
        <v>-0.33757806118839512</v>
      </c>
      <c r="O273" s="11"/>
      <c r="P273" s="6">
        <v>31123.070000000003</v>
      </c>
      <c r="Q273" s="2"/>
      <c r="R273" s="7">
        <f t="shared" si="118"/>
        <v>2.7147971138408943E-3</v>
      </c>
      <c r="S273" s="2"/>
      <c r="T273" s="6">
        <v>63445.52</v>
      </c>
      <c r="U273" s="2"/>
      <c r="V273" s="7">
        <f t="shared" si="119"/>
        <v>4.517969407548489E-3</v>
      </c>
      <c r="W273" s="2"/>
      <c r="X273" s="6">
        <f t="shared" si="120"/>
        <v>-32322.449999999993</v>
      </c>
      <c r="Y273" s="2"/>
      <c r="Z273" s="7">
        <f t="shared" si="121"/>
        <v>-0.50945204641714648</v>
      </c>
    </row>
    <row r="274" spans="1:26" s="24" customFormat="1" hidden="1" outlineLevel="2" x14ac:dyDescent="0.25">
      <c r="A274" s="26"/>
      <c r="B274" s="11" t="str">
        <f>CONCATENATE("          ", "6248", " - ", "UNIFORMS")</f>
        <v xml:space="preserve">          6248 - UNIFORMS</v>
      </c>
      <c r="C274" s="11"/>
      <c r="D274" s="6"/>
      <c r="E274" s="2"/>
      <c r="F274" s="7">
        <f t="shared" si="114"/>
        <v>0</v>
      </c>
      <c r="G274" s="2"/>
      <c r="H274" s="6"/>
      <c r="I274" s="2"/>
      <c r="J274" s="7">
        <f t="shared" si="115"/>
        <v>0</v>
      </c>
      <c r="K274" s="2"/>
      <c r="L274" s="6">
        <f t="shared" si="116"/>
        <v>0</v>
      </c>
      <c r="M274" s="2"/>
      <c r="N274" s="7">
        <f t="shared" si="117"/>
        <v>0</v>
      </c>
      <c r="O274" s="11"/>
      <c r="P274" s="6">
        <v>43.91</v>
      </c>
      <c r="Q274" s="2"/>
      <c r="R274" s="7">
        <f t="shared" si="118"/>
        <v>3.8301729639381217E-6</v>
      </c>
      <c r="S274" s="2"/>
      <c r="T274" s="6">
        <v>1976.78</v>
      </c>
      <c r="U274" s="2"/>
      <c r="V274" s="7">
        <f t="shared" si="119"/>
        <v>1.407669377672955E-4</v>
      </c>
      <c r="W274" s="2"/>
      <c r="X274" s="6">
        <f t="shared" si="120"/>
        <v>-1932.87</v>
      </c>
      <c r="Y274" s="2"/>
      <c r="Z274" s="7">
        <f t="shared" si="121"/>
        <v>-0.97778710832768434</v>
      </c>
    </row>
    <row r="275" spans="1:26" s="27" customFormat="1" outlineLevel="1" collapsed="1" x14ac:dyDescent="0.25">
      <c r="A275" s="25"/>
      <c r="B275" s="13" t="str">
        <f>CONCATENATE("     ","Telephone/Data Lines                              ")</f>
        <v xml:space="preserve">     Telephone/Data Lines                              </v>
      </c>
      <c r="C275" s="13"/>
      <c r="D275" s="1">
        <f>SUM(OSRRefD22_21x_0)</f>
        <v>2951.33</v>
      </c>
      <c r="E275" s="1"/>
      <c r="F275" s="5">
        <f t="shared" ref="F275:F277" si="122">IF(D$12=0,0,D275/D$12)</f>
        <v>8.216719630880857E-3</v>
      </c>
      <c r="G275" s="1"/>
      <c r="H275" s="1">
        <f>SUM(OSRRefH22_21x_0)</f>
        <v>3163.22</v>
      </c>
      <c r="I275" s="1"/>
      <c r="J275" s="5">
        <f t="shared" ref="J275:J277" si="123">IF(H$12=0,0,H275/H$12)</f>
        <v>2.5435727205673393E-3</v>
      </c>
      <c r="K275" s="1"/>
      <c r="L275" s="1">
        <f t="shared" ref="L275:L277" si="124">+D275-H275</f>
        <v>-211.88999999999987</v>
      </c>
      <c r="M275" s="1"/>
      <c r="N275" s="5">
        <f t="shared" ref="N275:N277" si="125">IF(H275=0,0,L275/H275)</f>
        <v>-6.698554005096069E-2</v>
      </c>
      <c r="O275" s="13"/>
      <c r="P275" s="1">
        <f>SUM(OSRRefP22_21x_0)</f>
        <v>30581.670000000002</v>
      </c>
      <c r="Q275" s="1"/>
      <c r="R275" s="5">
        <f t="shared" ref="R275:R277" si="126">IF(P$12=0,0,P275/P$12)</f>
        <v>2.6675719796419393E-3</v>
      </c>
      <c r="S275" s="1"/>
      <c r="T275" s="1">
        <f>SUM(OSRRefT22_21x_0)</f>
        <v>33713.74</v>
      </c>
      <c r="U275" s="1"/>
      <c r="V275" s="5">
        <f t="shared" ref="V275:V277" si="127">IF(T$12=0,0,T275/T$12)</f>
        <v>2.4007628266589E-3</v>
      </c>
      <c r="W275" s="1"/>
      <c r="X275" s="1">
        <f t="shared" ref="X275:X277" si="128">+P275-T275</f>
        <v>-3132.0699999999961</v>
      </c>
      <c r="Y275" s="1"/>
      <c r="Z275" s="5">
        <f t="shared" ref="Z275:Z277" si="129">IF(T275=0,0,X275/T275)</f>
        <v>-9.2901885106784238E-2</v>
      </c>
    </row>
    <row r="276" spans="1:26" s="24" customFormat="1" hidden="1" outlineLevel="2" x14ac:dyDescent="0.25">
      <c r="A276" s="26"/>
      <c r="B276" s="11" t="str">
        <f>CONCATENATE("          ", "6303", " - ", "DATA PHONE LINES")</f>
        <v xml:space="preserve">          6303 - DATA PHONE LINES</v>
      </c>
      <c r="C276" s="11"/>
      <c r="D276" s="6">
        <v>590</v>
      </c>
      <c r="E276" s="2"/>
      <c r="F276" s="7">
        <f t="shared" si="122"/>
        <v>1.6426033626262416E-3</v>
      </c>
      <c r="G276" s="2"/>
      <c r="H276" s="6">
        <v>590</v>
      </c>
      <c r="I276" s="2"/>
      <c r="J276" s="7">
        <f t="shared" si="123"/>
        <v>4.7442413273017059E-4</v>
      </c>
      <c r="K276" s="2"/>
      <c r="L276" s="6">
        <f t="shared" si="124"/>
        <v>0</v>
      </c>
      <c r="M276" s="2"/>
      <c r="N276" s="7">
        <f t="shared" si="125"/>
        <v>0</v>
      </c>
      <c r="O276" s="11"/>
      <c r="P276" s="6">
        <v>2950</v>
      </c>
      <c r="Q276" s="2"/>
      <c r="R276" s="7">
        <f t="shared" si="126"/>
        <v>2.5732202786648737E-4</v>
      </c>
      <c r="S276" s="2"/>
      <c r="T276" s="6">
        <v>3245</v>
      </c>
      <c r="U276" s="2"/>
      <c r="V276" s="7">
        <f t="shared" si="127"/>
        <v>2.3107716238270011E-4</v>
      </c>
      <c r="W276" s="2"/>
      <c r="X276" s="6">
        <f t="shared" si="128"/>
        <v>-295</v>
      </c>
      <c r="Y276" s="2"/>
      <c r="Z276" s="7">
        <f t="shared" si="129"/>
        <v>-9.0909090909090912E-2</v>
      </c>
    </row>
    <row r="277" spans="1:26" s="24" customFormat="1" hidden="1" outlineLevel="2" x14ac:dyDescent="0.25">
      <c r="A277" s="26"/>
      <c r="B277" s="11" t="str">
        <f>CONCATENATE("          ", "6309", " - ", "TELEPHONE")</f>
        <v xml:space="preserve">          6309 - TELEPHONE</v>
      </c>
      <c r="C277" s="11"/>
      <c r="D277" s="6">
        <v>2361.33</v>
      </c>
      <c r="E277" s="2"/>
      <c r="F277" s="7">
        <f t="shared" si="122"/>
        <v>6.5741162682546152E-3</v>
      </c>
      <c r="G277" s="2"/>
      <c r="H277" s="6">
        <v>2573.2199999999998</v>
      </c>
      <c r="I277" s="2"/>
      <c r="J277" s="7">
        <f t="shared" si="123"/>
        <v>2.0691485878371685E-3</v>
      </c>
      <c r="K277" s="2"/>
      <c r="L277" s="6">
        <f t="shared" si="124"/>
        <v>-211.88999999999987</v>
      </c>
      <c r="M277" s="2"/>
      <c r="N277" s="7">
        <f t="shared" si="125"/>
        <v>-8.2344300137570783E-2</v>
      </c>
      <c r="O277" s="11"/>
      <c r="P277" s="6">
        <v>27631.670000000002</v>
      </c>
      <c r="Q277" s="2"/>
      <c r="R277" s="7">
        <f t="shared" si="126"/>
        <v>2.410249951775452E-3</v>
      </c>
      <c r="S277" s="2"/>
      <c r="T277" s="6">
        <v>30468.739999999998</v>
      </c>
      <c r="U277" s="2"/>
      <c r="V277" s="7">
        <f t="shared" si="127"/>
        <v>2.1696856642762002E-3</v>
      </c>
      <c r="W277" s="2"/>
      <c r="X277" s="6">
        <f t="shared" si="128"/>
        <v>-2837.0699999999961</v>
      </c>
      <c r="Y277" s="2"/>
      <c r="Z277" s="7">
        <f t="shared" si="129"/>
        <v>-9.3114122868224819E-2</v>
      </c>
    </row>
    <row r="278" spans="1:26" s="27" customFormat="1" outlineLevel="1" collapsed="1" x14ac:dyDescent="0.25">
      <c r="A278" s="25"/>
      <c r="B278" s="13" t="str">
        <f>CONCATENATE("     ","Training                                          ")</f>
        <v xml:space="preserve">     Training                                          </v>
      </c>
      <c r="C278" s="13"/>
      <c r="D278" s="1">
        <f>SUM(OSRRefD22_22x_0)</f>
        <v>2140.13</v>
      </c>
      <c r="E278" s="1"/>
      <c r="F278" s="5">
        <f t="shared" ref="F278:F283" si="130">IF(D$12=0,0,D278/D$12)</f>
        <v>5.9582792109445738E-3</v>
      </c>
      <c r="G278" s="1"/>
      <c r="H278" s="1">
        <f>SUM(OSRRefH22_22x_0)</f>
        <v>-658.67</v>
      </c>
      <c r="I278" s="1"/>
      <c r="J278" s="5">
        <f t="shared" ref="J278:J283" si="131">IF(H$12=0,0,H278/H$12)</f>
        <v>-5.2964227712776516E-4</v>
      </c>
      <c r="K278" s="1"/>
      <c r="L278" s="1">
        <f t="shared" ref="L278:L283" si="132">+D278-H278</f>
        <v>2798.8</v>
      </c>
      <c r="M278" s="1"/>
      <c r="N278" s="5">
        <f t="shared" ref="N278:N283" si="133">IF(H278=0,0,L278/H278)</f>
        <v>-4.2491687795102253</v>
      </c>
      <c r="O278" s="13"/>
      <c r="P278" s="1">
        <f>SUM(OSRRefP22_22x_0)</f>
        <v>25732.76</v>
      </c>
      <c r="Q278" s="1"/>
      <c r="R278" s="5">
        <f t="shared" ref="R278:R283" si="134">IF(P$12=0,0,P278/P$12)</f>
        <v>2.2446121985768243E-3</v>
      </c>
      <c r="S278" s="1"/>
      <c r="T278" s="1">
        <f>SUM(OSRRefT22_22x_0)</f>
        <v>21341.63</v>
      </c>
      <c r="U278" s="1"/>
      <c r="V278" s="5">
        <f t="shared" ref="V278:V283" si="135">IF(T$12=0,0,T278/T$12)</f>
        <v>1.5197421574796623E-3</v>
      </c>
      <c r="W278" s="1"/>
      <c r="X278" s="1">
        <f t="shared" ref="X278:X283" si="136">+P278-T278</f>
        <v>4391.1299999999974</v>
      </c>
      <c r="Y278" s="1"/>
      <c r="Z278" s="5">
        <f t="shared" ref="Z278:Z283" si="137">IF(T278=0,0,X278/T278)</f>
        <v>0.20575419965578998</v>
      </c>
    </row>
    <row r="279" spans="1:26" s="24" customFormat="1" hidden="1" outlineLevel="2" x14ac:dyDescent="0.25">
      <c r="A279" s="26"/>
      <c r="B279" s="11" t="str">
        <f>CONCATENATE("          ", "6376", " - ", "TRAINING")</f>
        <v xml:space="preserve">          6376 - TRAINING</v>
      </c>
      <c r="C279" s="11"/>
      <c r="D279" s="6">
        <v>2140.13</v>
      </c>
      <c r="E279" s="2"/>
      <c r="F279" s="7">
        <f t="shared" si="130"/>
        <v>5.9582792109445738E-3</v>
      </c>
      <c r="G279" s="2"/>
      <c r="H279" s="6">
        <v>-658.67</v>
      </c>
      <c r="I279" s="2"/>
      <c r="J279" s="7">
        <f t="shared" si="131"/>
        <v>-5.2964227712776516E-4</v>
      </c>
      <c r="K279" s="2"/>
      <c r="L279" s="6">
        <f t="shared" si="132"/>
        <v>2798.8</v>
      </c>
      <c r="M279" s="2"/>
      <c r="N279" s="7">
        <f t="shared" si="133"/>
        <v>-4.2491687795102253</v>
      </c>
      <c r="O279" s="11"/>
      <c r="P279" s="6">
        <v>25732.76</v>
      </c>
      <c r="Q279" s="2"/>
      <c r="R279" s="7">
        <f t="shared" si="134"/>
        <v>2.2446121985768243E-3</v>
      </c>
      <c r="S279" s="2"/>
      <c r="T279" s="6">
        <v>21341.63</v>
      </c>
      <c r="U279" s="2"/>
      <c r="V279" s="7">
        <f t="shared" si="135"/>
        <v>1.5197421574796623E-3</v>
      </c>
      <c r="W279" s="2"/>
      <c r="X279" s="6">
        <f t="shared" si="136"/>
        <v>4391.1299999999974</v>
      </c>
      <c r="Y279" s="2"/>
      <c r="Z279" s="7">
        <f t="shared" si="137"/>
        <v>0.20575419965578998</v>
      </c>
    </row>
    <row r="280" spans="1:26" s="27" customFormat="1" outlineLevel="1" collapsed="1" x14ac:dyDescent="0.25">
      <c r="A280" s="25"/>
      <c r="B280" s="13" t="str">
        <f>CONCATENATE("     ","Travel                                            ")</f>
        <v xml:space="preserve">     Travel                                            </v>
      </c>
      <c r="C280" s="13"/>
      <c r="D280" s="1">
        <f>SUM(OSRRefD22_23x_0)</f>
        <v>0</v>
      </c>
      <c r="E280" s="1"/>
      <c r="F280" s="5">
        <f t="shared" si="130"/>
        <v>0</v>
      </c>
      <c r="G280" s="1"/>
      <c r="H280" s="1">
        <f>SUM(OSRRefH22_23x_0)</f>
        <v>463.14</v>
      </c>
      <c r="I280" s="1"/>
      <c r="J280" s="5">
        <f t="shared" si="131"/>
        <v>3.7241490310618847E-4</v>
      </c>
      <c r="K280" s="1"/>
      <c r="L280" s="1">
        <f t="shared" si="132"/>
        <v>-463.14</v>
      </c>
      <c r="M280" s="1"/>
      <c r="N280" s="5">
        <f t="shared" si="133"/>
        <v>-1</v>
      </c>
      <c r="O280" s="13"/>
      <c r="P280" s="1">
        <f>SUM(OSRRefP22_23x_0)</f>
        <v>1139.73</v>
      </c>
      <c r="Q280" s="1"/>
      <c r="R280" s="5">
        <f t="shared" si="134"/>
        <v>9.9416147396702264E-5</v>
      </c>
      <c r="S280" s="1"/>
      <c r="T280" s="1">
        <f>SUM(OSRRefT22_23x_0)</f>
        <v>5323.2899999999991</v>
      </c>
      <c r="U280" s="1"/>
      <c r="V280" s="5">
        <f t="shared" si="135"/>
        <v>3.7907264953473139E-4</v>
      </c>
      <c r="W280" s="1"/>
      <c r="X280" s="1">
        <f t="shared" si="136"/>
        <v>-4183.5599999999995</v>
      </c>
      <c r="Y280" s="1"/>
      <c r="Z280" s="5">
        <f t="shared" si="137"/>
        <v>-0.78589744312258025</v>
      </c>
    </row>
    <row r="281" spans="1:26" s="24" customFormat="1" hidden="1" outlineLevel="2" x14ac:dyDescent="0.25">
      <c r="A281" s="26"/>
      <c r="B281" s="11" t="str">
        <f>CONCATENATE("          ", "6292", " - ", "TRAVEL/CONFERENCE")</f>
        <v xml:space="preserve">          6292 - TRAVEL/CONFERENCE</v>
      </c>
      <c r="C281" s="11"/>
      <c r="D281" s="6"/>
      <c r="E281" s="2"/>
      <c r="F281" s="7">
        <f t="shared" si="130"/>
        <v>0</v>
      </c>
      <c r="G281" s="2"/>
      <c r="H281" s="6">
        <v>392.76</v>
      </c>
      <c r="I281" s="2"/>
      <c r="J281" s="7">
        <f t="shared" si="131"/>
        <v>3.1582173283237593E-4</v>
      </c>
      <c r="K281" s="2"/>
      <c r="L281" s="6">
        <f t="shared" si="132"/>
        <v>-392.76</v>
      </c>
      <c r="M281" s="2"/>
      <c r="N281" s="7">
        <f t="shared" si="133"/>
        <v>-1</v>
      </c>
      <c r="O281" s="11"/>
      <c r="P281" s="6">
        <v>326.60000000000002</v>
      </c>
      <c r="Q281" s="2"/>
      <c r="R281" s="7">
        <f t="shared" si="134"/>
        <v>2.8488601458032131E-5</v>
      </c>
      <c r="S281" s="2"/>
      <c r="T281" s="6">
        <v>3795.1</v>
      </c>
      <c r="U281" s="2"/>
      <c r="V281" s="7">
        <f t="shared" si="135"/>
        <v>2.7024990414748385E-4</v>
      </c>
      <c r="W281" s="2"/>
      <c r="X281" s="6">
        <f t="shared" si="136"/>
        <v>-3468.5</v>
      </c>
      <c r="Y281" s="2"/>
      <c r="Z281" s="7">
        <f t="shared" si="137"/>
        <v>-0.91394166161629475</v>
      </c>
    </row>
    <row r="282" spans="1:26" s="24" customFormat="1" hidden="1" outlineLevel="2" x14ac:dyDescent="0.25">
      <c r="A282" s="26"/>
      <c r="B282" s="11" t="str">
        <f>CONCATENATE("          ", "6294", " - ", "TRAVEL OPERATIONAL")</f>
        <v xml:space="preserve">          6294 - TRAVEL OPERATIONAL</v>
      </c>
      <c r="C282" s="11"/>
      <c r="D282" s="6"/>
      <c r="E282" s="2"/>
      <c r="F282" s="7">
        <f t="shared" si="130"/>
        <v>0</v>
      </c>
      <c r="G282" s="2"/>
      <c r="H282" s="6"/>
      <c r="I282" s="2"/>
      <c r="J282" s="7">
        <f t="shared" si="131"/>
        <v>0</v>
      </c>
      <c r="K282" s="2"/>
      <c r="L282" s="6">
        <f t="shared" si="132"/>
        <v>0</v>
      </c>
      <c r="M282" s="2"/>
      <c r="N282" s="7">
        <f t="shared" si="133"/>
        <v>0</v>
      </c>
      <c r="O282" s="11"/>
      <c r="P282" s="6">
        <v>361.61</v>
      </c>
      <c r="Q282" s="2"/>
      <c r="R282" s="7">
        <f t="shared" si="134"/>
        <v>3.154244694806797E-5</v>
      </c>
      <c r="S282" s="2"/>
      <c r="T282" s="6">
        <v>883.96</v>
      </c>
      <c r="U282" s="2"/>
      <c r="V282" s="7">
        <f t="shared" si="135"/>
        <v>6.294698565787722E-5</v>
      </c>
      <c r="W282" s="2"/>
      <c r="X282" s="6">
        <f t="shared" si="136"/>
        <v>-522.35</v>
      </c>
      <c r="Y282" s="2"/>
      <c r="Z282" s="7">
        <f t="shared" si="137"/>
        <v>-0.59092040363817366</v>
      </c>
    </row>
    <row r="283" spans="1:26" s="24" customFormat="1" hidden="1" outlineLevel="2" x14ac:dyDescent="0.25">
      <c r="A283" s="26"/>
      <c r="B283" s="11" t="str">
        <f>CONCATENATE("          ", "6298", " - ", "VEHICLE MILEAGE")</f>
        <v xml:space="preserve">          6298 - VEHICLE MILEAGE</v>
      </c>
      <c r="C283" s="11"/>
      <c r="D283" s="6"/>
      <c r="E283" s="2"/>
      <c r="F283" s="7">
        <f t="shared" si="130"/>
        <v>0</v>
      </c>
      <c r="G283" s="2"/>
      <c r="H283" s="6">
        <v>70.38</v>
      </c>
      <c r="I283" s="2"/>
      <c r="J283" s="7">
        <f t="shared" si="131"/>
        <v>5.6593170273812552E-5</v>
      </c>
      <c r="K283" s="2"/>
      <c r="L283" s="6">
        <f t="shared" si="132"/>
        <v>-70.38</v>
      </c>
      <c r="M283" s="2"/>
      <c r="N283" s="7">
        <f t="shared" si="133"/>
        <v>-1</v>
      </c>
      <c r="O283" s="11"/>
      <c r="P283" s="6">
        <v>451.52</v>
      </c>
      <c r="Q283" s="2"/>
      <c r="R283" s="7">
        <f t="shared" si="134"/>
        <v>3.9385098990602163E-5</v>
      </c>
      <c r="S283" s="2"/>
      <c r="T283" s="6">
        <v>644.23</v>
      </c>
      <c r="U283" s="2"/>
      <c r="V283" s="7">
        <f t="shared" si="135"/>
        <v>4.5875759729370381E-5</v>
      </c>
      <c r="W283" s="2"/>
      <c r="X283" s="6">
        <f t="shared" si="136"/>
        <v>-192.71000000000004</v>
      </c>
      <c r="Y283" s="2"/>
      <c r="Z283" s="7">
        <f t="shared" si="137"/>
        <v>-0.29913229747140002</v>
      </c>
    </row>
    <row r="284" spans="1:26" s="27" customFormat="1" outlineLevel="1" collapsed="1" x14ac:dyDescent="0.25">
      <c r="A284" s="25"/>
      <c r="B284" s="13" t="str">
        <f>CONCATENATE("     ","Utilities                                         ")</f>
        <v xml:space="preserve">     Utilities                                         </v>
      </c>
      <c r="C284" s="13"/>
      <c r="D284" s="1">
        <f>SUM(OSRRefD22_24x_0)</f>
        <v>6159.43</v>
      </c>
      <c r="E284" s="1"/>
      <c r="F284" s="5">
        <f t="shared" ref="F284:F285" si="138">IF(D$12=0,0,D284/D$12)</f>
        <v>1.7148305813323647E-2</v>
      </c>
      <c r="G284" s="1"/>
      <c r="H284" s="1">
        <f>SUM(OSRRefH22_24x_0)</f>
        <v>5619.19</v>
      </c>
      <c r="I284" s="1"/>
      <c r="J284" s="5">
        <f t="shared" ref="J284:J285" si="139">IF(H$12=0,0,H284/H$12)</f>
        <v>4.5184395633831309E-3</v>
      </c>
      <c r="K284" s="1"/>
      <c r="L284" s="1">
        <f t="shared" ref="L284:L285" si="140">+D284-H284</f>
        <v>540.24000000000069</v>
      </c>
      <c r="M284" s="1"/>
      <c r="N284" s="5">
        <f t="shared" ref="N284:N285" si="141">IF(H284=0,0,L284/H284)</f>
        <v>9.6141970639896629E-2</v>
      </c>
      <c r="O284" s="13"/>
      <c r="P284" s="1">
        <f>SUM(OSRRefP22_24x_0)</f>
        <v>65364.780000000006</v>
      </c>
      <c r="Q284" s="1"/>
      <c r="R284" s="5">
        <f t="shared" ref="R284:R285" si="142">IF(P$12=0,0,P284/P$12)</f>
        <v>5.7016263527616337E-3</v>
      </c>
      <c r="S284" s="1"/>
      <c r="T284" s="1">
        <f>SUM(OSRRefT22_24x_0)</f>
        <v>52090.32</v>
      </c>
      <c r="U284" s="1"/>
      <c r="V284" s="5">
        <f t="shared" ref="V284:V285" si="143">IF(T$12=0,0,T284/T$12)</f>
        <v>3.7093631227139634E-3</v>
      </c>
      <c r="W284" s="1"/>
      <c r="X284" s="1">
        <f t="shared" ref="X284:X285" si="144">+P284-T284</f>
        <v>13274.460000000006</v>
      </c>
      <c r="Y284" s="1"/>
      <c r="Z284" s="5">
        <f t="shared" ref="Z284:Z285" si="145">IF(T284=0,0,X284/T284)</f>
        <v>0.2548354473537503</v>
      </c>
    </row>
    <row r="285" spans="1:26" s="24" customFormat="1" hidden="1" outlineLevel="2" x14ac:dyDescent="0.25">
      <c r="A285" s="26"/>
      <c r="B285" s="11" t="str">
        <f>CONCATENATE("          ", "6274", " - ", "UTILITIES")</f>
        <v xml:space="preserve">          6274 - UTILITIES</v>
      </c>
      <c r="C285" s="11"/>
      <c r="D285" s="6">
        <v>6159.43</v>
      </c>
      <c r="E285" s="2"/>
      <c r="F285" s="7">
        <f t="shared" si="138"/>
        <v>1.7148305813323647E-2</v>
      </c>
      <c r="G285" s="2"/>
      <c r="H285" s="6">
        <v>5619.19</v>
      </c>
      <c r="I285" s="2"/>
      <c r="J285" s="7">
        <f t="shared" si="139"/>
        <v>4.5184395633831309E-3</v>
      </c>
      <c r="K285" s="2"/>
      <c r="L285" s="6">
        <f t="shared" si="140"/>
        <v>540.24000000000069</v>
      </c>
      <c r="M285" s="2"/>
      <c r="N285" s="7">
        <f t="shared" si="141"/>
        <v>9.6141970639896629E-2</v>
      </c>
      <c r="O285" s="11"/>
      <c r="P285" s="6">
        <v>65364.780000000006</v>
      </c>
      <c r="Q285" s="2"/>
      <c r="R285" s="7">
        <f t="shared" si="142"/>
        <v>5.7016263527616337E-3</v>
      </c>
      <c r="S285" s="2"/>
      <c r="T285" s="6">
        <v>52090.32</v>
      </c>
      <c r="U285" s="2"/>
      <c r="V285" s="7">
        <f t="shared" si="143"/>
        <v>3.7093631227139634E-3</v>
      </c>
      <c r="W285" s="2"/>
      <c r="X285" s="6">
        <f t="shared" si="144"/>
        <v>13274.460000000006</v>
      </c>
      <c r="Y285" s="2"/>
      <c r="Z285" s="7">
        <f t="shared" si="145"/>
        <v>0.2548354473537503</v>
      </c>
    </row>
    <row r="286" spans="1:26" s="58" customFormat="1" x14ac:dyDescent="0.25">
      <c r="A286" s="37"/>
      <c r="B286" s="37"/>
      <c r="C286" s="37"/>
      <c r="D286" s="1"/>
      <c r="E286" s="1"/>
      <c r="F286" s="5"/>
      <c r="G286" s="1"/>
      <c r="H286" s="1"/>
      <c r="I286" s="1"/>
      <c r="J286" s="5"/>
      <c r="K286" s="1"/>
      <c r="L286" s="1"/>
      <c r="M286" s="1"/>
      <c r="N286" s="5"/>
      <c r="O286" s="37"/>
      <c r="P286" s="1"/>
      <c r="Q286" s="1"/>
      <c r="R286" s="5"/>
      <c r="S286" s="1"/>
      <c r="T286" s="1"/>
      <c r="U286" s="1"/>
      <c r="V286" s="5"/>
      <c r="W286" s="1"/>
      <c r="X286" s="1"/>
      <c r="Y286" s="1"/>
      <c r="Z286" s="5"/>
    </row>
    <row r="287" spans="1:26" s="23" customFormat="1" collapsed="1" x14ac:dyDescent="0.25">
      <c r="A287" s="10"/>
      <c r="B287" s="28" t="s">
        <v>0</v>
      </c>
      <c r="C287" s="10"/>
      <c r="D287" s="4">
        <f>SUM(OSRRefD25x_0)</f>
        <v>107782.36</v>
      </c>
      <c r="E287" s="4"/>
      <c r="F287" s="12">
        <f t="shared" ref="F287:F299" si="146">IF(D$12=0,0,D287/D$12)</f>
        <v>0.30007401180981713</v>
      </c>
      <c r="G287" s="4"/>
      <c r="H287" s="4">
        <f>SUM(OSRRefH25x_0)</f>
        <v>139104.42000000001</v>
      </c>
      <c r="I287" s="4"/>
      <c r="J287" s="12">
        <f t="shared" ref="J287:J299" si="147">IF(H$12=0,0,H287/H$12)</f>
        <v>0.11185507426683627</v>
      </c>
      <c r="K287" s="4"/>
      <c r="L287" s="4">
        <f t="shared" ref="L287:L299" si="148">+D287-H287</f>
        <v>-31322.060000000012</v>
      </c>
      <c r="M287" s="4"/>
      <c r="N287" s="12">
        <f t="shared" ref="N287:N299" si="149">IF(H287=0,0,L287/H287)</f>
        <v>-0.22516940870750196</v>
      </c>
      <c r="O287" s="10"/>
      <c r="P287" s="4">
        <f>SUM(OSRRefP25x_0)</f>
        <v>1182467.73</v>
      </c>
      <c r="Q287" s="4"/>
      <c r="R287" s="12">
        <f t="shared" ref="R287:R299" si="150">IF(P$12=0,0,P287/P$12)</f>
        <v>0.1031440658204346</v>
      </c>
      <c r="S287" s="4"/>
      <c r="T287" s="4">
        <f>SUM(OSRRefT25x_0)</f>
        <v>1211229.3599999999</v>
      </c>
      <c r="U287" s="4"/>
      <c r="V287" s="12">
        <f t="shared" ref="V287:V299" si="151">IF(T$12=0,0,T287/T$12)</f>
        <v>8.6251908629711521E-2</v>
      </c>
      <c r="W287" s="4"/>
      <c r="X287" s="4">
        <f t="shared" ref="X287:X299" si="152">+P287-T287</f>
        <v>-28761.629999999888</v>
      </c>
      <c r="Y287" s="4"/>
      <c r="Z287" s="12">
        <f t="shared" ref="Z287:Z299" si="153">IF(T287=0,0,X287/T287)</f>
        <v>-2.3745816399298552E-2</v>
      </c>
    </row>
    <row r="288" spans="1:26" s="24" customFormat="1" hidden="1" outlineLevel="1" x14ac:dyDescent="0.25">
      <c r="A288" s="44"/>
      <c r="B288" s="11" t="str">
        <f>CONCATENATE("          ", "4098", " - ", "TAXABLE SALES-GRAD RENTALS")</f>
        <v xml:space="preserve">          4098 - TAXABLE SALES-GRAD RENTALS</v>
      </c>
      <c r="C288" s="11"/>
      <c r="D288" s="2">
        <f>-152</f>
        <v>-152</v>
      </c>
      <c r="E288" s="2"/>
      <c r="F288" s="19">
        <f t="shared" si="146"/>
        <v>-4.2317917138845549E-4</v>
      </c>
      <c r="G288" s="2"/>
      <c r="H288" s="2">
        <f>--70358.28</f>
        <v>70358.28</v>
      </c>
      <c r="I288" s="2"/>
      <c r="J288" s="19">
        <f t="shared" si="147"/>
        <v>5.6575705032858484E-2</v>
      </c>
      <c r="K288" s="2"/>
      <c r="L288" s="2">
        <f t="shared" si="148"/>
        <v>-70510.28</v>
      </c>
      <c r="M288" s="2"/>
      <c r="N288" s="19">
        <f t="shared" si="149"/>
        <v>-1.0021603711745086</v>
      </c>
      <c r="O288" s="11"/>
      <c r="P288" s="2">
        <f>--1946.85</f>
        <v>1946.85</v>
      </c>
      <c r="Q288" s="2"/>
      <c r="R288" s="19">
        <f t="shared" si="150"/>
        <v>1.6981945422097321E-4</v>
      </c>
      <c r="S288" s="2"/>
      <c r="T288" s="2">
        <f>--77432.28</f>
        <v>77432.28</v>
      </c>
      <c r="U288" s="2"/>
      <c r="V288" s="19">
        <f t="shared" si="151"/>
        <v>5.5139696576957473E-3</v>
      </c>
      <c r="W288" s="2"/>
      <c r="X288" s="2">
        <f t="shared" si="152"/>
        <v>-75485.429999999993</v>
      </c>
      <c r="Y288" s="2"/>
      <c r="Z288" s="19">
        <f t="shared" si="153"/>
        <v>-0.97485738505956421</v>
      </c>
    </row>
    <row r="289" spans="1:26" s="24" customFormat="1" hidden="1" outlineLevel="1" x14ac:dyDescent="0.25">
      <c r="A289" s="44"/>
      <c r="B289" s="11" t="str">
        <f>CONCATENATE("          ", "4187", " - ", "NON-TAXABLE SALES-COMPUTER REP")</f>
        <v xml:space="preserve">          4187 - NON-TAXABLE SALES-COMPUTER REP</v>
      </c>
      <c r="C289" s="11"/>
      <c r="D289" s="2">
        <f>--99.99</f>
        <v>99.99</v>
      </c>
      <c r="E289" s="2"/>
      <c r="F289" s="19">
        <f t="shared" si="146"/>
        <v>2.783795088627083E-4</v>
      </c>
      <c r="G289" s="2"/>
      <c r="H289" s="2">
        <f>--423.21</f>
        <v>423.21</v>
      </c>
      <c r="I289" s="2"/>
      <c r="J289" s="19">
        <f t="shared" si="147"/>
        <v>3.4030684273344999E-4</v>
      </c>
      <c r="K289" s="2"/>
      <c r="L289" s="2">
        <f t="shared" si="148"/>
        <v>-323.21999999999997</v>
      </c>
      <c r="M289" s="2"/>
      <c r="N289" s="19">
        <f t="shared" si="149"/>
        <v>-0.76373431629687383</v>
      </c>
      <c r="O289" s="11"/>
      <c r="P289" s="2">
        <f>--16283.19</f>
        <v>16283.19</v>
      </c>
      <c r="Q289" s="2"/>
      <c r="R289" s="19">
        <f t="shared" si="150"/>
        <v>1.4203469393001046E-3</v>
      </c>
      <c r="S289" s="2"/>
      <c r="T289" s="2">
        <f>--7255.58</f>
        <v>7255.58</v>
      </c>
      <c r="U289" s="2"/>
      <c r="V289" s="19">
        <f t="shared" si="151"/>
        <v>5.1667144463502966E-4</v>
      </c>
      <c r="W289" s="2"/>
      <c r="X289" s="2">
        <f t="shared" si="152"/>
        <v>9027.61</v>
      </c>
      <c r="Y289" s="2"/>
      <c r="Z289" s="19">
        <f t="shared" si="153"/>
        <v>1.2442299581839082</v>
      </c>
    </row>
    <row r="290" spans="1:26" s="24" customFormat="1" hidden="1" outlineLevel="1" x14ac:dyDescent="0.25">
      <c r="A290" s="44"/>
      <c r="B290" s="11" t="str">
        <f>CONCATENATE("          ", "4197", " - ", "NON-TAXABLE SALES-RETURNED CHE")</f>
        <v xml:space="preserve">          4197 - NON-TAXABLE SALES-RETURNED CHE</v>
      </c>
      <c r="C290" s="11"/>
      <c r="D290" s="2">
        <f>0</f>
        <v>0</v>
      </c>
      <c r="E290" s="2"/>
      <c r="F290" s="19">
        <f t="shared" si="146"/>
        <v>0</v>
      </c>
      <c r="G290" s="2"/>
      <c r="H290" s="2">
        <f>0</f>
        <v>0</v>
      </c>
      <c r="I290" s="2"/>
      <c r="J290" s="19">
        <f t="shared" si="147"/>
        <v>0</v>
      </c>
      <c r="K290" s="2"/>
      <c r="L290" s="2">
        <f t="shared" si="148"/>
        <v>0</v>
      </c>
      <c r="M290" s="2"/>
      <c r="N290" s="19">
        <f t="shared" si="149"/>
        <v>0</v>
      </c>
      <c r="O290" s="11"/>
      <c r="P290" s="2">
        <f>--30</f>
        <v>30</v>
      </c>
      <c r="Q290" s="2"/>
      <c r="R290" s="19">
        <f t="shared" si="150"/>
        <v>2.6168341816930918E-6</v>
      </c>
      <c r="S290" s="2"/>
      <c r="T290" s="2">
        <f>--335</f>
        <v>335</v>
      </c>
      <c r="U290" s="2"/>
      <c r="V290" s="19">
        <f t="shared" si="151"/>
        <v>2.3855423543360412E-5</v>
      </c>
      <c r="W290" s="2"/>
      <c r="X290" s="2">
        <f t="shared" si="152"/>
        <v>-305</v>
      </c>
      <c r="Y290" s="2"/>
      <c r="Z290" s="19">
        <f t="shared" si="153"/>
        <v>-0.91044776119402981</v>
      </c>
    </row>
    <row r="291" spans="1:26" s="24" customFormat="1" hidden="1" outlineLevel="1" x14ac:dyDescent="0.25">
      <c r="A291" s="44"/>
      <c r="B291" s="11" t="str">
        <f>CONCATENATE("          ", "4198", " - ", "NON-TAXABLE SALES-GRAD RENTALS")</f>
        <v xml:space="preserve">          4198 - NON-TAXABLE SALES-GRAD RENTALS</v>
      </c>
      <c r="C291" s="11"/>
      <c r="D291" s="2">
        <f>-3469.7</f>
        <v>-3469.7</v>
      </c>
      <c r="E291" s="2"/>
      <c r="F291" s="19">
        <f t="shared" si="146"/>
        <v>-9.6598998089902893E-3</v>
      </c>
      <c r="G291" s="2"/>
      <c r="H291" s="2">
        <f>--1245</f>
        <v>1245</v>
      </c>
      <c r="I291" s="2"/>
      <c r="J291" s="19">
        <f t="shared" si="147"/>
        <v>1.0011153309306142E-3</v>
      </c>
      <c r="K291" s="2"/>
      <c r="L291" s="2">
        <f t="shared" si="148"/>
        <v>-4714.7</v>
      </c>
      <c r="M291" s="2"/>
      <c r="N291" s="19">
        <f t="shared" si="149"/>
        <v>-3.7869076305220881</v>
      </c>
      <c r="O291" s="11"/>
      <c r="P291" s="2">
        <f>--163.76</f>
        <v>163.76</v>
      </c>
      <c r="Q291" s="2"/>
      <c r="R291" s="19">
        <f t="shared" si="150"/>
        <v>1.4284425519802024E-5</v>
      </c>
      <c r="S291" s="2"/>
      <c r="T291" s="2">
        <f>--385810.85</f>
        <v>385810.85</v>
      </c>
      <c r="U291" s="2"/>
      <c r="V291" s="19">
        <f t="shared" si="151"/>
        <v>2.7473675326489227E-2</v>
      </c>
      <c r="W291" s="2"/>
      <c r="X291" s="2">
        <f t="shared" si="152"/>
        <v>-385647.08999999997</v>
      </c>
      <c r="Y291" s="2"/>
      <c r="Z291" s="19">
        <f t="shared" si="153"/>
        <v>-0.99957554330055776</v>
      </c>
    </row>
    <row r="292" spans="1:26" s="24" customFormat="1" hidden="1" outlineLevel="1" x14ac:dyDescent="0.25">
      <c r="A292" s="44"/>
      <c r="B292" s="11" t="str">
        <f>CONCATENATE("          ", "4387", " - ", "SALES RETURN NON TAXABLE-COMPU")</f>
        <v xml:space="preserve">          4387 - SALES RETURN NON TAXABLE-COMPU</v>
      </c>
      <c r="C292" s="11"/>
      <c r="D292" s="2">
        <f>0</f>
        <v>0</v>
      </c>
      <c r="E292" s="2"/>
      <c r="F292" s="19">
        <f t="shared" si="146"/>
        <v>0</v>
      </c>
      <c r="G292" s="2"/>
      <c r="H292" s="2">
        <f t="shared" ref="H292:H293" si="154">0</f>
        <v>0</v>
      </c>
      <c r="I292" s="2"/>
      <c r="J292" s="19">
        <f t="shared" si="147"/>
        <v>0</v>
      </c>
      <c r="K292" s="2"/>
      <c r="L292" s="2">
        <f t="shared" si="148"/>
        <v>0</v>
      </c>
      <c r="M292" s="2"/>
      <c r="N292" s="19">
        <f t="shared" si="149"/>
        <v>0</v>
      </c>
      <c r="O292" s="11"/>
      <c r="P292" s="2">
        <f>-7889</f>
        <v>-7889</v>
      </c>
      <c r="Q292" s="2"/>
      <c r="R292" s="19">
        <f t="shared" si="150"/>
        <v>-6.8814016197922675E-4</v>
      </c>
      <c r="S292" s="2"/>
      <c r="T292" s="2">
        <f>0</f>
        <v>0</v>
      </c>
      <c r="U292" s="2"/>
      <c r="V292" s="19">
        <f t="shared" si="151"/>
        <v>0</v>
      </c>
      <c r="W292" s="2"/>
      <c r="X292" s="2">
        <f t="shared" si="152"/>
        <v>-7889</v>
      </c>
      <c r="Y292" s="2"/>
      <c r="Z292" s="19">
        <f t="shared" si="153"/>
        <v>0</v>
      </c>
    </row>
    <row r="293" spans="1:26" s="24" customFormat="1" hidden="1" outlineLevel="1" x14ac:dyDescent="0.25">
      <c r="A293" s="44"/>
      <c r="B293" s="11" t="str">
        <f>CONCATENATE("          ", "5087", " - ", "PURCHASES @ COST-COMPUTER REPA")</f>
        <v xml:space="preserve">          5087 - PURCHASES @ COST-COMPUTER REPA</v>
      </c>
      <c r="C293" s="11"/>
      <c r="D293" s="2">
        <f>--32.7</f>
        <v>32.700000000000003</v>
      </c>
      <c r="E293" s="2"/>
      <c r="F293" s="19">
        <f t="shared" si="146"/>
        <v>9.1039203318437465E-5</v>
      </c>
      <c r="G293" s="2"/>
      <c r="H293" s="2">
        <f t="shared" si="154"/>
        <v>0</v>
      </c>
      <c r="I293" s="2"/>
      <c r="J293" s="19">
        <f t="shared" si="147"/>
        <v>0</v>
      </c>
      <c r="K293" s="2"/>
      <c r="L293" s="2">
        <f t="shared" si="148"/>
        <v>32.700000000000003</v>
      </c>
      <c r="M293" s="2"/>
      <c r="N293" s="19">
        <f t="shared" si="149"/>
        <v>0</v>
      </c>
      <c r="O293" s="11"/>
      <c r="P293" s="2">
        <f>-72.06</f>
        <v>-72.06</v>
      </c>
      <c r="Q293" s="2"/>
      <c r="R293" s="19">
        <f t="shared" si="150"/>
        <v>-6.2856357044268067E-6</v>
      </c>
      <c r="S293" s="2"/>
      <c r="T293" s="2">
        <f>-240.2</f>
        <v>-240.2</v>
      </c>
      <c r="U293" s="2"/>
      <c r="V293" s="19">
        <f t="shared" si="151"/>
        <v>-1.7104694731687076E-5</v>
      </c>
      <c r="W293" s="2"/>
      <c r="X293" s="2">
        <f t="shared" si="152"/>
        <v>168.14</v>
      </c>
      <c r="Y293" s="2"/>
      <c r="Z293" s="19">
        <f t="shared" si="153"/>
        <v>-0.7</v>
      </c>
    </row>
    <row r="294" spans="1:26" s="24" customFormat="1" hidden="1" outlineLevel="1" x14ac:dyDescent="0.25">
      <c r="A294" s="44"/>
      <c r="B294" s="11" t="str">
        <f>CONCATENATE("          ", "9150", " - ", "MISC. INCOME")</f>
        <v xml:space="preserve">          9150 - MISC. INCOME</v>
      </c>
      <c r="C294" s="11"/>
      <c r="D294" s="2">
        <f>--47845.19</f>
        <v>47845.19</v>
      </c>
      <c r="E294" s="2"/>
      <c r="F294" s="19">
        <f t="shared" si="146"/>
        <v>0.13320452538896854</v>
      </c>
      <c r="G294" s="2"/>
      <c r="H294" s="2">
        <f>--33611.39</f>
        <v>33611.39</v>
      </c>
      <c r="I294" s="2"/>
      <c r="J294" s="19">
        <f t="shared" si="147"/>
        <v>2.7027211102721237E-2</v>
      </c>
      <c r="K294" s="2"/>
      <c r="L294" s="2">
        <f t="shared" si="148"/>
        <v>14233.800000000003</v>
      </c>
      <c r="M294" s="2"/>
      <c r="N294" s="19">
        <f t="shared" si="149"/>
        <v>0.42348144483164796</v>
      </c>
      <c r="O294" s="11"/>
      <c r="P294" s="2">
        <f>--481078.56</f>
        <v>481078.56</v>
      </c>
      <c r="Q294" s="2"/>
      <c r="R294" s="19">
        <f t="shared" si="150"/>
        <v>4.19634273295897E-2</v>
      </c>
      <c r="S294" s="2"/>
      <c r="T294" s="2">
        <f>--620387.2</f>
        <v>620387.19999999995</v>
      </c>
      <c r="U294" s="2"/>
      <c r="V294" s="19">
        <f t="shared" si="151"/>
        <v>4.4177908707102816E-2</v>
      </c>
      <c r="W294" s="2"/>
      <c r="X294" s="2">
        <f t="shared" si="152"/>
        <v>-139308.63999999996</v>
      </c>
      <c r="Y294" s="2"/>
      <c r="Z294" s="19">
        <f t="shared" si="153"/>
        <v>-0.22455111904307498</v>
      </c>
    </row>
    <row r="295" spans="1:26" s="24" customFormat="1" hidden="1" outlineLevel="1" x14ac:dyDescent="0.25">
      <c r="A295" s="44"/>
      <c r="B295" s="11" t="str">
        <f>CONCATENATE("          ", "9151", " - ", "MISC. INCOME")</f>
        <v xml:space="preserve">          9151 - MISC. INCOME</v>
      </c>
      <c r="C295" s="11"/>
      <c r="D295" s="2">
        <f>0</f>
        <v>0</v>
      </c>
      <c r="E295" s="2"/>
      <c r="F295" s="19">
        <f t="shared" si="146"/>
        <v>0</v>
      </c>
      <c r="G295" s="2"/>
      <c r="H295" s="2">
        <f>--33793.79</f>
        <v>33793.79</v>
      </c>
      <c r="I295" s="2"/>
      <c r="J295" s="19">
        <f t="shared" si="147"/>
        <v>2.7173880529517819E-2</v>
      </c>
      <c r="K295" s="2"/>
      <c r="L295" s="2">
        <f t="shared" si="148"/>
        <v>-33793.79</v>
      </c>
      <c r="M295" s="2"/>
      <c r="N295" s="19">
        <f t="shared" si="149"/>
        <v>-1</v>
      </c>
      <c r="O295" s="11"/>
      <c r="P295" s="2">
        <f>--169392.7</f>
        <v>169392.7</v>
      </c>
      <c r="Q295" s="2"/>
      <c r="R295" s="19">
        <f t="shared" si="150"/>
        <v>1.4775753582976114E-2</v>
      </c>
      <c r="S295" s="2"/>
      <c r="T295" s="2">
        <f>--498.26</f>
        <v>498.26</v>
      </c>
      <c r="U295" s="2"/>
      <c r="V295" s="19">
        <f t="shared" si="151"/>
        <v>3.5481203984223157E-5</v>
      </c>
      <c r="W295" s="2"/>
      <c r="X295" s="2">
        <f t="shared" si="152"/>
        <v>168894.44</v>
      </c>
      <c r="Y295" s="2"/>
      <c r="Z295" s="19">
        <f t="shared" si="153"/>
        <v>338.96849034640547</v>
      </c>
    </row>
    <row r="296" spans="1:26" s="24" customFormat="1" hidden="1" outlineLevel="1" x14ac:dyDescent="0.25">
      <c r="A296" s="44"/>
      <c r="B296" s="11" t="str">
        <f>CONCATENATE("          ", "9152", " - ", "MISC. INCOME")</f>
        <v xml:space="preserve">          9152 - MISC. INCOME</v>
      </c>
      <c r="C296" s="11"/>
      <c r="D296" s="2">
        <f>--5092.84</f>
        <v>5092.84</v>
      </c>
      <c r="E296" s="2"/>
      <c r="F296" s="19">
        <f t="shared" si="146"/>
        <v>1.4178840863249879E-2</v>
      </c>
      <c r="G296" s="2"/>
      <c r="H296" s="2">
        <f>--542.75</f>
        <v>542.75</v>
      </c>
      <c r="I296" s="2"/>
      <c r="J296" s="19">
        <f t="shared" si="147"/>
        <v>4.3642999667677985E-4</v>
      </c>
      <c r="K296" s="2"/>
      <c r="L296" s="2">
        <f t="shared" si="148"/>
        <v>4550.09</v>
      </c>
      <c r="M296" s="2"/>
      <c r="N296" s="19">
        <f t="shared" si="149"/>
        <v>8.3833993551358823</v>
      </c>
      <c r="O296" s="11"/>
      <c r="P296" s="2">
        <f>--9874.89</f>
        <v>9874.89</v>
      </c>
      <c r="Q296" s="2"/>
      <c r="R296" s="19">
        <f t="shared" si="150"/>
        <v>8.6136498974864317E-4</v>
      </c>
      <c r="S296" s="2"/>
      <c r="T296" s="2">
        <f>--11239.64</f>
        <v>11239.64</v>
      </c>
      <c r="U296" s="2"/>
      <c r="V296" s="19">
        <f t="shared" si="151"/>
        <v>8.0037723186535939E-4</v>
      </c>
      <c r="W296" s="2"/>
      <c r="X296" s="2">
        <f t="shared" si="152"/>
        <v>-1364.75</v>
      </c>
      <c r="Y296" s="2"/>
      <c r="Z296" s="19">
        <f t="shared" si="153"/>
        <v>-0.12142292813648836</v>
      </c>
    </row>
    <row r="297" spans="1:26" s="24" customFormat="1" hidden="1" outlineLevel="1" x14ac:dyDescent="0.25">
      <c r="A297" s="44"/>
      <c r="B297" s="11" t="str">
        <f>CONCATENATE("          ", "9153", " - ", "MISC. INCOME")</f>
        <v xml:space="preserve">          9153 - MISC. INCOME</v>
      </c>
      <c r="C297" s="11"/>
      <c r="D297" s="2">
        <f t="shared" ref="D297:D298" si="155">0</f>
        <v>0</v>
      </c>
      <c r="E297" s="2"/>
      <c r="F297" s="19">
        <f t="shared" si="146"/>
        <v>0</v>
      </c>
      <c r="G297" s="2"/>
      <c r="H297" s="2">
        <f>0</f>
        <v>0</v>
      </c>
      <c r="I297" s="2"/>
      <c r="J297" s="19">
        <f t="shared" si="147"/>
        <v>0</v>
      </c>
      <c r="K297" s="2"/>
      <c r="L297" s="2">
        <f t="shared" si="148"/>
        <v>0</v>
      </c>
      <c r="M297" s="2"/>
      <c r="N297" s="19">
        <f t="shared" si="149"/>
        <v>0</v>
      </c>
      <c r="O297" s="11"/>
      <c r="P297" s="2">
        <f>--450</f>
        <v>450</v>
      </c>
      <c r="Q297" s="2"/>
      <c r="R297" s="19">
        <f t="shared" si="150"/>
        <v>3.9252512725396377E-5</v>
      </c>
      <c r="S297" s="2"/>
      <c r="T297" s="2">
        <f>--180</f>
        <v>180</v>
      </c>
      <c r="U297" s="2"/>
      <c r="V297" s="19">
        <f t="shared" si="151"/>
        <v>1.2817839515835444E-5</v>
      </c>
      <c r="W297" s="2"/>
      <c r="X297" s="2">
        <f t="shared" si="152"/>
        <v>270</v>
      </c>
      <c r="Y297" s="2"/>
      <c r="Z297" s="19">
        <f t="shared" si="153"/>
        <v>1.5</v>
      </c>
    </row>
    <row r="298" spans="1:26" s="24" customFormat="1" hidden="1" outlineLevel="1" x14ac:dyDescent="0.25">
      <c r="A298" s="44"/>
      <c r="B298" s="11" t="str">
        <f>CONCATENATE("          ", "9160", " - ", "MISC. INCOME")</f>
        <v xml:space="preserve">          9160 - MISC. INCOME</v>
      </c>
      <c r="C298" s="11"/>
      <c r="D298" s="2">
        <f t="shared" si="155"/>
        <v>0</v>
      </c>
      <c r="E298" s="2"/>
      <c r="F298" s="19">
        <f t="shared" si="146"/>
        <v>0</v>
      </c>
      <c r="G298" s="2"/>
      <c r="H298" s="2">
        <f>-870</f>
        <v>-870</v>
      </c>
      <c r="I298" s="2"/>
      <c r="J298" s="19">
        <f t="shared" si="147"/>
        <v>-6.9957456860211603E-4</v>
      </c>
      <c r="K298" s="2"/>
      <c r="L298" s="2">
        <f t="shared" si="148"/>
        <v>870</v>
      </c>
      <c r="M298" s="2"/>
      <c r="N298" s="19">
        <f t="shared" si="149"/>
        <v>-1</v>
      </c>
      <c r="O298" s="11"/>
      <c r="P298" s="2">
        <f>--22475</f>
        <v>22475</v>
      </c>
      <c r="Q298" s="2"/>
      <c r="R298" s="19">
        <f t="shared" si="150"/>
        <v>1.960444941118408E-3</v>
      </c>
      <c r="S298" s="2"/>
      <c r="T298" s="2">
        <f>--40000</f>
        <v>40000</v>
      </c>
      <c r="U298" s="2"/>
      <c r="V298" s="19">
        <f t="shared" si="151"/>
        <v>2.8484087812967653E-3</v>
      </c>
      <c r="W298" s="2"/>
      <c r="X298" s="2">
        <f t="shared" si="152"/>
        <v>-17525</v>
      </c>
      <c r="Y298" s="2"/>
      <c r="Z298" s="19">
        <f t="shared" si="153"/>
        <v>-0.43812499999999999</v>
      </c>
    </row>
    <row r="299" spans="1:26" s="24" customFormat="1" hidden="1" outlineLevel="1" x14ac:dyDescent="0.25">
      <c r="A299" s="44"/>
      <c r="B299" s="11" t="str">
        <f>CONCATENATE("          ", "9163", " - ", "MISC. INCOME")</f>
        <v xml:space="preserve">          9163 - MISC. INCOME</v>
      </c>
      <c r="C299" s="11"/>
      <c r="D299" s="2">
        <f>--58333.34</f>
        <v>58333.34</v>
      </c>
      <c r="E299" s="2"/>
      <c r="F299" s="19">
        <f t="shared" si="146"/>
        <v>0.16240430582579635</v>
      </c>
      <c r="G299" s="2"/>
      <c r="H299" s="2">
        <f>0</f>
        <v>0</v>
      </c>
      <c r="I299" s="2"/>
      <c r="J299" s="19">
        <f t="shared" si="147"/>
        <v>0</v>
      </c>
      <c r="K299" s="2"/>
      <c r="L299" s="2">
        <f t="shared" si="148"/>
        <v>58333.34</v>
      </c>
      <c r="M299" s="2"/>
      <c r="N299" s="19">
        <f t="shared" si="149"/>
        <v>0</v>
      </c>
      <c r="O299" s="11"/>
      <c r="P299" s="2">
        <f>--488733.84</f>
        <v>488733.84</v>
      </c>
      <c r="Q299" s="2"/>
      <c r="R299" s="19">
        <f t="shared" si="150"/>
        <v>4.2631180608737419E-2</v>
      </c>
      <c r="S299" s="2"/>
      <c r="T299" s="2">
        <f>--68330.75</f>
        <v>68330.75</v>
      </c>
      <c r="U299" s="2"/>
      <c r="V299" s="19">
        <f t="shared" si="151"/>
        <v>4.865847708314849E-3</v>
      </c>
      <c r="W299" s="2"/>
      <c r="X299" s="2">
        <f t="shared" si="152"/>
        <v>420403.09</v>
      </c>
      <c r="Y299" s="2"/>
      <c r="Z299" s="19">
        <f t="shared" si="153"/>
        <v>6.152472934952419</v>
      </c>
    </row>
    <row r="300" spans="1:26" x14ac:dyDescent="0.25">
      <c r="A300" s="9"/>
      <c r="B300" s="10"/>
      <c r="C300" s="10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0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10"/>
      <c r="B301" s="29" t="s">
        <v>3</v>
      </c>
      <c r="C301" s="29"/>
      <c r="D301" s="21">
        <f>+D196-D198+D287</f>
        <v>-35661.920000000144</v>
      </c>
      <c r="E301" s="14"/>
      <c r="F301" s="20">
        <f>IF(D$12=0,0,D301/D$12)</f>
        <v>-9.9285406287641112E-2</v>
      </c>
      <c r="G301" s="14"/>
      <c r="H301" s="21">
        <f>+H196-H198+H287</f>
        <v>197156.04999999938</v>
      </c>
      <c r="I301" s="14"/>
      <c r="J301" s="20">
        <f>IF(H$12=0,0,H301/H$12)</f>
        <v>0.15853489497246756</v>
      </c>
      <c r="K301" s="16"/>
      <c r="L301" s="21">
        <f>+D301-H301</f>
        <v>-232817.96999999951</v>
      </c>
      <c r="M301" s="16"/>
      <c r="N301" s="20">
        <f>IF(H301=0,0,L301/H301)</f>
        <v>-1.1808816924461625</v>
      </c>
      <c r="O301" s="28"/>
      <c r="P301" s="21">
        <f>+P196-P198+P287</f>
        <v>1172740.2900000066</v>
      </c>
      <c r="Q301" s="14"/>
      <c r="R301" s="20">
        <f>IF(P$12=0,0,P301/P$12)</f>
        <v>0.10229556257068954</v>
      </c>
      <c r="S301" s="14"/>
      <c r="T301" s="21">
        <f>+T196-T198+T287</f>
        <v>1855808.4600000107</v>
      </c>
      <c r="U301" s="14"/>
      <c r="V301" s="20">
        <f>IF(T$12=0,0,T301/T$12)</f>
        <v>0.13215252784672143</v>
      </c>
      <c r="W301" s="16"/>
      <c r="X301" s="21">
        <f>+P301-T301</f>
        <v>-683068.17000000412</v>
      </c>
      <c r="Y301" s="16"/>
      <c r="Z301" s="20">
        <f>IF(T301=0,0,X301/T301)</f>
        <v>-0.3680704042053996</v>
      </c>
    </row>
    <row r="302" spans="1:26" x14ac:dyDescent="0.25">
      <c r="A302" s="9"/>
      <c r="B302" s="10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x14ac:dyDescent="0.25">
      <c r="A303" s="51"/>
      <c r="B303" s="10" t="s">
        <v>13</v>
      </c>
      <c r="C303" s="10"/>
      <c r="D303" s="4">
        <v>96645.62</v>
      </c>
      <c r="E303" s="4"/>
      <c r="F303" s="12">
        <f>IF(D$12=0,0,D303/D$12)</f>
        <v>0.2690685091442338</v>
      </c>
      <c r="G303" s="4"/>
      <c r="H303" s="4">
        <v>130070.93999999999</v>
      </c>
      <c r="I303" s="4"/>
      <c r="J303" s="12">
        <f>IF(H$12=0,0,H303/H$12)</f>
        <v>0.10459117441169161</v>
      </c>
      <c r="K303" s="4"/>
      <c r="L303" s="4">
        <f>+D303-H303</f>
        <v>-33425.319999999992</v>
      </c>
      <c r="M303" s="4"/>
      <c r="N303" s="12">
        <f>IF(H303=0,0,L303/H303)</f>
        <v>-0.25697761544584818</v>
      </c>
      <c r="O303" s="10"/>
      <c r="P303" s="4">
        <v>1357544.38</v>
      </c>
      <c r="Q303" s="4"/>
      <c r="R303" s="12">
        <f>IF(P$12=0,0,P303/P$12)</f>
        <v>0.11841561789164519</v>
      </c>
      <c r="S303" s="4"/>
      <c r="T303" s="4">
        <v>1460669.21</v>
      </c>
      <c r="U303" s="4"/>
      <c r="V303" s="12">
        <f>IF(T$12=0,0,T303/T$12)</f>
        <v>0.10401457510834523</v>
      </c>
      <c r="W303" s="4"/>
      <c r="X303" s="4">
        <f>+P303-T303</f>
        <v>-103124.83000000007</v>
      </c>
      <c r="Y303" s="4"/>
      <c r="Z303" s="12">
        <f>IF(T303=0,0,X303/T303)</f>
        <v>-7.0601084279718659E-2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ht="15.75" thickBot="1" x14ac:dyDescent="0.3">
      <c r="A305" s="10"/>
      <c r="B305" s="29" t="s">
        <v>4</v>
      </c>
      <c r="C305" s="29"/>
      <c r="D305" s="35">
        <f>+D301-D303</f>
        <v>-132307.54000000015</v>
      </c>
      <c r="E305" s="14"/>
      <c r="F305" s="32">
        <f>IF(D$12=0,0,D305/D$12)</f>
        <v>-0.36835391543187496</v>
      </c>
      <c r="G305" s="14"/>
      <c r="H305" s="35">
        <f>+H301-H303</f>
        <v>67085.109999999389</v>
      </c>
      <c r="I305" s="14"/>
      <c r="J305" s="32">
        <f>IF(H$12=0,0,H305/H$12)</f>
        <v>5.394372056077594E-2</v>
      </c>
      <c r="K305" s="16"/>
      <c r="L305" s="35">
        <f>D305-H305</f>
        <v>-199392.64999999956</v>
      </c>
      <c r="M305" s="16"/>
      <c r="N305" s="32">
        <f>IF(H305=0,0,L305/H305)</f>
        <v>-2.9722340769807394</v>
      </c>
      <c r="O305" s="28"/>
      <c r="P305" s="35">
        <f>+P301-P303</f>
        <v>-184804.08999999333</v>
      </c>
      <c r="Q305" s="14"/>
      <c r="R305" s="32">
        <f>IF(P$12=0,0,P305/P$12)</f>
        <v>-1.6120055320955635E-2</v>
      </c>
      <c r="S305" s="14"/>
      <c r="T305" s="35">
        <f>+T301-T303</f>
        <v>395139.25000001071</v>
      </c>
      <c r="U305" s="14"/>
      <c r="V305" s="32">
        <f>IF(T$12=0,0,T305/T$12)</f>
        <v>2.8137952738376212E-2</v>
      </c>
      <c r="W305" s="16"/>
      <c r="X305" s="35">
        <f>P305-T305</f>
        <v>-579943.34000000404</v>
      </c>
      <c r="Y305" s="16"/>
      <c r="Z305" s="32">
        <f>IF(T305=0,0,X305/T305)</f>
        <v>-1.4676935789091778</v>
      </c>
    </row>
    <row r="306" spans="1:26" ht="15.75" thickTop="1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x14ac:dyDescent="0.25">
      <c r="A307" s="9"/>
      <c r="B307" s="9"/>
      <c r="C307" s="9"/>
      <c r="D307" s="3"/>
      <c r="E307" s="3"/>
      <c r="F307" s="8"/>
      <c r="G307" s="3"/>
      <c r="H307" s="3"/>
      <c r="I307" s="3"/>
      <c r="J307" s="8"/>
      <c r="K307" s="3"/>
      <c r="L307" s="3"/>
      <c r="M307" s="3"/>
      <c r="N307" s="8"/>
      <c r="P307" s="3"/>
      <c r="Q307" s="3"/>
      <c r="R307" s="8"/>
      <c r="S307" s="3"/>
      <c r="T307" s="3"/>
      <c r="U307" s="3"/>
      <c r="V307" s="8"/>
      <c r="W307" s="3"/>
      <c r="X307" s="3"/>
      <c r="Y307" s="3"/>
      <c r="Z307" s="8"/>
    </row>
    <row r="308" spans="1:26" s="23" customFormat="1" ht="15.75" thickBot="1" x14ac:dyDescent="0.3">
      <c r="A308" s="10"/>
      <c r="B308" s="29" t="s">
        <v>5</v>
      </c>
      <c r="C308" s="29"/>
      <c r="D308" s="36">
        <f>SUM(D305:D307)</f>
        <v>-132307.54000000015</v>
      </c>
      <c r="E308" s="14"/>
      <c r="F308" s="33">
        <f>IF(D$12=0,0,D308/D$12)</f>
        <v>-0.36835391543187496</v>
      </c>
      <c r="G308" s="14"/>
      <c r="H308" s="36">
        <f>SUM(H305:H307)</f>
        <v>67085.109999999389</v>
      </c>
      <c r="I308" s="14"/>
      <c r="J308" s="33">
        <f>IF(H$12=0,0,H308/H$12)</f>
        <v>5.394372056077594E-2</v>
      </c>
      <c r="K308" s="16"/>
      <c r="L308" s="36">
        <f>+D308-H308</f>
        <v>-199392.64999999956</v>
      </c>
      <c r="M308" s="16"/>
      <c r="N308" s="33">
        <f>IF(H308=0,0,L308/H308)</f>
        <v>-2.9722340769807394</v>
      </c>
      <c r="O308" s="28"/>
      <c r="P308" s="36">
        <f>SUM(P305:P307)</f>
        <v>-184804.08999999333</v>
      </c>
      <c r="Q308" s="14"/>
      <c r="R308" s="33">
        <f>IF(P$12=0,0,P308/P$12)</f>
        <v>-1.6120055320955635E-2</v>
      </c>
      <c r="S308" s="14"/>
      <c r="T308" s="36">
        <f>SUM(T305:T307)</f>
        <v>395139.25000001071</v>
      </c>
      <c r="U308" s="14"/>
      <c r="V308" s="33">
        <f>IF(T$12=0,0,T308/T$12)</f>
        <v>2.8137952738376212E-2</v>
      </c>
      <c r="W308" s="16"/>
      <c r="X308" s="36">
        <f>+P308-T308</f>
        <v>-579943.34000000404</v>
      </c>
      <c r="Y308" s="16"/>
      <c r="Z308" s="33">
        <f>IF(T308=0,0,X308/T308)</f>
        <v>-1.4676935789091778</v>
      </c>
    </row>
    <row r="309" spans="1:26" ht="15.75" thickTop="1" x14ac:dyDescent="0.25">
      <c r="A309" s="9"/>
      <c r="C309" s="9"/>
      <c r="D309" s="17"/>
      <c r="E309" s="17"/>
      <c r="G309" s="17"/>
      <c r="H309" s="17"/>
      <c r="I309" s="17"/>
      <c r="J309" s="42"/>
      <c r="K309" s="17"/>
      <c r="L309" s="17"/>
      <c r="M309" s="17"/>
      <c r="P309" s="17"/>
      <c r="Q309" s="17"/>
      <c r="R309" s="42"/>
      <c r="S309" s="17"/>
      <c r="T309" s="17"/>
      <c r="U309" s="17"/>
      <c r="V309" s="42"/>
      <c r="W309" s="17"/>
      <c r="X309" s="17"/>
    </row>
    <row r="310" spans="1:26" x14ac:dyDescent="0.25">
      <c r="A310" s="9"/>
      <c r="B310" s="55">
        <v>43992.37480636574</v>
      </c>
      <c r="D310" s="17"/>
      <c r="E310" s="17"/>
      <c r="G310" s="17"/>
      <c r="H310" s="17"/>
      <c r="I310" s="17"/>
      <c r="J310" s="42"/>
      <c r="K310" s="17"/>
      <c r="L310" s="17"/>
      <c r="M310" s="17"/>
      <c r="P310" s="17"/>
      <c r="Q310" s="17"/>
      <c r="R310" s="42"/>
      <c r="S310" s="17"/>
      <c r="T310" s="17"/>
      <c r="U310" s="17"/>
      <c r="V310" s="42"/>
      <c r="W310" s="17"/>
      <c r="X310" s="17"/>
    </row>
    <row r="311" spans="1:26" x14ac:dyDescent="0.25">
      <c r="A311" s="9"/>
      <c r="B311" s="62" t="s">
        <v>313</v>
      </c>
      <c r="D311" s="17"/>
      <c r="E311" s="17"/>
      <c r="G311" s="17"/>
      <c r="H311" s="17"/>
      <c r="I311" s="17"/>
      <c r="J311" s="42"/>
      <c r="K311" s="17"/>
      <c r="L311" s="17"/>
      <c r="M311" s="17"/>
      <c r="P311" s="17"/>
      <c r="Q311" s="17"/>
      <c r="R311" s="42"/>
      <c r="S311" s="17"/>
      <c r="T311" s="17"/>
      <c r="U311" s="17"/>
      <c r="V311" s="42"/>
      <c r="W311" s="17"/>
      <c r="X311" s="17"/>
    </row>
    <row r="312" spans="1:26" x14ac:dyDescent="0.25">
      <c r="A312" s="9"/>
      <c r="B312" s="53"/>
      <c r="D312" s="17"/>
      <c r="E312" s="17"/>
      <c r="G312" s="17"/>
      <c r="H312" s="17"/>
      <c r="I312" s="17"/>
      <c r="J312" s="42"/>
      <c r="K312" s="17"/>
      <c r="L312" s="17"/>
      <c r="M312" s="17"/>
      <c r="P312" s="17"/>
      <c r="Q312" s="17"/>
      <c r="R312" s="42"/>
      <c r="S312" s="17"/>
      <c r="T312" s="17"/>
      <c r="U312" s="17"/>
      <c r="V312" s="42"/>
      <c r="W312" s="17"/>
      <c r="X312" s="17"/>
    </row>
    <row r="313" spans="1:26" x14ac:dyDescent="0.25">
      <c r="D313" s="17"/>
      <c r="E313" s="17"/>
      <c r="G313" s="17"/>
      <c r="H313" s="17"/>
      <c r="I313" s="17"/>
      <c r="J313" s="42"/>
      <c r="K313" s="17"/>
      <c r="L313" s="17"/>
      <c r="M313" s="17"/>
      <c r="P313" s="17"/>
      <c r="Q313" s="17"/>
      <c r="R313" s="42"/>
      <c r="S313" s="17"/>
      <c r="T313" s="17"/>
      <c r="U313" s="17"/>
      <c r="V313" s="42"/>
      <c r="W313" s="17"/>
      <c r="X313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","301", " - ", "Bookstore Operations")</f>
        <v>Department 301 - Bookstore Operations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20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-20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20</v>
      </c>
      <c r="U15" s="2"/>
      <c r="V15" s="19">
        <f t="shared" si="5"/>
        <v>0</v>
      </c>
      <c r="W15" s="2"/>
      <c r="X15" s="2">
        <f t="shared" si="6"/>
        <v>-20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8"/>
      <c r="P17" s="21">
        <f>P12-P14</f>
        <v>0</v>
      </c>
      <c r="Q17" s="14"/>
      <c r="R17" s="20">
        <f>IF(P$12=0,0,P17/P$12)</f>
        <v>0</v>
      </c>
      <c r="S17" s="14"/>
      <c r="T17" s="21">
        <f>T12-T14</f>
        <v>-20</v>
      </c>
      <c r="U17" s="14"/>
      <c r="V17" s="20">
        <f>IF(T$12=0,0,T17/T$12)</f>
        <v>0</v>
      </c>
      <c r="W17" s="16"/>
      <c r="X17" s="21">
        <f>+P17-T17</f>
        <v>20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64106.86</v>
      </c>
      <c r="E19" s="22"/>
      <c r="F19" s="31">
        <f t="shared" ref="F19:F28" si="8">IF(D$12=0,0,D19/D$12)</f>
        <v>0</v>
      </c>
      <c r="G19" s="22"/>
      <c r="H19" s="22">
        <f>SUM(OSRRefH22x_0)</f>
        <v>122988.87000000002</v>
      </c>
      <c r="I19" s="22"/>
      <c r="J19" s="31">
        <f t="shared" ref="J19:J28" si="9">IF(H$12=0,0,H19/H$12)</f>
        <v>0</v>
      </c>
      <c r="K19" s="4"/>
      <c r="L19" s="22">
        <f t="shared" ref="L19:L28" si="10">+D19-H19</f>
        <v>-58882.010000000024</v>
      </c>
      <c r="M19" s="4"/>
      <c r="N19" s="31">
        <f t="shared" ref="N19:N28" si="11">IF(H19=0,0,L19/H19)</f>
        <v>-0.47875885029271359</v>
      </c>
      <c r="O19" s="10"/>
      <c r="P19" s="22">
        <f>SUM(OSRRefP22x_0)</f>
        <v>1218275.7199999997</v>
      </c>
      <c r="Q19" s="22"/>
      <c r="R19" s="31">
        <f t="shared" ref="R19:R28" si="12">IF(P$12=0,0,P19/P$12)</f>
        <v>0</v>
      </c>
      <c r="S19" s="22"/>
      <c r="T19" s="22">
        <f>SUM(OSRRefT22x_0)</f>
        <v>1465838.9900000005</v>
      </c>
      <c r="U19" s="22"/>
      <c r="V19" s="31">
        <f t="shared" ref="V19:V28" si="13">IF(T$12=0,0,T19/T$12)</f>
        <v>0</v>
      </c>
      <c r="W19" s="4"/>
      <c r="X19" s="22">
        <f t="shared" ref="X19:X28" si="14">+P19-T19</f>
        <v>-247563.27000000072</v>
      </c>
      <c r="Y19" s="4"/>
      <c r="Z19" s="31">
        <f t="shared" ref="Z19:Z28" si="15">IF(T19=0,0,X19/T19)</f>
        <v>-0.16888844660899668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2146.6800000000003</v>
      </c>
      <c r="E20" s="1"/>
      <c r="F20" s="5">
        <f t="shared" si="8"/>
        <v>0</v>
      </c>
      <c r="G20" s="1"/>
      <c r="H20" s="1">
        <f>SUM(OSRRefH22_0x_0)</f>
        <v>14988.910000000002</v>
      </c>
      <c r="I20" s="1"/>
      <c r="J20" s="5">
        <f t="shared" si="9"/>
        <v>0</v>
      </c>
      <c r="K20" s="1"/>
      <c r="L20" s="1">
        <f t="shared" si="10"/>
        <v>-12842.230000000001</v>
      </c>
      <c r="M20" s="1"/>
      <c r="N20" s="5">
        <f t="shared" si="11"/>
        <v>-0.85678211424313044</v>
      </c>
      <c r="O20" s="13"/>
      <c r="P20" s="1">
        <f>SUM(OSRRefP22_0x_0)</f>
        <v>96063.86</v>
      </c>
      <c r="Q20" s="1"/>
      <c r="R20" s="5">
        <f t="shared" si="12"/>
        <v>0</v>
      </c>
      <c r="S20" s="1"/>
      <c r="T20" s="1">
        <f>SUM(OSRRefT22_0x_0)</f>
        <v>148496.03</v>
      </c>
      <c r="U20" s="1"/>
      <c r="V20" s="5">
        <f t="shared" si="13"/>
        <v>0</v>
      </c>
      <c r="W20" s="1"/>
      <c r="X20" s="1">
        <f t="shared" si="14"/>
        <v>-52432.17</v>
      </c>
      <c r="Y20" s="1"/>
      <c r="Z20" s="5">
        <f t="shared" si="15"/>
        <v>-0.35308802531623235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287.33999999999997</v>
      </c>
      <c r="E21" s="2"/>
      <c r="F21" s="7">
        <f t="shared" si="8"/>
        <v>0</v>
      </c>
      <c r="G21" s="2"/>
      <c r="H21" s="6">
        <v>3354.39</v>
      </c>
      <c r="I21" s="2"/>
      <c r="J21" s="7">
        <f t="shared" si="9"/>
        <v>0</v>
      </c>
      <c r="K21" s="2"/>
      <c r="L21" s="6">
        <f t="shared" si="10"/>
        <v>-3067.0499999999997</v>
      </c>
      <c r="M21" s="2"/>
      <c r="N21" s="7">
        <f t="shared" si="11"/>
        <v>-0.91433911978034754</v>
      </c>
      <c r="O21" s="11"/>
      <c r="P21" s="6">
        <v>24641.030000000002</v>
      </c>
      <c r="Q21" s="2"/>
      <c r="R21" s="7">
        <f t="shared" si="12"/>
        <v>0</v>
      </c>
      <c r="S21" s="2"/>
      <c r="T21" s="6">
        <v>25749.05</v>
      </c>
      <c r="U21" s="2"/>
      <c r="V21" s="7">
        <f t="shared" si="13"/>
        <v>0</v>
      </c>
      <c r="W21" s="2"/>
      <c r="X21" s="6">
        <f t="shared" si="14"/>
        <v>-1108.0199999999968</v>
      </c>
      <c r="Y21" s="2"/>
      <c r="Z21" s="7">
        <f t="shared" si="15"/>
        <v>-4.3031490482173008E-2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19.16</v>
      </c>
      <c r="E22" s="2"/>
      <c r="F22" s="7">
        <f t="shared" si="8"/>
        <v>0</v>
      </c>
      <c r="G22" s="2"/>
      <c r="H22" s="6">
        <v>468.61</v>
      </c>
      <c r="I22" s="2"/>
      <c r="J22" s="7">
        <f t="shared" si="9"/>
        <v>0</v>
      </c>
      <c r="K22" s="2"/>
      <c r="L22" s="6">
        <f t="shared" si="10"/>
        <v>-449.45</v>
      </c>
      <c r="M22" s="2"/>
      <c r="N22" s="7">
        <f t="shared" si="11"/>
        <v>-0.95911312178570662</v>
      </c>
      <c r="O22" s="11"/>
      <c r="P22" s="6">
        <v>6252.19</v>
      </c>
      <c r="Q22" s="2"/>
      <c r="R22" s="7">
        <f t="shared" si="12"/>
        <v>0</v>
      </c>
      <c r="S22" s="2"/>
      <c r="T22" s="6">
        <v>4069.89</v>
      </c>
      <c r="U22" s="2"/>
      <c r="V22" s="7">
        <f t="shared" si="13"/>
        <v>0</v>
      </c>
      <c r="W22" s="2"/>
      <c r="X22" s="6">
        <f t="shared" si="14"/>
        <v>2182.2999999999997</v>
      </c>
      <c r="Y22" s="2"/>
      <c r="Z22" s="7">
        <f t="shared" si="15"/>
        <v>0.53620613824943664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905.2</v>
      </c>
      <c r="E23" s="2"/>
      <c r="F23" s="7">
        <f t="shared" si="8"/>
        <v>0</v>
      </c>
      <c r="G23" s="2"/>
      <c r="H23" s="6">
        <v>5472.97</v>
      </c>
      <c r="I23" s="2"/>
      <c r="J23" s="7">
        <f t="shared" si="9"/>
        <v>0</v>
      </c>
      <c r="K23" s="2"/>
      <c r="L23" s="6">
        <f t="shared" si="10"/>
        <v>-4567.7700000000004</v>
      </c>
      <c r="M23" s="2"/>
      <c r="N23" s="7">
        <f t="shared" si="11"/>
        <v>-0.83460534225475391</v>
      </c>
      <c r="O23" s="11"/>
      <c r="P23" s="6">
        <v>38789.5</v>
      </c>
      <c r="Q23" s="2"/>
      <c r="R23" s="7">
        <f t="shared" si="12"/>
        <v>0</v>
      </c>
      <c r="S23" s="2"/>
      <c r="T23" s="6">
        <v>62107.149999999994</v>
      </c>
      <c r="U23" s="2"/>
      <c r="V23" s="7">
        <f t="shared" si="13"/>
        <v>0</v>
      </c>
      <c r="W23" s="2"/>
      <c r="X23" s="6">
        <f t="shared" si="14"/>
        <v>-23317.649999999994</v>
      </c>
      <c r="Y23" s="2"/>
      <c r="Z23" s="7">
        <f t="shared" si="15"/>
        <v>-0.37544227999513735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14.65</v>
      </c>
      <c r="E24" s="2"/>
      <c r="F24" s="7">
        <f t="shared" si="8"/>
        <v>0</v>
      </c>
      <c r="G24" s="2"/>
      <c r="H24" s="6">
        <v>134.22999999999999</v>
      </c>
      <c r="I24" s="2"/>
      <c r="J24" s="7">
        <f t="shared" si="9"/>
        <v>0</v>
      </c>
      <c r="K24" s="2"/>
      <c r="L24" s="6">
        <f t="shared" si="10"/>
        <v>-119.57999999999998</v>
      </c>
      <c r="M24" s="2"/>
      <c r="N24" s="7">
        <f t="shared" si="11"/>
        <v>-0.890858973403859</v>
      </c>
      <c r="O24" s="11"/>
      <c r="P24" s="6">
        <v>1316.72</v>
      </c>
      <c r="Q24" s="2"/>
      <c r="R24" s="7">
        <f t="shared" si="12"/>
        <v>0</v>
      </c>
      <c r="S24" s="2"/>
      <c r="T24" s="6">
        <v>1440.97</v>
      </c>
      <c r="U24" s="2"/>
      <c r="V24" s="7">
        <f t="shared" si="13"/>
        <v>0</v>
      </c>
      <c r="W24" s="2"/>
      <c r="X24" s="6">
        <f t="shared" si="14"/>
        <v>-124.25</v>
      </c>
      <c r="Y24" s="2"/>
      <c r="Z24" s="7">
        <f t="shared" si="15"/>
        <v>-8.6226639000117969E-2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390.79</v>
      </c>
      <c r="E25" s="2"/>
      <c r="F25" s="7">
        <f t="shared" si="8"/>
        <v>0</v>
      </c>
      <c r="G25" s="2"/>
      <c r="H25" s="6">
        <v>1586.43</v>
      </c>
      <c r="I25" s="2"/>
      <c r="J25" s="7">
        <f t="shared" si="9"/>
        <v>0</v>
      </c>
      <c r="K25" s="2"/>
      <c r="L25" s="6">
        <f t="shared" si="10"/>
        <v>-1195.6400000000001</v>
      </c>
      <c r="M25" s="2"/>
      <c r="N25" s="7">
        <f t="shared" si="11"/>
        <v>-0.75366703857087936</v>
      </c>
      <c r="O25" s="11"/>
      <c r="P25" s="6">
        <v>20851.21</v>
      </c>
      <c r="Q25" s="2"/>
      <c r="R25" s="7">
        <f t="shared" si="12"/>
        <v>0</v>
      </c>
      <c r="S25" s="2"/>
      <c r="T25" s="6">
        <v>20545.289999999997</v>
      </c>
      <c r="U25" s="2"/>
      <c r="V25" s="7">
        <f t="shared" si="13"/>
        <v>0</v>
      </c>
      <c r="W25" s="2"/>
      <c r="X25" s="6">
        <f t="shared" si="14"/>
        <v>305.92000000000189</v>
      </c>
      <c r="Y25" s="2"/>
      <c r="Z25" s="7">
        <f t="shared" si="15"/>
        <v>1.4890030756441108E-2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353.19</v>
      </c>
      <c r="E26" s="2"/>
      <c r="F26" s="7">
        <f t="shared" si="8"/>
        <v>0</v>
      </c>
      <c r="G26" s="2"/>
      <c r="H26" s="6">
        <v>2221.77</v>
      </c>
      <c r="I26" s="2"/>
      <c r="J26" s="7">
        <f t="shared" si="9"/>
        <v>0</v>
      </c>
      <c r="K26" s="2"/>
      <c r="L26" s="6">
        <f t="shared" si="10"/>
        <v>-1868.58</v>
      </c>
      <c r="M26" s="2"/>
      <c r="N26" s="7">
        <f t="shared" si="11"/>
        <v>-0.84103215004253362</v>
      </c>
      <c r="O26" s="11"/>
      <c r="P26" s="6">
        <v>15769.710000000001</v>
      </c>
      <c r="Q26" s="2"/>
      <c r="R26" s="7">
        <f t="shared" si="12"/>
        <v>0</v>
      </c>
      <c r="S26" s="2"/>
      <c r="T26" s="6">
        <v>18566.68</v>
      </c>
      <c r="U26" s="2"/>
      <c r="V26" s="7">
        <f t="shared" si="13"/>
        <v>0</v>
      </c>
      <c r="W26" s="2"/>
      <c r="X26" s="6">
        <f t="shared" si="14"/>
        <v>-2796.9699999999993</v>
      </c>
      <c r="Y26" s="2"/>
      <c r="Z26" s="7">
        <f t="shared" si="15"/>
        <v>-0.15064459558736398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176.35</v>
      </c>
      <c r="E27" s="2"/>
      <c r="F27" s="7">
        <f t="shared" si="8"/>
        <v>0</v>
      </c>
      <c r="G27" s="2"/>
      <c r="H27" s="6">
        <v>1317.47</v>
      </c>
      <c r="I27" s="2"/>
      <c r="J27" s="7">
        <f t="shared" si="9"/>
        <v>0</v>
      </c>
      <c r="K27" s="2"/>
      <c r="L27" s="6">
        <f t="shared" si="10"/>
        <v>-1141.1200000000001</v>
      </c>
      <c r="M27" s="2"/>
      <c r="N27" s="7">
        <f t="shared" si="11"/>
        <v>-0.86614495965752547</v>
      </c>
      <c r="O27" s="11"/>
      <c r="P27" s="6">
        <v>-14549.11</v>
      </c>
      <c r="Q27" s="2"/>
      <c r="R27" s="7">
        <f t="shared" si="12"/>
        <v>0</v>
      </c>
      <c r="S27" s="2"/>
      <c r="T27" s="6">
        <v>11675.81</v>
      </c>
      <c r="U27" s="2"/>
      <c r="V27" s="7">
        <f t="shared" si="13"/>
        <v>0</v>
      </c>
      <c r="W27" s="2"/>
      <c r="X27" s="6">
        <f t="shared" si="14"/>
        <v>-26224.92</v>
      </c>
      <c r="Y27" s="2"/>
      <c r="Z27" s="7">
        <f t="shared" si="15"/>
        <v>-2.2460899928998503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8"/>
        <v>0</v>
      </c>
      <c r="G28" s="2"/>
      <c r="H28" s="6">
        <v>433.04</v>
      </c>
      <c r="I28" s="2"/>
      <c r="J28" s="7">
        <f t="shared" si="9"/>
        <v>0</v>
      </c>
      <c r="K28" s="2"/>
      <c r="L28" s="6">
        <f t="shared" si="10"/>
        <v>-433.04</v>
      </c>
      <c r="M28" s="2"/>
      <c r="N28" s="7">
        <f t="shared" si="11"/>
        <v>-1</v>
      </c>
      <c r="O28" s="11"/>
      <c r="P28" s="6">
        <v>2992.61</v>
      </c>
      <c r="Q28" s="2"/>
      <c r="R28" s="7">
        <f t="shared" si="12"/>
        <v>0</v>
      </c>
      <c r="S28" s="2"/>
      <c r="T28" s="6">
        <v>4341.1899999999996</v>
      </c>
      <c r="U28" s="2"/>
      <c r="V28" s="7">
        <f t="shared" si="13"/>
        <v>0</v>
      </c>
      <c r="W28" s="2"/>
      <c r="X28" s="6">
        <f t="shared" si="14"/>
        <v>-1348.5799999999995</v>
      </c>
      <c r="Y28" s="2"/>
      <c r="Z28" s="7">
        <f t="shared" si="15"/>
        <v>-0.31064754134235073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3823.4</v>
      </c>
      <c r="E29" s="1"/>
      <c r="F29" s="5">
        <f t="shared" ref="F29:F36" si="16">IF(D$12=0,0,D29/D$12)</f>
        <v>0</v>
      </c>
      <c r="G29" s="1"/>
      <c r="H29" s="1">
        <f>SUM(OSRRefH22_1x_0)</f>
        <v>46622.5</v>
      </c>
      <c r="I29" s="1"/>
      <c r="J29" s="5">
        <f t="shared" ref="J29:J36" si="17">IF(H$12=0,0,H29/H$12)</f>
        <v>0</v>
      </c>
      <c r="K29" s="1"/>
      <c r="L29" s="1">
        <f t="shared" ref="L29:L36" si="18">+D29-H29</f>
        <v>-42799.1</v>
      </c>
      <c r="M29" s="1"/>
      <c r="N29" s="5">
        <f t="shared" ref="N29:N36" si="19">IF(H29=0,0,L29/H29)</f>
        <v>-0.91799238565070507</v>
      </c>
      <c r="O29" s="13"/>
      <c r="P29" s="1">
        <f>SUM(OSRRefP22_1x_0)</f>
        <v>389798.35</v>
      </c>
      <c r="Q29" s="1"/>
      <c r="R29" s="5">
        <f t="shared" ref="R29:R36" si="20">IF(P$12=0,0,P29/P$12)</f>
        <v>0</v>
      </c>
      <c r="S29" s="1"/>
      <c r="T29" s="1">
        <f>SUM(OSRRefT22_1x_0)</f>
        <v>476926.36</v>
      </c>
      <c r="U29" s="1"/>
      <c r="V29" s="5">
        <f t="shared" ref="V29:V36" si="21">IF(T$12=0,0,T29/T$12)</f>
        <v>0</v>
      </c>
      <c r="W29" s="1"/>
      <c r="X29" s="1">
        <f t="shared" ref="X29:X36" si="22">+P29-T29</f>
        <v>-87128.010000000009</v>
      </c>
      <c r="Y29" s="1"/>
      <c r="Z29" s="5">
        <f t="shared" ref="Z29:Z36" si="23">IF(T29=0,0,X29/T29)</f>
        <v>-0.18268650531289571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11966</v>
      </c>
      <c r="I30" s="2"/>
      <c r="J30" s="7">
        <f t="shared" si="17"/>
        <v>0</v>
      </c>
      <c r="K30" s="2"/>
      <c r="L30" s="6">
        <f t="shared" si="18"/>
        <v>-11966</v>
      </c>
      <c r="M30" s="2"/>
      <c r="N30" s="7">
        <f t="shared" si="19"/>
        <v>-1</v>
      </c>
      <c r="O30" s="11"/>
      <c r="P30" s="6">
        <v>93238.31</v>
      </c>
      <c r="Q30" s="2"/>
      <c r="R30" s="7">
        <f t="shared" si="20"/>
        <v>0</v>
      </c>
      <c r="S30" s="2"/>
      <c r="T30" s="6">
        <v>118617</v>
      </c>
      <c r="U30" s="2"/>
      <c r="V30" s="7">
        <f t="shared" si="21"/>
        <v>0</v>
      </c>
      <c r="W30" s="2"/>
      <c r="X30" s="6">
        <f t="shared" si="22"/>
        <v>-25378.690000000002</v>
      </c>
      <c r="Y30" s="2"/>
      <c r="Z30" s="7">
        <f t="shared" si="23"/>
        <v>-0.21395491371388589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3823.4</v>
      </c>
      <c r="E31" s="2"/>
      <c r="F31" s="7">
        <f t="shared" si="16"/>
        <v>0</v>
      </c>
      <c r="G31" s="2"/>
      <c r="H31" s="6">
        <v>9238.74</v>
      </c>
      <c r="I31" s="2"/>
      <c r="J31" s="7">
        <f t="shared" si="17"/>
        <v>0</v>
      </c>
      <c r="K31" s="2"/>
      <c r="L31" s="6">
        <f t="shared" si="18"/>
        <v>-5415.34</v>
      </c>
      <c r="M31" s="2"/>
      <c r="N31" s="7">
        <f t="shared" si="19"/>
        <v>-0.58615568789683448</v>
      </c>
      <c r="O31" s="11"/>
      <c r="P31" s="6">
        <v>64833.599999999999</v>
      </c>
      <c r="Q31" s="2"/>
      <c r="R31" s="7">
        <f t="shared" si="20"/>
        <v>0</v>
      </c>
      <c r="S31" s="2"/>
      <c r="T31" s="6">
        <v>89386.81</v>
      </c>
      <c r="U31" s="2"/>
      <c r="V31" s="7">
        <f t="shared" si="21"/>
        <v>0</v>
      </c>
      <c r="W31" s="2"/>
      <c r="X31" s="6">
        <f t="shared" si="22"/>
        <v>-24553.21</v>
      </c>
      <c r="Y31" s="2"/>
      <c r="Z31" s="7">
        <f t="shared" si="23"/>
        <v>-0.27468493394047733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-1647.01</v>
      </c>
      <c r="Q32" s="2"/>
      <c r="R32" s="7">
        <f t="shared" si="20"/>
        <v>0</v>
      </c>
      <c r="S32" s="2"/>
      <c r="T32" s="6">
        <v>-1220</v>
      </c>
      <c r="U32" s="2"/>
      <c r="V32" s="7">
        <f t="shared" si="21"/>
        <v>0</v>
      </c>
      <c r="W32" s="2"/>
      <c r="X32" s="6">
        <f t="shared" si="22"/>
        <v>-427.01</v>
      </c>
      <c r="Y32" s="2"/>
      <c r="Z32" s="7">
        <f t="shared" si="23"/>
        <v>0.35000819672131145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16"/>
        <v>0</v>
      </c>
      <c r="G33" s="2"/>
      <c r="H33" s="6">
        <v>10426.51</v>
      </c>
      <c r="I33" s="2"/>
      <c r="J33" s="7">
        <f t="shared" si="17"/>
        <v>0</v>
      </c>
      <c r="K33" s="2"/>
      <c r="L33" s="6">
        <f t="shared" si="18"/>
        <v>-10426.51</v>
      </c>
      <c r="M33" s="2"/>
      <c r="N33" s="7">
        <f t="shared" si="19"/>
        <v>-1</v>
      </c>
      <c r="O33" s="11"/>
      <c r="P33" s="6">
        <v>59852.88</v>
      </c>
      <c r="Q33" s="2"/>
      <c r="R33" s="7">
        <f t="shared" si="20"/>
        <v>0</v>
      </c>
      <c r="S33" s="2"/>
      <c r="T33" s="6">
        <v>59706.919999999991</v>
      </c>
      <c r="U33" s="2"/>
      <c r="V33" s="7">
        <f t="shared" si="21"/>
        <v>0</v>
      </c>
      <c r="W33" s="2"/>
      <c r="X33" s="6">
        <f t="shared" si="22"/>
        <v>145.9600000000064</v>
      </c>
      <c r="Y33" s="2"/>
      <c r="Z33" s="7">
        <f t="shared" si="23"/>
        <v>2.4446077607085817E-3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16"/>
        <v>0</v>
      </c>
      <c r="G34" s="2"/>
      <c r="H34" s="6">
        <v>486</v>
      </c>
      <c r="I34" s="2"/>
      <c r="J34" s="7">
        <f t="shared" si="17"/>
        <v>0</v>
      </c>
      <c r="K34" s="2"/>
      <c r="L34" s="6">
        <f t="shared" si="18"/>
        <v>-486</v>
      </c>
      <c r="M34" s="2"/>
      <c r="N34" s="7">
        <f t="shared" si="19"/>
        <v>-1</v>
      </c>
      <c r="O34" s="11"/>
      <c r="P34" s="6">
        <v>11923.01</v>
      </c>
      <c r="Q34" s="2"/>
      <c r="R34" s="7">
        <f t="shared" si="20"/>
        <v>0</v>
      </c>
      <c r="S34" s="2"/>
      <c r="T34" s="6">
        <v>4003.37</v>
      </c>
      <c r="U34" s="2"/>
      <c r="V34" s="7">
        <f t="shared" si="21"/>
        <v>0</v>
      </c>
      <c r="W34" s="2"/>
      <c r="X34" s="6">
        <f t="shared" si="22"/>
        <v>7919.64</v>
      </c>
      <c r="Y34" s="2"/>
      <c r="Z34" s="7">
        <f t="shared" si="23"/>
        <v>1.9782433299944797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16"/>
        <v>0</v>
      </c>
      <c r="G35" s="2"/>
      <c r="H35" s="6">
        <v>13293.25</v>
      </c>
      <c r="I35" s="2"/>
      <c r="J35" s="7">
        <f t="shared" si="17"/>
        <v>0</v>
      </c>
      <c r="K35" s="2"/>
      <c r="L35" s="6">
        <f t="shared" si="18"/>
        <v>-13293.25</v>
      </c>
      <c r="M35" s="2"/>
      <c r="N35" s="7">
        <f t="shared" si="19"/>
        <v>-1</v>
      </c>
      <c r="O35" s="11"/>
      <c r="P35" s="6">
        <v>159329.81999999998</v>
      </c>
      <c r="Q35" s="2"/>
      <c r="R35" s="7">
        <f t="shared" si="20"/>
        <v>0</v>
      </c>
      <c r="S35" s="2"/>
      <c r="T35" s="6">
        <v>198678.75999999998</v>
      </c>
      <c r="U35" s="2"/>
      <c r="V35" s="7">
        <f t="shared" si="21"/>
        <v>0</v>
      </c>
      <c r="W35" s="2"/>
      <c r="X35" s="6">
        <f t="shared" si="22"/>
        <v>-39348.94</v>
      </c>
      <c r="Y35" s="2"/>
      <c r="Z35" s="7">
        <f t="shared" si="23"/>
        <v>-0.1980530782455055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6"/>
        <v>0</v>
      </c>
      <c r="G36" s="2"/>
      <c r="H36" s="6">
        <v>1212</v>
      </c>
      <c r="I36" s="2"/>
      <c r="J36" s="7">
        <f t="shared" si="17"/>
        <v>0</v>
      </c>
      <c r="K36" s="2"/>
      <c r="L36" s="6">
        <f t="shared" si="18"/>
        <v>-1212</v>
      </c>
      <c r="M36" s="2"/>
      <c r="N36" s="7">
        <f t="shared" si="19"/>
        <v>-1</v>
      </c>
      <c r="O36" s="11"/>
      <c r="P36" s="6">
        <v>2267.7399999999998</v>
      </c>
      <c r="Q36" s="2"/>
      <c r="R36" s="7">
        <f t="shared" si="20"/>
        <v>0</v>
      </c>
      <c r="S36" s="2"/>
      <c r="T36" s="6">
        <v>7753.5</v>
      </c>
      <c r="U36" s="2"/>
      <c r="V36" s="7">
        <f t="shared" si="21"/>
        <v>0</v>
      </c>
      <c r="W36" s="2"/>
      <c r="X36" s="6">
        <f t="shared" si="22"/>
        <v>-5485.76</v>
      </c>
      <c r="Y36" s="2"/>
      <c r="Z36" s="7">
        <f t="shared" si="23"/>
        <v>-0.70752047462436318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1" si="24">IF(D$12=0,0,D37/D$12)</f>
        <v>0</v>
      </c>
      <c r="G37" s="1"/>
      <c r="H37" s="1">
        <f>SUM(OSRRefH22_2x_0)</f>
        <v>665.94</v>
      </c>
      <c r="I37" s="1"/>
      <c r="J37" s="5">
        <f t="shared" ref="J37:J41" si="25">IF(H$12=0,0,H37/H$12)</f>
        <v>0</v>
      </c>
      <c r="K37" s="1"/>
      <c r="L37" s="1">
        <f t="shared" ref="L37:L41" si="26">+D37-H37</f>
        <v>-665.94</v>
      </c>
      <c r="M37" s="1"/>
      <c r="N37" s="5">
        <f t="shared" ref="N37:N41" si="27">IF(H37=0,0,L37/H37)</f>
        <v>-1</v>
      </c>
      <c r="O37" s="13"/>
      <c r="P37" s="1">
        <f>SUM(OSRRefP22_2x_0)</f>
        <v>14215.07</v>
      </c>
      <c r="Q37" s="1"/>
      <c r="R37" s="5">
        <f t="shared" ref="R37:R41" si="28">IF(P$12=0,0,P37/P$12)</f>
        <v>0</v>
      </c>
      <c r="S37" s="1"/>
      <c r="T37" s="1">
        <f>SUM(OSRRefT22_2x_0)</f>
        <v>38242.97</v>
      </c>
      <c r="U37" s="1"/>
      <c r="V37" s="5">
        <f t="shared" ref="V37:V41" si="29">IF(T$12=0,0,T37/T$12)</f>
        <v>0</v>
      </c>
      <c r="W37" s="1"/>
      <c r="X37" s="1">
        <f t="shared" ref="X37:X41" si="30">+P37-T37</f>
        <v>-24027.9</v>
      </c>
      <c r="Y37" s="1"/>
      <c r="Z37" s="5">
        <f t="shared" ref="Z37:Z41" si="31">IF(T37=0,0,X37/T37)</f>
        <v>-0.62829586718813946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4"/>
        <v>0</v>
      </c>
      <c r="G38" s="2"/>
      <c r="H38" s="6">
        <v>665.94</v>
      </c>
      <c r="I38" s="2"/>
      <c r="J38" s="7">
        <f t="shared" si="25"/>
        <v>0</v>
      </c>
      <c r="K38" s="2"/>
      <c r="L38" s="6">
        <f t="shared" si="26"/>
        <v>-665.94</v>
      </c>
      <c r="M38" s="2"/>
      <c r="N38" s="7">
        <f t="shared" si="27"/>
        <v>-1</v>
      </c>
      <c r="O38" s="11"/>
      <c r="P38" s="6">
        <v>14215.07</v>
      </c>
      <c r="Q38" s="2"/>
      <c r="R38" s="7">
        <f t="shared" si="28"/>
        <v>0</v>
      </c>
      <c r="S38" s="2"/>
      <c r="T38" s="6">
        <v>38242.97</v>
      </c>
      <c r="U38" s="2"/>
      <c r="V38" s="7">
        <f t="shared" si="29"/>
        <v>0</v>
      </c>
      <c r="W38" s="2"/>
      <c r="X38" s="6">
        <f t="shared" si="30"/>
        <v>-24027.9</v>
      </c>
      <c r="Y38" s="2"/>
      <c r="Z38" s="7">
        <f t="shared" si="31"/>
        <v>-0.62829586718813946</v>
      </c>
    </row>
    <row r="39" spans="1:26" s="27" customFormat="1" outlineLevel="1" collapsed="1" x14ac:dyDescent="0.25">
      <c r="A39" s="25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-4.55</v>
      </c>
      <c r="E39" s="1"/>
      <c r="F39" s="5">
        <f t="shared" si="24"/>
        <v>0</v>
      </c>
      <c r="G39" s="1"/>
      <c r="H39" s="1">
        <f>SUM(OSRRefH22_3x_0)</f>
        <v>-1173.8499999999999</v>
      </c>
      <c r="I39" s="1"/>
      <c r="J39" s="5">
        <f t="shared" si="25"/>
        <v>0</v>
      </c>
      <c r="K39" s="1"/>
      <c r="L39" s="1">
        <f t="shared" si="26"/>
        <v>1169.3</v>
      </c>
      <c r="M39" s="1"/>
      <c r="N39" s="5">
        <f t="shared" si="27"/>
        <v>-0.99612386591131752</v>
      </c>
      <c r="O39" s="13"/>
      <c r="P39" s="1">
        <f>SUM(OSRRefP22_3x_0)</f>
        <v>-19.53</v>
      </c>
      <c r="Q39" s="1"/>
      <c r="R39" s="5">
        <f t="shared" si="28"/>
        <v>0</v>
      </c>
      <c r="S39" s="1"/>
      <c r="T39" s="1">
        <f>SUM(OSRRefT22_3x_0)</f>
        <v>106.86</v>
      </c>
      <c r="U39" s="1"/>
      <c r="V39" s="5">
        <f t="shared" si="29"/>
        <v>0</v>
      </c>
      <c r="W39" s="1"/>
      <c r="X39" s="1">
        <f t="shared" si="30"/>
        <v>-126.39</v>
      </c>
      <c r="Y39" s="1"/>
      <c r="Z39" s="5">
        <f t="shared" si="31"/>
        <v>-1.1827624929814711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>
        <v>-4.55</v>
      </c>
      <c r="E40" s="2"/>
      <c r="F40" s="7">
        <f t="shared" si="24"/>
        <v>0</v>
      </c>
      <c r="G40" s="2"/>
      <c r="H40" s="6">
        <v>-1173.8499999999999</v>
      </c>
      <c r="I40" s="2"/>
      <c r="J40" s="7">
        <f t="shared" si="25"/>
        <v>0</v>
      </c>
      <c r="K40" s="2"/>
      <c r="L40" s="6">
        <f t="shared" si="26"/>
        <v>1169.3</v>
      </c>
      <c r="M40" s="2"/>
      <c r="N40" s="7">
        <f t="shared" si="27"/>
        <v>-0.99612386591131752</v>
      </c>
      <c r="O40" s="11"/>
      <c r="P40" s="6">
        <v>-64.33</v>
      </c>
      <c r="Q40" s="2"/>
      <c r="R40" s="7">
        <f t="shared" si="28"/>
        <v>0</v>
      </c>
      <c r="S40" s="2"/>
      <c r="T40" s="6">
        <v>106.86</v>
      </c>
      <c r="U40" s="2"/>
      <c r="V40" s="7">
        <f t="shared" si="29"/>
        <v>0</v>
      </c>
      <c r="W40" s="2"/>
      <c r="X40" s="6">
        <f t="shared" si="30"/>
        <v>-171.19</v>
      </c>
      <c r="Y40" s="2"/>
      <c r="Z40" s="7">
        <f t="shared" si="31"/>
        <v>-1.6020026202507953</v>
      </c>
    </row>
    <row r="41" spans="1:26" s="24" customFormat="1" hidden="1" outlineLevel="2" x14ac:dyDescent="0.25">
      <c r="A41" s="26"/>
      <c r="B41" s="11" t="str">
        <f>CONCATENATE("          ", "6342", " - ", "BAD DEBT")</f>
        <v xml:space="preserve">          6342 - BAD DEBT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>
        <v>44.8</v>
      </c>
      <c r="Q41" s="2"/>
      <c r="R41" s="7">
        <f t="shared" si="28"/>
        <v>0</v>
      </c>
      <c r="S41" s="2"/>
      <c r="T41" s="6"/>
      <c r="U41" s="2"/>
      <c r="V41" s="7">
        <f t="shared" si="29"/>
        <v>0</v>
      </c>
      <c r="W41" s="2"/>
      <c r="X41" s="6">
        <f t="shared" si="30"/>
        <v>44.8</v>
      </c>
      <c r="Y41" s="2"/>
      <c r="Z41" s="7">
        <f t="shared" si="31"/>
        <v>0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5394.34</v>
      </c>
      <c r="E42" s="1"/>
      <c r="F42" s="5">
        <f t="shared" ref="F42:F46" si="32">IF(D$12=0,0,D42/D$12)</f>
        <v>0</v>
      </c>
      <c r="G42" s="1"/>
      <c r="H42" s="1">
        <f>SUM(OSRRefH22_4x_0)</f>
        <v>15130.98</v>
      </c>
      <c r="I42" s="1"/>
      <c r="J42" s="5">
        <f t="shared" ref="J42:J46" si="33">IF(H$12=0,0,H42/H$12)</f>
        <v>0</v>
      </c>
      <c r="K42" s="1"/>
      <c r="L42" s="1">
        <f t="shared" ref="L42:L46" si="34">+D42-H42</f>
        <v>-9736.64</v>
      </c>
      <c r="M42" s="1"/>
      <c r="N42" s="5">
        <f t="shared" ref="N42:N46" si="35">IF(H42=0,0,L42/H42)</f>
        <v>-0.64349037537555398</v>
      </c>
      <c r="O42" s="13"/>
      <c r="P42" s="1">
        <f>SUM(OSRRefP22_4x_0)</f>
        <v>139065.10999999999</v>
      </c>
      <c r="Q42" s="1"/>
      <c r="R42" s="5">
        <f t="shared" ref="R42:R46" si="36">IF(P$12=0,0,P42/P$12)</f>
        <v>0</v>
      </c>
      <c r="S42" s="1"/>
      <c r="T42" s="1">
        <f>SUM(OSRRefT22_4x_0)</f>
        <v>162849.03999999998</v>
      </c>
      <c r="U42" s="1"/>
      <c r="V42" s="5">
        <f t="shared" ref="V42:V46" si="37">IF(T$12=0,0,T42/T$12)</f>
        <v>0</v>
      </c>
      <c r="W42" s="1"/>
      <c r="X42" s="1">
        <f t="shared" ref="X42:X46" si="38">+P42-T42</f>
        <v>-23783.929999999993</v>
      </c>
      <c r="Y42" s="1"/>
      <c r="Z42" s="5">
        <f t="shared" ref="Z42:Z46" si="39">IF(T42=0,0,X42/T42)</f>
        <v>-0.14604894201402721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5394.34</v>
      </c>
      <c r="E43" s="2"/>
      <c r="F43" s="7">
        <f t="shared" si="32"/>
        <v>0</v>
      </c>
      <c r="G43" s="2"/>
      <c r="H43" s="6">
        <v>15130.98</v>
      </c>
      <c r="I43" s="2"/>
      <c r="J43" s="7">
        <f t="shared" si="33"/>
        <v>0</v>
      </c>
      <c r="K43" s="2"/>
      <c r="L43" s="6">
        <f t="shared" si="34"/>
        <v>-9736.64</v>
      </c>
      <c r="M43" s="2"/>
      <c r="N43" s="7">
        <f t="shared" si="35"/>
        <v>-0.64349037537555398</v>
      </c>
      <c r="O43" s="11"/>
      <c r="P43" s="6">
        <v>139065.10999999999</v>
      </c>
      <c r="Q43" s="2"/>
      <c r="R43" s="7">
        <f t="shared" si="36"/>
        <v>0</v>
      </c>
      <c r="S43" s="2"/>
      <c r="T43" s="6">
        <v>162849.03999999998</v>
      </c>
      <c r="U43" s="2"/>
      <c r="V43" s="7">
        <f t="shared" si="37"/>
        <v>0</v>
      </c>
      <c r="W43" s="2"/>
      <c r="X43" s="6">
        <f t="shared" si="38"/>
        <v>-23783.929999999993</v>
      </c>
      <c r="Y43" s="2"/>
      <c r="Z43" s="7">
        <f t="shared" si="39"/>
        <v>-0.14604894201402721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30179.599999999999</v>
      </c>
      <c r="E44" s="1"/>
      <c r="F44" s="5">
        <f t="shared" si="32"/>
        <v>0</v>
      </c>
      <c r="G44" s="1"/>
      <c r="H44" s="1">
        <f>SUM(OSRRefH22_5x_0)</f>
        <v>29774.85</v>
      </c>
      <c r="I44" s="1"/>
      <c r="J44" s="5">
        <f t="shared" si="33"/>
        <v>0</v>
      </c>
      <c r="K44" s="1"/>
      <c r="L44" s="1">
        <f t="shared" si="34"/>
        <v>404.75</v>
      </c>
      <c r="M44" s="1"/>
      <c r="N44" s="5">
        <f t="shared" si="35"/>
        <v>1.3593687289776439E-2</v>
      </c>
      <c r="O44" s="13"/>
      <c r="P44" s="1">
        <f>SUM(OSRRefP22_5x_0)</f>
        <v>328013.14</v>
      </c>
      <c r="Q44" s="1"/>
      <c r="R44" s="5">
        <f t="shared" si="36"/>
        <v>0</v>
      </c>
      <c r="S44" s="1"/>
      <c r="T44" s="1">
        <f>SUM(OSRRefT22_5x_0)</f>
        <v>323507.46999999997</v>
      </c>
      <c r="U44" s="1"/>
      <c r="V44" s="5">
        <f t="shared" si="37"/>
        <v>0</v>
      </c>
      <c r="W44" s="1"/>
      <c r="X44" s="1">
        <f t="shared" si="38"/>
        <v>4505.6700000000419</v>
      </c>
      <c r="Y44" s="1"/>
      <c r="Z44" s="5">
        <f t="shared" si="39"/>
        <v>1.3927560930818823E-2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6">
        <v>16396.52</v>
      </c>
      <c r="E45" s="2"/>
      <c r="F45" s="7">
        <f t="shared" si="32"/>
        <v>0</v>
      </c>
      <c r="G45" s="2"/>
      <c r="H45" s="6">
        <v>16453.38</v>
      </c>
      <c r="I45" s="2"/>
      <c r="J45" s="7">
        <f t="shared" si="33"/>
        <v>0</v>
      </c>
      <c r="K45" s="2"/>
      <c r="L45" s="6">
        <f t="shared" si="34"/>
        <v>-56.860000000000582</v>
      </c>
      <c r="M45" s="2"/>
      <c r="N45" s="7">
        <f t="shared" si="35"/>
        <v>-3.4558248821822978E-3</v>
      </c>
      <c r="O45" s="11"/>
      <c r="P45" s="6">
        <v>180361.72</v>
      </c>
      <c r="Q45" s="2"/>
      <c r="R45" s="7">
        <f t="shared" si="36"/>
        <v>0</v>
      </c>
      <c r="S45" s="2"/>
      <c r="T45" s="6">
        <v>180987.18</v>
      </c>
      <c r="U45" s="2"/>
      <c r="V45" s="7">
        <f t="shared" si="37"/>
        <v>0</v>
      </c>
      <c r="W45" s="2"/>
      <c r="X45" s="6">
        <f t="shared" si="38"/>
        <v>-625.45999999999185</v>
      </c>
      <c r="Y45" s="2"/>
      <c r="Z45" s="7">
        <f t="shared" si="39"/>
        <v>-3.455824882182218E-3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13783.08</v>
      </c>
      <c r="E46" s="2"/>
      <c r="F46" s="7">
        <f t="shared" si="32"/>
        <v>0</v>
      </c>
      <c r="G46" s="2"/>
      <c r="H46" s="6">
        <v>13321.47</v>
      </c>
      <c r="I46" s="2"/>
      <c r="J46" s="7">
        <f t="shared" si="33"/>
        <v>0</v>
      </c>
      <c r="K46" s="2"/>
      <c r="L46" s="6">
        <f t="shared" si="34"/>
        <v>461.61000000000058</v>
      </c>
      <c r="M46" s="2"/>
      <c r="N46" s="7">
        <f t="shared" si="35"/>
        <v>3.4651581244412262E-2</v>
      </c>
      <c r="O46" s="11"/>
      <c r="P46" s="6">
        <v>147651.41999999998</v>
      </c>
      <c r="Q46" s="2"/>
      <c r="R46" s="7">
        <f t="shared" si="36"/>
        <v>0</v>
      </c>
      <c r="S46" s="2"/>
      <c r="T46" s="6">
        <v>142520.28999999998</v>
      </c>
      <c r="U46" s="2"/>
      <c r="V46" s="7">
        <f t="shared" si="37"/>
        <v>0</v>
      </c>
      <c r="W46" s="2"/>
      <c r="X46" s="6">
        <f t="shared" si="38"/>
        <v>5131.1300000000047</v>
      </c>
      <c r="Y46" s="2"/>
      <c r="Z46" s="7">
        <f t="shared" si="39"/>
        <v>3.6002803530641184E-2</v>
      </c>
    </row>
    <row r="47" spans="1:26" s="27" customFormat="1" outlineLevel="1" collapsed="1" x14ac:dyDescent="0.25">
      <c r="A47" s="25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SUM(OSRRefD22_6x_0)</f>
        <v>0</v>
      </c>
      <c r="E47" s="1"/>
      <c r="F47" s="5">
        <f t="shared" ref="F47:F49" si="40">IF(D$12=0,0,D47/D$12)</f>
        <v>0</v>
      </c>
      <c r="G47" s="1"/>
      <c r="H47" s="1">
        <f>SUM(OSRRefH22_6x_0)</f>
        <v>-81.73</v>
      </c>
      <c r="I47" s="1"/>
      <c r="J47" s="5">
        <f t="shared" ref="J47:J49" si="41">IF(H$12=0,0,H47/H$12)</f>
        <v>0</v>
      </c>
      <c r="K47" s="1"/>
      <c r="L47" s="1">
        <f t="shared" ref="L47:L49" si="42">+D47-H47</f>
        <v>81.73</v>
      </c>
      <c r="M47" s="1"/>
      <c r="N47" s="5">
        <f t="shared" ref="N47:N49" si="43">IF(H47=0,0,L47/H47)</f>
        <v>-1</v>
      </c>
      <c r="O47" s="13"/>
      <c r="P47" s="1">
        <f>SUM(OSRRefP22_6x_0)</f>
        <v>-2402.56</v>
      </c>
      <c r="Q47" s="1"/>
      <c r="R47" s="5">
        <f t="shared" ref="R47:R49" si="44">IF(P$12=0,0,P47/P$12)</f>
        <v>0</v>
      </c>
      <c r="S47" s="1"/>
      <c r="T47" s="1">
        <f>SUM(OSRRefT22_6x_0)</f>
        <v>-4751.3</v>
      </c>
      <c r="U47" s="1"/>
      <c r="V47" s="5">
        <f t="shared" ref="V47:V49" si="45">IF(T$12=0,0,T47/T$12)</f>
        <v>0</v>
      </c>
      <c r="W47" s="1"/>
      <c r="X47" s="1">
        <f t="shared" ref="X47:X49" si="46">+P47-T47</f>
        <v>2348.7400000000002</v>
      </c>
      <c r="Y47" s="1"/>
      <c r="Z47" s="5">
        <f t="shared" ref="Z47:Z49" si="47">IF(T47=0,0,X47/T47)</f>
        <v>-0.49433628691095072</v>
      </c>
    </row>
    <row r="48" spans="1:26" s="24" customFormat="1" hidden="1" outlineLevel="2" x14ac:dyDescent="0.25">
      <c r="A48" s="26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40"/>
        <v>0</v>
      </c>
      <c r="G48" s="2"/>
      <c r="H48" s="6">
        <v>25</v>
      </c>
      <c r="I48" s="2"/>
      <c r="J48" s="7">
        <f t="shared" si="41"/>
        <v>0</v>
      </c>
      <c r="K48" s="2"/>
      <c r="L48" s="6">
        <f t="shared" si="42"/>
        <v>-25</v>
      </c>
      <c r="M48" s="2"/>
      <c r="N48" s="7">
        <f t="shared" si="43"/>
        <v>-1</v>
      </c>
      <c r="O48" s="11"/>
      <c r="P48" s="6">
        <v>357.4</v>
      </c>
      <c r="Q48" s="2"/>
      <c r="R48" s="7">
        <f t="shared" si="44"/>
        <v>0</v>
      </c>
      <c r="S48" s="2"/>
      <c r="T48" s="6">
        <v>174.59</v>
      </c>
      <c r="U48" s="2"/>
      <c r="V48" s="7">
        <f t="shared" si="45"/>
        <v>0</v>
      </c>
      <c r="W48" s="2"/>
      <c r="X48" s="6">
        <f t="shared" si="46"/>
        <v>182.80999999999997</v>
      </c>
      <c r="Y48" s="2"/>
      <c r="Z48" s="7">
        <f t="shared" si="47"/>
        <v>1.0470817343490462</v>
      </c>
    </row>
    <row r="49" spans="1:26" s="24" customFormat="1" hidden="1" outlineLevel="2" x14ac:dyDescent="0.25">
      <c r="A49" s="26"/>
      <c r="B49" s="11" t="str">
        <f>CONCATENATE("          ", "9175", " - ", "EARNED DISCOUNTS")</f>
        <v xml:space="preserve">          9175 - EARNED DISCOUNTS</v>
      </c>
      <c r="C49" s="11"/>
      <c r="D49" s="6"/>
      <c r="E49" s="2"/>
      <c r="F49" s="7">
        <f t="shared" si="40"/>
        <v>0</v>
      </c>
      <c r="G49" s="2"/>
      <c r="H49" s="6">
        <v>-106.73</v>
      </c>
      <c r="I49" s="2"/>
      <c r="J49" s="7">
        <f t="shared" si="41"/>
        <v>0</v>
      </c>
      <c r="K49" s="2"/>
      <c r="L49" s="6">
        <f t="shared" si="42"/>
        <v>106.73</v>
      </c>
      <c r="M49" s="2"/>
      <c r="N49" s="7">
        <f t="shared" si="43"/>
        <v>-1</v>
      </c>
      <c r="O49" s="11"/>
      <c r="P49" s="6">
        <v>-2759.96</v>
      </c>
      <c r="Q49" s="2"/>
      <c r="R49" s="7">
        <f t="shared" si="44"/>
        <v>0</v>
      </c>
      <c r="S49" s="2"/>
      <c r="T49" s="6">
        <v>-4925.8900000000003</v>
      </c>
      <c r="U49" s="2"/>
      <c r="V49" s="7">
        <f t="shared" si="45"/>
        <v>0</v>
      </c>
      <c r="W49" s="2"/>
      <c r="X49" s="6">
        <f t="shared" si="46"/>
        <v>2165.9300000000003</v>
      </c>
      <c r="Y49" s="2"/>
      <c r="Z49" s="7">
        <f t="shared" si="47"/>
        <v>-0.43970328204649317</v>
      </c>
    </row>
    <row r="50" spans="1:26" s="27" customFormat="1" outlineLevel="1" collapsed="1" x14ac:dyDescent="0.25">
      <c r="A50" s="25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-1385.81</v>
      </c>
      <c r="E50" s="1"/>
      <c r="F50" s="5">
        <f t="shared" ref="F50:F70" si="48">IF(D$12=0,0,D50/D$12)</f>
        <v>0</v>
      </c>
      <c r="G50" s="1"/>
      <c r="H50" s="1">
        <f>SUM(OSRRefH22_7x_0)</f>
        <v>296.94</v>
      </c>
      <c r="I50" s="1"/>
      <c r="J50" s="5">
        <f t="shared" ref="J50:J70" si="49">IF(H$12=0,0,H50/H$12)</f>
        <v>0</v>
      </c>
      <c r="K50" s="1"/>
      <c r="L50" s="1">
        <f t="shared" ref="L50:L70" si="50">+D50-H50</f>
        <v>-1682.75</v>
      </c>
      <c r="M50" s="1"/>
      <c r="N50" s="5">
        <f t="shared" ref="N50:N70" si="51">IF(H50=0,0,L50/H50)</f>
        <v>-5.6669697582003096</v>
      </c>
      <c r="O50" s="13"/>
      <c r="P50" s="1">
        <f>SUM(OSRRefP22_7x_0)</f>
        <v>10985.64</v>
      </c>
      <c r="Q50" s="1"/>
      <c r="R50" s="5">
        <f t="shared" ref="R50:R70" si="52">IF(P$12=0,0,P50/P$12)</f>
        <v>0</v>
      </c>
      <c r="S50" s="1"/>
      <c r="T50" s="1">
        <f>SUM(OSRRefT22_7x_0)</f>
        <v>9042.4699999999993</v>
      </c>
      <c r="U50" s="1"/>
      <c r="V50" s="5">
        <f t="shared" ref="V50:V70" si="53">IF(T$12=0,0,T50/T$12)</f>
        <v>0</v>
      </c>
      <c r="W50" s="1"/>
      <c r="X50" s="1">
        <f t="shared" ref="X50:X70" si="54">+P50-T50</f>
        <v>1943.17</v>
      </c>
      <c r="Y50" s="1"/>
      <c r="Z50" s="5">
        <f t="shared" ref="Z50:Z70" si="55">IF(T50=0,0,X50/T50)</f>
        <v>0.21489371819867803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6">
        <v>-1385.81</v>
      </c>
      <c r="E51" s="2"/>
      <c r="F51" s="7">
        <f t="shared" si="48"/>
        <v>0</v>
      </c>
      <c r="G51" s="2"/>
      <c r="H51" s="6">
        <v>296.94</v>
      </c>
      <c r="I51" s="2"/>
      <c r="J51" s="7">
        <f t="shared" si="49"/>
        <v>0</v>
      </c>
      <c r="K51" s="2"/>
      <c r="L51" s="6">
        <f t="shared" si="50"/>
        <v>-1682.75</v>
      </c>
      <c r="M51" s="2"/>
      <c r="N51" s="7">
        <f t="shared" si="51"/>
        <v>-5.6669697582003096</v>
      </c>
      <c r="O51" s="11"/>
      <c r="P51" s="6">
        <v>10985.64</v>
      </c>
      <c r="Q51" s="2"/>
      <c r="R51" s="7">
        <f t="shared" si="52"/>
        <v>0</v>
      </c>
      <c r="S51" s="2"/>
      <c r="T51" s="6">
        <v>9042.4699999999993</v>
      </c>
      <c r="U51" s="2"/>
      <c r="V51" s="7">
        <f t="shared" si="53"/>
        <v>0</v>
      </c>
      <c r="W51" s="2"/>
      <c r="X51" s="6">
        <f t="shared" si="54"/>
        <v>1943.17</v>
      </c>
      <c r="Y51" s="2"/>
      <c r="Z51" s="7">
        <f t="shared" si="55"/>
        <v>0.21489371819867803</v>
      </c>
    </row>
    <row r="52" spans="1:26" s="27" customFormat="1" outlineLevel="1" collapsed="1" x14ac:dyDescent="0.25">
      <c r="A52" s="25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48"/>
        <v>0</v>
      </c>
      <c r="G52" s="1"/>
      <c r="H52" s="1">
        <f>SUM(OSRRefH22_8x_0)</f>
        <v>0</v>
      </c>
      <c r="I52" s="1"/>
      <c r="J52" s="5">
        <f t="shared" si="49"/>
        <v>0</v>
      </c>
      <c r="K52" s="1"/>
      <c r="L52" s="1">
        <f t="shared" si="50"/>
        <v>0</v>
      </c>
      <c r="M52" s="1"/>
      <c r="N52" s="5">
        <f t="shared" si="51"/>
        <v>0</v>
      </c>
      <c r="O52" s="13"/>
      <c r="P52" s="1">
        <f>SUM(OSRRefP22_8x_0)</f>
        <v>1057.72</v>
      </c>
      <c r="Q52" s="1"/>
      <c r="R52" s="5">
        <f t="shared" si="52"/>
        <v>0</v>
      </c>
      <c r="S52" s="1"/>
      <c r="T52" s="1">
        <f>SUM(OSRRefT22_8x_0)</f>
        <v>2628.66</v>
      </c>
      <c r="U52" s="1"/>
      <c r="V52" s="5">
        <f t="shared" si="53"/>
        <v>0</v>
      </c>
      <c r="W52" s="1"/>
      <c r="X52" s="1">
        <f t="shared" si="54"/>
        <v>-1570.9399999999998</v>
      </c>
      <c r="Y52" s="1"/>
      <c r="Z52" s="5">
        <f t="shared" si="55"/>
        <v>-0.59762008019294999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48"/>
        <v>0</v>
      </c>
      <c r="G53" s="2"/>
      <c r="H53" s="6"/>
      <c r="I53" s="2"/>
      <c r="J53" s="7">
        <f t="shared" si="49"/>
        <v>0</v>
      </c>
      <c r="K53" s="2"/>
      <c r="L53" s="6">
        <f t="shared" si="50"/>
        <v>0</v>
      </c>
      <c r="M53" s="2"/>
      <c r="N53" s="7">
        <f t="shared" si="51"/>
        <v>0</v>
      </c>
      <c r="O53" s="11"/>
      <c r="P53" s="6">
        <v>1057.72</v>
      </c>
      <c r="Q53" s="2"/>
      <c r="R53" s="7">
        <f t="shared" si="52"/>
        <v>0</v>
      </c>
      <c r="S53" s="2"/>
      <c r="T53" s="6">
        <v>2628.66</v>
      </c>
      <c r="U53" s="2"/>
      <c r="V53" s="7">
        <f t="shared" si="53"/>
        <v>0</v>
      </c>
      <c r="W53" s="2"/>
      <c r="X53" s="6">
        <f t="shared" si="54"/>
        <v>-1570.9399999999998</v>
      </c>
      <c r="Y53" s="2"/>
      <c r="Z53" s="7">
        <f t="shared" si="55"/>
        <v>-0.59762008019294999</v>
      </c>
    </row>
    <row r="54" spans="1:26" s="27" customFormat="1" outlineLevel="1" collapsed="1" x14ac:dyDescent="0.25">
      <c r="A54" s="25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299.33999999999997</v>
      </c>
      <c r="E54" s="1"/>
      <c r="F54" s="5">
        <f t="shared" si="48"/>
        <v>0</v>
      </c>
      <c r="G54" s="1"/>
      <c r="H54" s="1">
        <f>SUM(OSRRefH22_9x_0)</f>
        <v>0</v>
      </c>
      <c r="I54" s="1"/>
      <c r="J54" s="5">
        <f t="shared" si="49"/>
        <v>0</v>
      </c>
      <c r="K54" s="1"/>
      <c r="L54" s="1">
        <f t="shared" si="50"/>
        <v>299.33999999999997</v>
      </c>
      <c r="M54" s="1"/>
      <c r="N54" s="5">
        <f t="shared" si="51"/>
        <v>0</v>
      </c>
      <c r="O54" s="13"/>
      <c r="P54" s="1">
        <f>SUM(OSRRefP22_9x_0)</f>
        <v>299.33999999999997</v>
      </c>
      <c r="Q54" s="1"/>
      <c r="R54" s="5">
        <f t="shared" si="52"/>
        <v>0</v>
      </c>
      <c r="S54" s="1"/>
      <c r="T54" s="1">
        <f>SUM(OSRRefT22_9x_0)</f>
        <v>0</v>
      </c>
      <c r="U54" s="1"/>
      <c r="V54" s="5">
        <f t="shared" si="53"/>
        <v>0</v>
      </c>
      <c r="W54" s="1"/>
      <c r="X54" s="1">
        <f t="shared" si="54"/>
        <v>299.33999999999997</v>
      </c>
      <c r="Y54" s="1"/>
      <c r="Z54" s="5">
        <f t="shared" si="55"/>
        <v>0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6">
        <v>299.33999999999997</v>
      </c>
      <c r="E55" s="2"/>
      <c r="F55" s="7">
        <f t="shared" si="48"/>
        <v>0</v>
      </c>
      <c r="G55" s="2"/>
      <c r="H55" s="6"/>
      <c r="I55" s="2"/>
      <c r="J55" s="7">
        <f t="shared" si="49"/>
        <v>0</v>
      </c>
      <c r="K55" s="2"/>
      <c r="L55" s="6">
        <f t="shared" si="50"/>
        <v>299.33999999999997</v>
      </c>
      <c r="M55" s="2"/>
      <c r="N55" s="7">
        <f t="shared" si="51"/>
        <v>0</v>
      </c>
      <c r="O55" s="11"/>
      <c r="P55" s="6">
        <v>299.33999999999997</v>
      </c>
      <c r="Q55" s="2"/>
      <c r="R55" s="7">
        <f t="shared" si="52"/>
        <v>0</v>
      </c>
      <c r="S55" s="2"/>
      <c r="T55" s="6"/>
      <c r="U55" s="2"/>
      <c r="V55" s="7">
        <f t="shared" si="53"/>
        <v>0</v>
      </c>
      <c r="W55" s="2"/>
      <c r="X55" s="6">
        <f t="shared" si="54"/>
        <v>299.33999999999997</v>
      </c>
      <c r="Y55" s="2"/>
      <c r="Z55" s="7">
        <f t="shared" si="55"/>
        <v>0</v>
      </c>
    </row>
    <row r="56" spans="1:26" s="27" customFormat="1" outlineLevel="1" collapsed="1" x14ac:dyDescent="0.25">
      <c r="A56" s="25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SUM(OSRRefD22_10x_0)</f>
        <v>0</v>
      </c>
      <c r="E56" s="1"/>
      <c r="F56" s="5">
        <f t="shared" si="48"/>
        <v>0</v>
      </c>
      <c r="G56" s="1"/>
      <c r="H56" s="1">
        <f>SUM(OSRRefH22_10x_0)</f>
        <v>16.32</v>
      </c>
      <c r="I56" s="1"/>
      <c r="J56" s="5">
        <f t="shared" si="49"/>
        <v>0</v>
      </c>
      <c r="K56" s="1"/>
      <c r="L56" s="1">
        <f t="shared" si="50"/>
        <v>-16.32</v>
      </c>
      <c r="M56" s="1"/>
      <c r="N56" s="5">
        <f t="shared" si="51"/>
        <v>-1</v>
      </c>
      <c r="O56" s="13"/>
      <c r="P56" s="1">
        <f>SUM(OSRRefP22_10x_0)</f>
        <v>29</v>
      </c>
      <c r="Q56" s="1"/>
      <c r="R56" s="5">
        <f t="shared" si="52"/>
        <v>0</v>
      </c>
      <c r="S56" s="1"/>
      <c r="T56" s="1">
        <f>SUM(OSRRefT22_10x_0)</f>
        <v>34.85</v>
      </c>
      <c r="U56" s="1"/>
      <c r="V56" s="5">
        <f t="shared" si="53"/>
        <v>0</v>
      </c>
      <c r="W56" s="1"/>
      <c r="X56" s="1">
        <f t="shared" si="54"/>
        <v>-5.8500000000000014</v>
      </c>
      <c r="Y56" s="1"/>
      <c r="Z56" s="5">
        <f t="shared" si="55"/>
        <v>-0.16786226685796274</v>
      </c>
    </row>
    <row r="57" spans="1:26" s="24" customFormat="1" hidden="1" outlineLevel="2" x14ac:dyDescent="0.25">
      <c r="A57" s="26"/>
      <c r="B57" s="11" t="str">
        <f>CONCATENATE("          ", "6307", " - ", "POSTAGE")</f>
        <v xml:space="preserve">          6307 - POSTAGE</v>
      </c>
      <c r="C57" s="11"/>
      <c r="D57" s="6"/>
      <c r="E57" s="2"/>
      <c r="F57" s="7">
        <f t="shared" si="48"/>
        <v>0</v>
      </c>
      <c r="G57" s="2"/>
      <c r="H57" s="6">
        <v>16.32</v>
      </c>
      <c r="I57" s="2"/>
      <c r="J57" s="7">
        <f t="shared" si="49"/>
        <v>0</v>
      </c>
      <c r="K57" s="2"/>
      <c r="L57" s="6">
        <f t="shared" si="50"/>
        <v>-16.32</v>
      </c>
      <c r="M57" s="2"/>
      <c r="N57" s="7">
        <f t="shared" si="51"/>
        <v>-1</v>
      </c>
      <c r="O57" s="11"/>
      <c r="P57" s="6">
        <v>29</v>
      </c>
      <c r="Q57" s="2"/>
      <c r="R57" s="7">
        <f t="shared" si="52"/>
        <v>0</v>
      </c>
      <c r="S57" s="2"/>
      <c r="T57" s="6">
        <v>34.85</v>
      </c>
      <c r="U57" s="2"/>
      <c r="V57" s="7">
        <f t="shared" si="53"/>
        <v>0</v>
      </c>
      <c r="W57" s="2"/>
      <c r="X57" s="6">
        <f t="shared" si="54"/>
        <v>-5.8500000000000014</v>
      </c>
      <c r="Y57" s="2"/>
      <c r="Z57" s="7">
        <f t="shared" si="55"/>
        <v>-0.16786226685796274</v>
      </c>
    </row>
    <row r="58" spans="1:26" s="27" customFormat="1" outlineLevel="1" collapsed="1" x14ac:dyDescent="0.25">
      <c r="A58" s="25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SUM(OSRRefD22_11x_0)</f>
        <v>0</v>
      </c>
      <c r="E58" s="1"/>
      <c r="F58" s="5">
        <f t="shared" si="48"/>
        <v>0</v>
      </c>
      <c r="G58" s="1"/>
      <c r="H58" s="1">
        <f>SUM(OSRRefH22_11x_0)</f>
        <v>-0.18</v>
      </c>
      <c r="I58" s="1"/>
      <c r="J58" s="5">
        <f t="shared" si="49"/>
        <v>0</v>
      </c>
      <c r="K58" s="1"/>
      <c r="L58" s="1">
        <f t="shared" si="50"/>
        <v>0.18</v>
      </c>
      <c r="M58" s="1"/>
      <c r="N58" s="5">
        <f t="shared" si="51"/>
        <v>-1</v>
      </c>
      <c r="O58" s="13"/>
      <c r="P58" s="1">
        <f>SUM(OSRRefP22_11x_0)</f>
        <v>-11754.76</v>
      </c>
      <c r="Q58" s="1"/>
      <c r="R58" s="5">
        <f t="shared" si="52"/>
        <v>0</v>
      </c>
      <c r="S58" s="1"/>
      <c r="T58" s="1">
        <f>SUM(OSRRefT22_11x_0)</f>
        <v>762.08</v>
      </c>
      <c r="U58" s="1"/>
      <c r="V58" s="5">
        <f t="shared" si="53"/>
        <v>0</v>
      </c>
      <c r="W58" s="1"/>
      <c r="X58" s="1">
        <f t="shared" si="54"/>
        <v>-12516.84</v>
      </c>
      <c r="Y58" s="1"/>
      <c r="Z58" s="5">
        <f t="shared" si="55"/>
        <v>-16.42457484778501</v>
      </c>
    </row>
    <row r="59" spans="1:26" s="24" customFormat="1" hidden="1" outlineLevel="2" x14ac:dyDescent="0.25">
      <c r="A59" s="26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48"/>
        <v>0</v>
      </c>
      <c r="G59" s="2"/>
      <c r="H59" s="6">
        <v>-0.18</v>
      </c>
      <c r="I59" s="2"/>
      <c r="J59" s="7">
        <f t="shared" si="49"/>
        <v>0</v>
      </c>
      <c r="K59" s="2"/>
      <c r="L59" s="6">
        <f t="shared" si="50"/>
        <v>0.18</v>
      </c>
      <c r="M59" s="2"/>
      <c r="N59" s="7">
        <f t="shared" si="51"/>
        <v>-1</v>
      </c>
      <c r="O59" s="11"/>
      <c r="P59" s="6">
        <v>-11754.76</v>
      </c>
      <c r="Q59" s="2"/>
      <c r="R59" s="7">
        <f t="shared" si="52"/>
        <v>0</v>
      </c>
      <c r="S59" s="2"/>
      <c r="T59" s="6">
        <v>762.08</v>
      </c>
      <c r="U59" s="2"/>
      <c r="V59" s="7">
        <f t="shared" si="53"/>
        <v>0</v>
      </c>
      <c r="W59" s="2"/>
      <c r="X59" s="6">
        <f t="shared" si="54"/>
        <v>-12516.84</v>
      </c>
      <c r="Y59" s="2"/>
      <c r="Z59" s="7">
        <f t="shared" si="55"/>
        <v>-16.42457484778501</v>
      </c>
    </row>
    <row r="60" spans="1:26" s="27" customFormat="1" outlineLevel="1" collapsed="1" x14ac:dyDescent="0.25">
      <c r="A60" s="25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SUM(OSRRefD22_12x_0)</f>
        <v>3883.56</v>
      </c>
      <c r="E60" s="1"/>
      <c r="F60" s="5">
        <f t="shared" si="48"/>
        <v>0</v>
      </c>
      <c r="G60" s="1"/>
      <c r="H60" s="1">
        <f>SUM(OSRRefH22_12x_0)</f>
        <v>3658.12</v>
      </c>
      <c r="I60" s="1"/>
      <c r="J60" s="5">
        <f t="shared" si="49"/>
        <v>0</v>
      </c>
      <c r="K60" s="1"/>
      <c r="L60" s="1">
        <f t="shared" si="50"/>
        <v>225.44000000000005</v>
      </c>
      <c r="M60" s="1"/>
      <c r="N60" s="5">
        <f t="shared" si="51"/>
        <v>6.1627283960066934E-2</v>
      </c>
      <c r="O60" s="13"/>
      <c r="P60" s="1">
        <f>SUM(OSRRefP22_12x_0)</f>
        <v>42719.16</v>
      </c>
      <c r="Q60" s="1"/>
      <c r="R60" s="5">
        <f t="shared" si="52"/>
        <v>0</v>
      </c>
      <c r="S60" s="1"/>
      <c r="T60" s="1">
        <f>SUM(OSRRefT22_12x_0)</f>
        <v>33721.5</v>
      </c>
      <c r="U60" s="1"/>
      <c r="V60" s="5">
        <f t="shared" si="53"/>
        <v>0</v>
      </c>
      <c r="W60" s="1"/>
      <c r="X60" s="1">
        <f t="shared" si="54"/>
        <v>8997.6600000000035</v>
      </c>
      <c r="Y60" s="1"/>
      <c r="Z60" s="5">
        <f t="shared" si="55"/>
        <v>0.26682265023797885</v>
      </c>
    </row>
    <row r="61" spans="1:26" s="24" customFormat="1" hidden="1" outlineLevel="2" x14ac:dyDescent="0.25">
      <c r="A61" s="26"/>
      <c r="B61" s="11" t="str">
        <f>CONCATENATE("          ", "6314", " - ", "LIABILITY INSURANCE")</f>
        <v xml:space="preserve">          6314 - LIABILITY INSURANCE</v>
      </c>
      <c r="C61" s="11"/>
      <c r="D61" s="6">
        <v>3883.56</v>
      </c>
      <c r="E61" s="2"/>
      <c r="F61" s="7">
        <f t="shared" si="48"/>
        <v>0</v>
      </c>
      <c r="G61" s="2"/>
      <c r="H61" s="6">
        <v>3658.12</v>
      </c>
      <c r="I61" s="2"/>
      <c r="J61" s="7">
        <f t="shared" si="49"/>
        <v>0</v>
      </c>
      <c r="K61" s="2"/>
      <c r="L61" s="6">
        <f t="shared" si="50"/>
        <v>225.44000000000005</v>
      </c>
      <c r="M61" s="2"/>
      <c r="N61" s="7">
        <f t="shared" si="51"/>
        <v>6.1627283960066934E-2</v>
      </c>
      <c r="O61" s="11"/>
      <c r="P61" s="6">
        <v>42719.16</v>
      </c>
      <c r="Q61" s="2"/>
      <c r="R61" s="7">
        <f t="shared" si="52"/>
        <v>0</v>
      </c>
      <c r="S61" s="2"/>
      <c r="T61" s="6">
        <v>33721.5</v>
      </c>
      <c r="U61" s="2"/>
      <c r="V61" s="7">
        <f t="shared" si="53"/>
        <v>0</v>
      </c>
      <c r="W61" s="2"/>
      <c r="X61" s="6">
        <f t="shared" si="54"/>
        <v>8997.6600000000035</v>
      </c>
      <c r="Y61" s="2"/>
      <c r="Z61" s="7">
        <f t="shared" si="55"/>
        <v>0.26682265023797885</v>
      </c>
    </row>
    <row r="62" spans="1:26" s="27" customFormat="1" outlineLevel="1" collapsed="1" x14ac:dyDescent="0.25">
      <c r="A62" s="25"/>
      <c r="B62" s="13" t="str">
        <f>CONCATENATE("     ","Professional Services                             ")</f>
        <v xml:space="preserve">     Professional Services                             </v>
      </c>
      <c r="C62" s="13"/>
      <c r="D62" s="1">
        <f>SUM(OSRRefD22_13x_0)</f>
        <v>0</v>
      </c>
      <c r="E62" s="1"/>
      <c r="F62" s="5">
        <f t="shared" si="48"/>
        <v>0</v>
      </c>
      <c r="G62" s="1"/>
      <c r="H62" s="1">
        <f>SUM(OSRRefH22_13x_0)</f>
        <v>0</v>
      </c>
      <c r="I62" s="1"/>
      <c r="J62" s="5">
        <f t="shared" si="49"/>
        <v>0</v>
      </c>
      <c r="K62" s="1"/>
      <c r="L62" s="1">
        <f t="shared" si="50"/>
        <v>0</v>
      </c>
      <c r="M62" s="1"/>
      <c r="N62" s="5">
        <f t="shared" si="51"/>
        <v>0</v>
      </c>
      <c r="O62" s="13"/>
      <c r="P62" s="1">
        <f>SUM(OSRRefP22_13x_0)</f>
        <v>4658.41</v>
      </c>
      <c r="Q62" s="1"/>
      <c r="R62" s="5">
        <f t="shared" si="52"/>
        <v>0</v>
      </c>
      <c r="S62" s="1"/>
      <c r="T62" s="1">
        <f>SUM(OSRRefT22_13x_0)</f>
        <v>6776.43</v>
      </c>
      <c r="U62" s="1"/>
      <c r="V62" s="5">
        <f t="shared" si="53"/>
        <v>0</v>
      </c>
      <c r="W62" s="1"/>
      <c r="X62" s="1">
        <f t="shared" si="54"/>
        <v>-2118.0200000000004</v>
      </c>
      <c r="Y62" s="1"/>
      <c r="Z62" s="5">
        <f t="shared" si="55"/>
        <v>-0.31255690680786202</v>
      </c>
    </row>
    <row r="63" spans="1:26" s="24" customFormat="1" hidden="1" outlineLevel="2" x14ac:dyDescent="0.25">
      <c r="A63" s="26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48"/>
        <v>0</v>
      </c>
      <c r="G63" s="2"/>
      <c r="H63" s="6"/>
      <c r="I63" s="2"/>
      <c r="J63" s="7">
        <f t="shared" si="49"/>
        <v>0</v>
      </c>
      <c r="K63" s="2"/>
      <c r="L63" s="6">
        <f t="shared" si="50"/>
        <v>0</v>
      </c>
      <c r="M63" s="2"/>
      <c r="N63" s="7">
        <f t="shared" si="51"/>
        <v>0</v>
      </c>
      <c r="O63" s="11"/>
      <c r="P63" s="6">
        <v>4658.41</v>
      </c>
      <c r="Q63" s="2"/>
      <c r="R63" s="7">
        <f t="shared" si="52"/>
        <v>0</v>
      </c>
      <c r="S63" s="2"/>
      <c r="T63" s="6">
        <v>6776.43</v>
      </c>
      <c r="U63" s="2"/>
      <c r="V63" s="7">
        <f t="shared" si="53"/>
        <v>0</v>
      </c>
      <c r="W63" s="2"/>
      <c r="X63" s="6">
        <f t="shared" si="54"/>
        <v>-2118.0200000000004</v>
      </c>
      <c r="Y63" s="2"/>
      <c r="Z63" s="7">
        <f t="shared" si="55"/>
        <v>-0.31255690680786202</v>
      </c>
    </row>
    <row r="64" spans="1:26" s="27" customFormat="1" outlineLevel="1" collapsed="1" x14ac:dyDescent="0.25">
      <c r="A64" s="25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SUM(OSRRefD22_14x_0)</f>
        <v>-800</v>
      </c>
      <c r="E64" s="1"/>
      <c r="F64" s="5">
        <f t="shared" si="48"/>
        <v>0</v>
      </c>
      <c r="G64" s="1"/>
      <c r="H64" s="1">
        <f>SUM(OSRRefH22_14x_0)</f>
        <v>-800</v>
      </c>
      <c r="I64" s="1"/>
      <c r="J64" s="5">
        <f t="shared" si="49"/>
        <v>0</v>
      </c>
      <c r="K64" s="1"/>
      <c r="L64" s="1">
        <f t="shared" si="50"/>
        <v>0</v>
      </c>
      <c r="M64" s="1"/>
      <c r="N64" s="5">
        <f t="shared" si="51"/>
        <v>0</v>
      </c>
      <c r="O64" s="13"/>
      <c r="P64" s="1">
        <f>SUM(OSRRefP22_14x_0)</f>
        <v>-7200</v>
      </c>
      <c r="Q64" s="1"/>
      <c r="R64" s="5">
        <f t="shared" si="52"/>
        <v>0</v>
      </c>
      <c r="S64" s="1"/>
      <c r="T64" s="1">
        <f>SUM(OSRRefT22_14x_0)</f>
        <v>-7898.92</v>
      </c>
      <c r="U64" s="1"/>
      <c r="V64" s="5">
        <f t="shared" si="53"/>
        <v>0</v>
      </c>
      <c r="W64" s="1"/>
      <c r="X64" s="1">
        <f t="shared" si="54"/>
        <v>698.92000000000007</v>
      </c>
      <c r="Y64" s="1"/>
      <c r="Z64" s="5">
        <f t="shared" si="55"/>
        <v>-8.8482982483681319E-2</v>
      </c>
    </row>
    <row r="65" spans="1:26" s="24" customFormat="1" hidden="1" outlineLevel="2" x14ac:dyDescent="0.25">
      <c r="A65" s="26"/>
      <c r="B65" s="11" t="str">
        <f>CONCATENATE("          ", "6273", " - ", "RENT")</f>
        <v xml:space="preserve">          6273 - RENT</v>
      </c>
      <c r="C65" s="11"/>
      <c r="D65" s="6">
        <v>-800</v>
      </c>
      <c r="E65" s="2"/>
      <c r="F65" s="7">
        <f t="shared" si="48"/>
        <v>0</v>
      </c>
      <c r="G65" s="2"/>
      <c r="H65" s="6">
        <v>-800</v>
      </c>
      <c r="I65" s="2"/>
      <c r="J65" s="7">
        <f t="shared" si="49"/>
        <v>0</v>
      </c>
      <c r="K65" s="2"/>
      <c r="L65" s="6">
        <f t="shared" si="50"/>
        <v>0</v>
      </c>
      <c r="M65" s="2"/>
      <c r="N65" s="7">
        <f t="shared" si="51"/>
        <v>0</v>
      </c>
      <c r="O65" s="11"/>
      <c r="P65" s="6">
        <v>-7200</v>
      </c>
      <c r="Q65" s="2"/>
      <c r="R65" s="7">
        <f t="shared" si="52"/>
        <v>0</v>
      </c>
      <c r="S65" s="2"/>
      <c r="T65" s="6">
        <v>-7898.92</v>
      </c>
      <c r="U65" s="2"/>
      <c r="V65" s="7">
        <f t="shared" si="53"/>
        <v>0</v>
      </c>
      <c r="W65" s="2"/>
      <c r="X65" s="6">
        <f t="shared" si="54"/>
        <v>698.92000000000007</v>
      </c>
      <c r="Y65" s="2"/>
      <c r="Z65" s="7">
        <f t="shared" si="55"/>
        <v>-8.8482982483681319E-2</v>
      </c>
    </row>
    <row r="66" spans="1:26" s="27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SUM(OSRRefD22_15x_0)</f>
        <v>4859.6400000000003</v>
      </c>
      <c r="E66" s="1"/>
      <c r="F66" s="5">
        <f t="shared" si="48"/>
        <v>0</v>
      </c>
      <c r="G66" s="1"/>
      <c r="H66" s="1">
        <f>SUM(OSRRefH22_15x_0)</f>
        <v>2343.5700000000002</v>
      </c>
      <c r="I66" s="1"/>
      <c r="J66" s="5">
        <f t="shared" si="49"/>
        <v>0</v>
      </c>
      <c r="K66" s="1"/>
      <c r="L66" s="1">
        <f t="shared" si="50"/>
        <v>2516.0700000000002</v>
      </c>
      <c r="M66" s="1"/>
      <c r="N66" s="5">
        <f t="shared" si="51"/>
        <v>1.0736056529141438</v>
      </c>
      <c r="O66" s="13"/>
      <c r="P66" s="1">
        <f>SUM(OSRRefP22_15x_0)</f>
        <v>65754.17</v>
      </c>
      <c r="Q66" s="1"/>
      <c r="R66" s="5">
        <f t="shared" si="52"/>
        <v>0</v>
      </c>
      <c r="S66" s="1"/>
      <c r="T66" s="1">
        <f>SUM(OSRRefT22_15x_0)</f>
        <v>94878.930000000008</v>
      </c>
      <c r="U66" s="1"/>
      <c r="V66" s="5">
        <f t="shared" si="53"/>
        <v>0</v>
      </c>
      <c r="W66" s="1"/>
      <c r="X66" s="1">
        <f t="shared" si="54"/>
        <v>-29124.760000000009</v>
      </c>
      <c r="Y66" s="1"/>
      <c r="Z66" s="5">
        <f t="shared" si="55"/>
        <v>-0.30696762705903202</v>
      </c>
    </row>
    <row r="67" spans="1:26" s="24" customFormat="1" hidden="1" outlineLevel="2" x14ac:dyDescent="0.25">
      <c r="A67" s="26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48"/>
        <v>0</v>
      </c>
      <c r="G67" s="2"/>
      <c r="H67" s="6">
        <v>601</v>
      </c>
      <c r="I67" s="2"/>
      <c r="J67" s="7">
        <f t="shared" si="49"/>
        <v>0</v>
      </c>
      <c r="K67" s="2"/>
      <c r="L67" s="6">
        <f t="shared" si="50"/>
        <v>-601</v>
      </c>
      <c r="M67" s="2"/>
      <c r="N67" s="7">
        <f t="shared" si="51"/>
        <v>-1</v>
      </c>
      <c r="O67" s="11"/>
      <c r="P67" s="6">
        <v>16417.5</v>
      </c>
      <c r="Q67" s="2"/>
      <c r="R67" s="7">
        <f t="shared" si="52"/>
        <v>0</v>
      </c>
      <c r="S67" s="2"/>
      <c r="T67" s="6">
        <v>52255.25</v>
      </c>
      <c r="U67" s="2"/>
      <c r="V67" s="7">
        <f t="shared" si="53"/>
        <v>0</v>
      </c>
      <c r="W67" s="2"/>
      <c r="X67" s="6">
        <f t="shared" si="54"/>
        <v>-35837.75</v>
      </c>
      <c r="Y67" s="2"/>
      <c r="Z67" s="7">
        <f t="shared" si="55"/>
        <v>-0.68582104190488036</v>
      </c>
    </row>
    <row r="68" spans="1:26" s="24" customFormat="1" hidden="1" outlineLevel="2" x14ac:dyDescent="0.25">
      <c r="A68" s="26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48"/>
        <v>0</v>
      </c>
      <c r="G68" s="2"/>
      <c r="H68" s="6"/>
      <c r="I68" s="2"/>
      <c r="J68" s="7">
        <f t="shared" si="49"/>
        <v>0</v>
      </c>
      <c r="K68" s="2"/>
      <c r="L68" s="6">
        <f t="shared" si="50"/>
        <v>0</v>
      </c>
      <c r="M68" s="2"/>
      <c r="N68" s="7">
        <f t="shared" si="51"/>
        <v>0</v>
      </c>
      <c r="O68" s="11"/>
      <c r="P68" s="6">
        <v>52.32</v>
      </c>
      <c r="Q68" s="2"/>
      <c r="R68" s="7">
        <f t="shared" si="52"/>
        <v>0</v>
      </c>
      <c r="S68" s="2"/>
      <c r="T68" s="6">
        <v>51.79</v>
      </c>
      <c r="U68" s="2"/>
      <c r="V68" s="7">
        <f t="shared" si="53"/>
        <v>0</v>
      </c>
      <c r="W68" s="2"/>
      <c r="X68" s="6">
        <f t="shared" si="54"/>
        <v>0.53000000000000114</v>
      </c>
      <c r="Y68" s="2"/>
      <c r="Z68" s="7">
        <f t="shared" si="55"/>
        <v>1.0233635837034199E-2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6">
        <v>3318</v>
      </c>
      <c r="E69" s="2"/>
      <c r="F69" s="7">
        <f t="shared" si="48"/>
        <v>0</v>
      </c>
      <c r="G69" s="2"/>
      <c r="H69" s="6">
        <v>1594.55</v>
      </c>
      <c r="I69" s="2"/>
      <c r="J69" s="7">
        <f t="shared" si="49"/>
        <v>0</v>
      </c>
      <c r="K69" s="2"/>
      <c r="L69" s="6">
        <f t="shared" si="50"/>
        <v>1723.45</v>
      </c>
      <c r="M69" s="2"/>
      <c r="N69" s="7">
        <f t="shared" si="51"/>
        <v>1.0808378539399832</v>
      </c>
      <c r="O69" s="11"/>
      <c r="P69" s="6">
        <v>12695.05</v>
      </c>
      <c r="Q69" s="2"/>
      <c r="R69" s="7">
        <f t="shared" si="52"/>
        <v>0</v>
      </c>
      <c r="S69" s="2"/>
      <c r="T69" s="6">
        <v>17317.18</v>
      </c>
      <c r="U69" s="2"/>
      <c r="V69" s="7">
        <f t="shared" si="53"/>
        <v>0</v>
      </c>
      <c r="W69" s="2"/>
      <c r="X69" s="6">
        <f t="shared" si="54"/>
        <v>-4622.130000000001</v>
      </c>
      <c r="Y69" s="2"/>
      <c r="Z69" s="7">
        <f t="shared" si="55"/>
        <v>-0.26691008582228753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1541.64</v>
      </c>
      <c r="E70" s="2"/>
      <c r="F70" s="7">
        <f t="shared" si="48"/>
        <v>0</v>
      </c>
      <c r="G70" s="2"/>
      <c r="H70" s="6">
        <v>148.02000000000001</v>
      </c>
      <c r="I70" s="2"/>
      <c r="J70" s="7">
        <f t="shared" si="49"/>
        <v>0</v>
      </c>
      <c r="K70" s="2"/>
      <c r="L70" s="6">
        <f t="shared" si="50"/>
        <v>1393.6200000000001</v>
      </c>
      <c r="M70" s="2"/>
      <c r="N70" s="7">
        <f t="shared" si="51"/>
        <v>9.4150790433725167</v>
      </c>
      <c r="O70" s="11"/>
      <c r="P70" s="6">
        <v>36589.299999999996</v>
      </c>
      <c r="Q70" s="2"/>
      <c r="R70" s="7">
        <f t="shared" si="52"/>
        <v>0</v>
      </c>
      <c r="S70" s="2"/>
      <c r="T70" s="6">
        <v>25254.710000000003</v>
      </c>
      <c r="U70" s="2"/>
      <c r="V70" s="7">
        <f t="shared" si="53"/>
        <v>0</v>
      </c>
      <c r="W70" s="2"/>
      <c r="X70" s="6">
        <f t="shared" si="54"/>
        <v>11334.589999999993</v>
      </c>
      <c r="Y70" s="2"/>
      <c r="Z70" s="7">
        <f t="shared" si="55"/>
        <v>0.44881093467317551</v>
      </c>
    </row>
    <row r="71" spans="1:26" s="27" customFormat="1" outlineLevel="1" collapsed="1" x14ac:dyDescent="0.25">
      <c r="A71" s="25"/>
      <c r="B71" s="13" t="str">
        <f>CONCATENATE("     ","Royalty &amp; Commissions                             ")</f>
        <v xml:space="preserve">     Royalty &amp; Commissions                             </v>
      </c>
      <c r="C71" s="13"/>
      <c r="D71" s="1">
        <f>SUM(OSRRefD22_16x_0)</f>
        <v>0</v>
      </c>
      <c r="E71" s="1"/>
      <c r="F71" s="5">
        <f t="shared" ref="F71:F76" si="56">IF(D$12=0,0,D71/D$12)</f>
        <v>0</v>
      </c>
      <c r="G71" s="1"/>
      <c r="H71" s="1">
        <f>SUM(OSRRefH22_16x_0)</f>
        <v>0</v>
      </c>
      <c r="I71" s="1"/>
      <c r="J71" s="5">
        <f t="shared" ref="J71:J76" si="57">IF(H$12=0,0,H71/H$12)</f>
        <v>0</v>
      </c>
      <c r="K71" s="1"/>
      <c r="L71" s="1">
        <f t="shared" ref="L71:L76" si="58">+D71-H71</f>
        <v>0</v>
      </c>
      <c r="M71" s="1"/>
      <c r="N71" s="5">
        <f t="shared" ref="N71:N76" si="59">IF(H71=0,0,L71/H71)</f>
        <v>0</v>
      </c>
      <c r="O71" s="13"/>
      <c r="P71" s="1">
        <f>SUM(OSRRefP22_16x_0)</f>
        <v>0</v>
      </c>
      <c r="Q71" s="1"/>
      <c r="R71" s="5">
        <f t="shared" ref="R71:R76" si="60">IF(P$12=0,0,P71/P$12)</f>
        <v>0</v>
      </c>
      <c r="S71" s="1"/>
      <c r="T71" s="1">
        <f>SUM(OSRRefT22_16x_0)</f>
        <v>61</v>
      </c>
      <c r="U71" s="1"/>
      <c r="V71" s="5">
        <f t="shared" ref="V71:V76" si="61">IF(T$12=0,0,T71/T$12)</f>
        <v>0</v>
      </c>
      <c r="W71" s="1"/>
      <c r="X71" s="1">
        <f t="shared" ref="X71:X76" si="62">+P71-T71</f>
        <v>-61</v>
      </c>
      <c r="Y71" s="1"/>
      <c r="Z71" s="5">
        <f t="shared" ref="Z71:Z76" si="63">IF(T71=0,0,X71/T71)</f>
        <v>-1</v>
      </c>
    </row>
    <row r="72" spans="1:26" s="24" customFormat="1" hidden="1" outlineLevel="2" x14ac:dyDescent="0.25">
      <c r="A72" s="26"/>
      <c r="B72" s="11" t="str">
        <f>CONCATENATE("          ", "6254", " - ", "ROYALTY &amp; COMMISSIONS")</f>
        <v xml:space="preserve">          6254 - ROYALTY &amp; COMMISSIONS</v>
      </c>
      <c r="C72" s="11"/>
      <c r="D72" s="6"/>
      <c r="E72" s="2"/>
      <c r="F72" s="7">
        <f t="shared" si="56"/>
        <v>0</v>
      </c>
      <c r="G72" s="2"/>
      <c r="H72" s="6"/>
      <c r="I72" s="2"/>
      <c r="J72" s="7">
        <f t="shared" si="57"/>
        <v>0</v>
      </c>
      <c r="K72" s="2"/>
      <c r="L72" s="6">
        <f t="shared" si="58"/>
        <v>0</v>
      </c>
      <c r="M72" s="2"/>
      <c r="N72" s="7">
        <f t="shared" si="59"/>
        <v>0</v>
      </c>
      <c r="O72" s="11"/>
      <c r="P72" s="6"/>
      <c r="Q72" s="2"/>
      <c r="R72" s="7">
        <f t="shared" si="60"/>
        <v>0</v>
      </c>
      <c r="S72" s="2"/>
      <c r="T72" s="6">
        <v>61</v>
      </c>
      <c r="U72" s="2"/>
      <c r="V72" s="7">
        <f t="shared" si="61"/>
        <v>0</v>
      </c>
      <c r="W72" s="2"/>
      <c r="X72" s="6">
        <f t="shared" si="62"/>
        <v>-61</v>
      </c>
      <c r="Y72" s="2"/>
      <c r="Z72" s="7">
        <f t="shared" si="63"/>
        <v>-1</v>
      </c>
    </row>
    <row r="73" spans="1:26" s="27" customFormat="1" outlineLevel="1" collapsed="1" x14ac:dyDescent="0.25">
      <c r="A73" s="25"/>
      <c r="B73" s="13" t="str">
        <f>CONCATENATE("     ","Services                                          ")</f>
        <v xml:space="preserve">     Services                                          </v>
      </c>
      <c r="C73" s="13"/>
      <c r="D73" s="1">
        <f>SUM(OSRRefD22_17x_0)</f>
        <v>4108.18</v>
      </c>
      <c r="E73" s="1"/>
      <c r="F73" s="5">
        <f t="shared" si="56"/>
        <v>0</v>
      </c>
      <c r="G73" s="1"/>
      <c r="H73" s="1">
        <f>SUM(OSRRefH22_17x_0)</f>
        <v>4163.93</v>
      </c>
      <c r="I73" s="1"/>
      <c r="J73" s="5">
        <f t="shared" si="57"/>
        <v>0</v>
      </c>
      <c r="K73" s="1"/>
      <c r="L73" s="1">
        <f t="shared" si="58"/>
        <v>-55.75</v>
      </c>
      <c r="M73" s="1"/>
      <c r="N73" s="5">
        <f t="shared" si="59"/>
        <v>-1.3388793759741398E-2</v>
      </c>
      <c r="O73" s="13"/>
      <c r="P73" s="1">
        <f>SUM(OSRRefP22_17x_0)</f>
        <v>45589.810000000005</v>
      </c>
      <c r="Q73" s="1"/>
      <c r="R73" s="5">
        <f t="shared" si="60"/>
        <v>0</v>
      </c>
      <c r="S73" s="1"/>
      <c r="T73" s="1">
        <f>SUM(OSRRefT22_17x_0)</f>
        <v>44492.97</v>
      </c>
      <c r="U73" s="1"/>
      <c r="V73" s="5">
        <f t="shared" si="61"/>
        <v>0</v>
      </c>
      <c r="W73" s="1"/>
      <c r="X73" s="1">
        <f t="shared" si="62"/>
        <v>1096.8400000000038</v>
      </c>
      <c r="Y73" s="1"/>
      <c r="Z73" s="5">
        <f t="shared" si="63"/>
        <v>2.4651984347190212E-2</v>
      </c>
    </row>
    <row r="74" spans="1:26" s="24" customFormat="1" hidden="1" outlineLevel="2" x14ac:dyDescent="0.25">
      <c r="A74" s="26"/>
      <c r="B74" s="11" t="str">
        <f>CONCATENATE("          ", "6282", " - ", "JANITORIAL/EXTERMINATOR EXPENS")</f>
        <v xml:space="preserve">          6282 - JANITORIAL/EXTERMINATOR EXPENS</v>
      </c>
      <c r="C74" s="11"/>
      <c r="D74" s="6"/>
      <c r="E74" s="2"/>
      <c r="F74" s="7">
        <f t="shared" si="56"/>
        <v>0</v>
      </c>
      <c r="G74" s="2"/>
      <c r="H74" s="6">
        <v>210.5</v>
      </c>
      <c r="I74" s="2"/>
      <c r="J74" s="7">
        <f t="shared" si="57"/>
        <v>0</v>
      </c>
      <c r="K74" s="2"/>
      <c r="L74" s="6">
        <f t="shared" si="58"/>
        <v>-210.5</v>
      </c>
      <c r="M74" s="2"/>
      <c r="N74" s="7">
        <f t="shared" si="59"/>
        <v>-1</v>
      </c>
      <c r="O74" s="11"/>
      <c r="P74" s="6">
        <v>2225</v>
      </c>
      <c r="Q74" s="2"/>
      <c r="R74" s="7">
        <f t="shared" si="60"/>
        <v>0</v>
      </c>
      <c r="S74" s="2"/>
      <c r="T74" s="6">
        <v>2209</v>
      </c>
      <c r="U74" s="2"/>
      <c r="V74" s="7">
        <f t="shared" si="61"/>
        <v>0</v>
      </c>
      <c r="W74" s="2"/>
      <c r="X74" s="6">
        <f t="shared" si="62"/>
        <v>16</v>
      </c>
      <c r="Y74" s="2"/>
      <c r="Z74" s="7">
        <f t="shared" si="63"/>
        <v>7.2430964237211407E-3</v>
      </c>
    </row>
    <row r="75" spans="1:26" s="24" customFormat="1" hidden="1" outlineLevel="2" x14ac:dyDescent="0.25">
      <c r="A75" s="26"/>
      <c r="B75" s="11" t="str">
        <f>CONCATENATE("          ", "6283", " - ", "PLANT SERVICE")</f>
        <v xml:space="preserve">          6283 - PLANT SERVICE</v>
      </c>
      <c r="C75" s="11"/>
      <c r="D75" s="6"/>
      <c r="E75" s="2"/>
      <c r="F75" s="7">
        <f t="shared" si="56"/>
        <v>0</v>
      </c>
      <c r="G75" s="2"/>
      <c r="H75" s="6">
        <v>117</v>
      </c>
      <c r="I75" s="2"/>
      <c r="J75" s="7">
        <f t="shared" si="57"/>
        <v>0</v>
      </c>
      <c r="K75" s="2"/>
      <c r="L75" s="6">
        <f t="shared" si="58"/>
        <v>-117</v>
      </c>
      <c r="M75" s="2"/>
      <c r="N75" s="7">
        <f t="shared" si="59"/>
        <v>-1</v>
      </c>
      <c r="O75" s="11"/>
      <c r="P75" s="6">
        <v>363.33</v>
      </c>
      <c r="Q75" s="2"/>
      <c r="R75" s="7">
        <f t="shared" si="60"/>
        <v>0</v>
      </c>
      <c r="S75" s="2"/>
      <c r="T75" s="6">
        <v>1409.5</v>
      </c>
      <c r="U75" s="2"/>
      <c r="V75" s="7">
        <f t="shared" si="61"/>
        <v>0</v>
      </c>
      <c r="W75" s="2"/>
      <c r="X75" s="6">
        <f t="shared" si="62"/>
        <v>-1046.17</v>
      </c>
      <c r="Y75" s="2"/>
      <c r="Z75" s="7">
        <f t="shared" si="63"/>
        <v>-0.74222774033345162</v>
      </c>
    </row>
    <row r="76" spans="1:26" s="24" customFormat="1" hidden="1" outlineLevel="2" x14ac:dyDescent="0.25">
      <c r="A76" s="26"/>
      <c r="B76" s="11" t="str">
        <f>CONCATENATE("          ", "6285", " - ", "JANITORIAL SERVICES")</f>
        <v xml:space="preserve">          6285 - JANITORIAL SERVICES</v>
      </c>
      <c r="C76" s="11"/>
      <c r="D76" s="6">
        <v>4108.18</v>
      </c>
      <c r="E76" s="2"/>
      <c r="F76" s="7">
        <f t="shared" si="56"/>
        <v>0</v>
      </c>
      <c r="G76" s="2"/>
      <c r="H76" s="6">
        <v>3836.43</v>
      </c>
      <c r="I76" s="2"/>
      <c r="J76" s="7">
        <f t="shared" si="57"/>
        <v>0</v>
      </c>
      <c r="K76" s="2"/>
      <c r="L76" s="6">
        <f t="shared" si="58"/>
        <v>271.75000000000045</v>
      </c>
      <c r="M76" s="2"/>
      <c r="N76" s="7">
        <f t="shared" si="59"/>
        <v>7.0834082727952927E-2</v>
      </c>
      <c r="O76" s="11"/>
      <c r="P76" s="6">
        <v>43001.48</v>
      </c>
      <c r="Q76" s="2"/>
      <c r="R76" s="7">
        <f t="shared" si="60"/>
        <v>0</v>
      </c>
      <c r="S76" s="2"/>
      <c r="T76" s="6">
        <v>40874.47</v>
      </c>
      <c r="U76" s="2"/>
      <c r="V76" s="7">
        <f t="shared" si="61"/>
        <v>0</v>
      </c>
      <c r="W76" s="2"/>
      <c r="X76" s="6">
        <f t="shared" si="62"/>
        <v>2127.010000000002</v>
      </c>
      <c r="Y76" s="2"/>
      <c r="Z76" s="7">
        <f t="shared" si="63"/>
        <v>5.2037616634539895E-2</v>
      </c>
    </row>
    <row r="77" spans="1:26" s="27" customFormat="1" outlineLevel="1" collapsed="1" x14ac:dyDescent="0.25">
      <c r="A77" s="25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SUM(OSRRefD22_18x_0)</f>
        <v>0</v>
      </c>
      <c r="E77" s="1"/>
      <c r="F77" s="5">
        <f t="shared" ref="F77:F79" si="64">IF(D$12=0,0,D77/D$12)</f>
        <v>0</v>
      </c>
      <c r="G77" s="1"/>
      <c r="H77" s="1">
        <f>SUM(OSRRefH22_18x_0)</f>
        <v>159.97999999999999</v>
      </c>
      <c r="I77" s="1"/>
      <c r="J77" s="5">
        <f t="shared" ref="J77:J79" si="65">IF(H$12=0,0,H77/H$12)</f>
        <v>0</v>
      </c>
      <c r="K77" s="1"/>
      <c r="L77" s="1">
        <f t="shared" ref="L77:L79" si="66">+D77-H77</f>
        <v>-159.97999999999999</v>
      </c>
      <c r="M77" s="1"/>
      <c r="N77" s="5">
        <f t="shared" ref="N77:N79" si="67">IF(H77=0,0,L77/H77)</f>
        <v>-1</v>
      </c>
      <c r="O77" s="13"/>
      <c r="P77" s="1">
        <f>SUM(OSRRefP22_18x_0)</f>
        <v>1280.3</v>
      </c>
      <c r="Q77" s="1"/>
      <c r="R77" s="5">
        <f t="shared" ref="R77:R79" si="68">IF(P$12=0,0,P77/P$12)</f>
        <v>0</v>
      </c>
      <c r="S77" s="1"/>
      <c r="T77" s="1">
        <f>SUM(OSRRefT22_18x_0)</f>
        <v>5988.63</v>
      </c>
      <c r="U77" s="1"/>
      <c r="V77" s="5">
        <f t="shared" ref="V77:V79" si="69">IF(T$12=0,0,T77/T$12)</f>
        <v>0</v>
      </c>
      <c r="W77" s="1"/>
      <c r="X77" s="1">
        <f t="shared" ref="X77:X79" si="70">+P77-T77</f>
        <v>-4708.33</v>
      </c>
      <c r="Y77" s="1"/>
      <c r="Z77" s="5">
        <f t="shared" ref="Z77:Z79" si="71">IF(T77=0,0,X77/T77)</f>
        <v>-0.7862115375302865</v>
      </c>
    </row>
    <row r="78" spans="1:26" s="24" customFormat="1" hidden="1" outlineLevel="2" x14ac:dyDescent="0.25">
      <c r="A78" s="26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64"/>
        <v>0</v>
      </c>
      <c r="G78" s="2"/>
      <c r="H78" s="6"/>
      <c r="I78" s="2"/>
      <c r="J78" s="7">
        <f t="shared" si="65"/>
        <v>0</v>
      </c>
      <c r="K78" s="2"/>
      <c r="L78" s="6">
        <f t="shared" si="66"/>
        <v>0</v>
      </c>
      <c r="M78" s="2"/>
      <c r="N78" s="7">
        <f t="shared" si="67"/>
        <v>0</v>
      </c>
      <c r="O78" s="11"/>
      <c r="P78" s="6">
        <v>875</v>
      </c>
      <c r="Q78" s="2"/>
      <c r="R78" s="7">
        <f t="shared" si="68"/>
        <v>0</v>
      </c>
      <c r="S78" s="2"/>
      <c r="T78" s="6">
        <v>819.85</v>
      </c>
      <c r="U78" s="2"/>
      <c r="V78" s="7">
        <f t="shared" si="69"/>
        <v>0</v>
      </c>
      <c r="W78" s="2"/>
      <c r="X78" s="6">
        <f t="shared" si="70"/>
        <v>55.149999999999977</v>
      </c>
      <c r="Y78" s="2"/>
      <c r="Z78" s="7">
        <f t="shared" si="71"/>
        <v>6.7268402756601786E-2</v>
      </c>
    </row>
    <row r="79" spans="1:26" s="24" customFormat="1" hidden="1" outlineLevel="2" x14ac:dyDescent="0.25">
      <c r="A79" s="26"/>
      <c r="B79" s="11" t="str">
        <f>CONCATENATE("          ", "6275", " - ", "SUBSCRIPTIONS")</f>
        <v xml:space="preserve">          6275 - SUBSCRIPTIONS</v>
      </c>
      <c r="C79" s="11"/>
      <c r="D79" s="6"/>
      <c r="E79" s="2"/>
      <c r="F79" s="7">
        <f t="shared" si="64"/>
        <v>0</v>
      </c>
      <c r="G79" s="2"/>
      <c r="H79" s="6">
        <v>159.97999999999999</v>
      </c>
      <c r="I79" s="2"/>
      <c r="J79" s="7">
        <f t="shared" si="65"/>
        <v>0</v>
      </c>
      <c r="K79" s="2"/>
      <c r="L79" s="6">
        <f t="shared" si="66"/>
        <v>-159.97999999999999</v>
      </c>
      <c r="M79" s="2"/>
      <c r="N79" s="7">
        <f t="shared" si="67"/>
        <v>-1</v>
      </c>
      <c r="O79" s="11"/>
      <c r="P79" s="6">
        <v>405.3</v>
      </c>
      <c r="Q79" s="2"/>
      <c r="R79" s="7">
        <f t="shared" si="68"/>
        <v>0</v>
      </c>
      <c r="S79" s="2"/>
      <c r="T79" s="6">
        <v>5168.78</v>
      </c>
      <c r="U79" s="2"/>
      <c r="V79" s="7">
        <f t="shared" si="69"/>
        <v>0</v>
      </c>
      <c r="W79" s="2"/>
      <c r="X79" s="6">
        <f t="shared" si="70"/>
        <v>-4763.4799999999996</v>
      </c>
      <c r="Y79" s="2"/>
      <c r="Z79" s="7">
        <f t="shared" si="71"/>
        <v>-0.92158691219204525</v>
      </c>
    </row>
    <row r="80" spans="1:26" s="27" customFormat="1" outlineLevel="1" collapsed="1" x14ac:dyDescent="0.25">
      <c r="A80" s="25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SUM(OSRRefD22_19x_0)</f>
        <v>2944.3</v>
      </c>
      <c r="E80" s="1"/>
      <c r="F80" s="5">
        <f t="shared" ref="F80:F87" si="72">IF(D$12=0,0,D80/D$12)</f>
        <v>0</v>
      </c>
      <c r="G80" s="1"/>
      <c r="H80" s="1">
        <f>SUM(OSRRefH22_19x_0)</f>
        <v>1025.5</v>
      </c>
      <c r="I80" s="1"/>
      <c r="J80" s="5">
        <f t="shared" ref="J80:J87" si="73">IF(H$12=0,0,H80/H$12)</f>
        <v>0</v>
      </c>
      <c r="K80" s="1"/>
      <c r="L80" s="1">
        <f t="shared" ref="L80:L87" si="74">+D80-H80</f>
        <v>1918.8000000000002</v>
      </c>
      <c r="M80" s="1"/>
      <c r="N80" s="5">
        <f t="shared" ref="N80:N87" si="75">IF(H80=0,0,L80/H80)</f>
        <v>1.871087274500244</v>
      </c>
      <c r="O80" s="13"/>
      <c r="P80" s="1">
        <f>SUM(OSRRefP22_19x_0)</f>
        <v>17065.370000000003</v>
      </c>
      <c r="Q80" s="1"/>
      <c r="R80" s="5">
        <f t="shared" ref="R80:R87" si="76">IF(P$12=0,0,P80/P$12)</f>
        <v>0</v>
      </c>
      <c r="S80" s="1"/>
      <c r="T80" s="1">
        <f>SUM(OSRRefT22_19x_0)</f>
        <v>60769.49</v>
      </c>
      <c r="U80" s="1"/>
      <c r="V80" s="5">
        <f t="shared" ref="V80:V87" si="77">IF(T$12=0,0,T80/T$12)</f>
        <v>0</v>
      </c>
      <c r="W80" s="1"/>
      <c r="X80" s="1">
        <f t="shared" ref="X80:X87" si="78">+P80-T80</f>
        <v>-43704.119999999995</v>
      </c>
      <c r="Y80" s="1"/>
      <c r="Z80" s="5">
        <f t="shared" ref="Z80:Z87" si="79">IF(T80=0,0,X80/T80)</f>
        <v>-0.71917865363030031</v>
      </c>
    </row>
    <row r="81" spans="1:26" s="24" customFormat="1" hidden="1" outlineLevel="2" x14ac:dyDescent="0.25">
      <c r="A81" s="26"/>
      <c r="B81" s="11" t="str">
        <f>CONCATENATE("          ", "6234", " - ", "EXPENDABLE SUPPLIES &amp; EQUIPMEN")</f>
        <v xml:space="preserve">          6234 - EXPENDABLE SUPPLIES &amp; EQUIPMEN</v>
      </c>
      <c r="C81" s="11"/>
      <c r="D81" s="6">
        <v>700.76</v>
      </c>
      <c r="E81" s="2"/>
      <c r="F81" s="7">
        <f t="shared" si="72"/>
        <v>0</v>
      </c>
      <c r="G81" s="2"/>
      <c r="H81" s="6"/>
      <c r="I81" s="2"/>
      <c r="J81" s="7">
        <f t="shared" si="73"/>
        <v>0</v>
      </c>
      <c r="K81" s="2"/>
      <c r="L81" s="6">
        <f t="shared" si="74"/>
        <v>700.76</v>
      </c>
      <c r="M81" s="2"/>
      <c r="N81" s="7">
        <f t="shared" si="75"/>
        <v>0</v>
      </c>
      <c r="O81" s="11"/>
      <c r="P81" s="6">
        <v>2149.0500000000002</v>
      </c>
      <c r="Q81" s="2"/>
      <c r="R81" s="7">
        <f t="shared" si="76"/>
        <v>0</v>
      </c>
      <c r="S81" s="2"/>
      <c r="T81" s="6">
        <v>1164.48</v>
      </c>
      <c r="U81" s="2"/>
      <c r="V81" s="7">
        <f t="shared" si="77"/>
        <v>0</v>
      </c>
      <c r="W81" s="2"/>
      <c r="X81" s="6">
        <f t="shared" si="78"/>
        <v>984.57000000000016</v>
      </c>
      <c r="Y81" s="2"/>
      <c r="Z81" s="7">
        <f t="shared" si="79"/>
        <v>0.84550185490519392</v>
      </c>
    </row>
    <row r="82" spans="1:26" s="24" customFormat="1" hidden="1" outlineLevel="2" x14ac:dyDescent="0.25">
      <c r="A82" s="26"/>
      <c r="B82" s="11" t="str">
        <f>CONCATENATE("          ", "6235", " - ", "COVID-19 EXPENSES")</f>
        <v xml:space="preserve">          6235 - COVID-19 EXPENSES</v>
      </c>
      <c r="C82" s="11"/>
      <c r="D82" s="6">
        <v>1550</v>
      </c>
      <c r="E82" s="2"/>
      <c r="F82" s="7">
        <f t="shared" si="72"/>
        <v>0</v>
      </c>
      <c r="G82" s="2"/>
      <c r="H82" s="6"/>
      <c r="I82" s="2"/>
      <c r="J82" s="7">
        <f t="shared" si="73"/>
        <v>0</v>
      </c>
      <c r="K82" s="2"/>
      <c r="L82" s="6">
        <f t="shared" si="74"/>
        <v>1550</v>
      </c>
      <c r="M82" s="2"/>
      <c r="N82" s="7">
        <f t="shared" si="75"/>
        <v>0</v>
      </c>
      <c r="O82" s="11"/>
      <c r="P82" s="6">
        <v>1550</v>
      </c>
      <c r="Q82" s="2"/>
      <c r="R82" s="7">
        <f t="shared" si="76"/>
        <v>0</v>
      </c>
      <c r="S82" s="2"/>
      <c r="T82" s="6"/>
      <c r="U82" s="2"/>
      <c r="V82" s="7">
        <f t="shared" si="77"/>
        <v>0</v>
      </c>
      <c r="W82" s="2"/>
      <c r="X82" s="6">
        <f t="shared" si="78"/>
        <v>1550</v>
      </c>
      <c r="Y82" s="2"/>
      <c r="Z82" s="7">
        <f t="shared" si="79"/>
        <v>0</v>
      </c>
    </row>
    <row r="83" spans="1:26" s="24" customFormat="1" hidden="1" outlineLevel="2" x14ac:dyDescent="0.25">
      <c r="A83" s="26"/>
      <c r="B83" s="11" t="str">
        <f>CONCATENATE("          ", "6237", " - ", "JANITORIAL SUPPLIES")</f>
        <v xml:space="preserve">          6237 - JANITORIAL SUPPLIES</v>
      </c>
      <c r="C83" s="11"/>
      <c r="D83" s="6"/>
      <c r="E83" s="2"/>
      <c r="F83" s="7">
        <f t="shared" si="72"/>
        <v>0</v>
      </c>
      <c r="G83" s="2"/>
      <c r="H83" s="6">
        <v>407.67</v>
      </c>
      <c r="I83" s="2"/>
      <c r="J83" s="7">
        <f t="shared" si="73"/>
        <v>0</v>
      </c>
      <c r="K83" s="2"/>
      <c r="L83" s="6">
        <f t="shared" si="74"/>
        <v>-407.67</v>
      </c>
      <c r="M83" s="2"/>
      <c r="N83" s="7">
        <f t="shared" si="75"/>
        <v>-1</v>
      </c>
      <c r="O83" s="11"/>
      <c r="P83" s="6">
        <v>4407.67</v>
      </c>
      <c r="Q83" s="2"/>
      <c r="R83" s="7">
        <f t="shared" si="76"/>
        <v>0</v>
      </c>
      <c r="S83" s="2"/>
      <c r="T83" s="6">
        <v>5643.57</v>
      </c>
      <c r="U83" s="2"/>
      <c r="V83" s="7">
        <f t="shared" si="77"/>
        <v>0</v>
      </c>
      <c r="W83" s="2"/>
      <c r="X83" s="6">
        <f t="shared" si="78"/>
        <v>-1235.8999999999996</v>
      </c>
      <c r="Y83" s="2"/>
      <c r="Z83" s="7">
        <f t="shared" si="79"/>
        <v>-0.21899258802495578</v>
      </c>
    </row>
    <row r="84" spans="1:26" s="24" customFormat="1" hidden="1" outlineLevel="2" x14ac:dyDescent="0.25">
      <c r="A84" s="26"/>
      <c r="B84" s="11" t="str">
        <f>CONCATENATE("          ", "6241", " - ", "OFFICE EXPENSE")</f>
        <v xml:space="preserve">          6241 - OFFICE EXPENSE</v>
      </c>
      <c r="C84" s="11"/>
      <c r="D84" s="6">
        <v>693.74</v>
      </c>
      <c r="E84" s="2"/>
      <c r="F84" s="7">
        <f t="shared" si="72"/>
        <v>0</v>
      </c>
      <c r="G84" s="2"/>
      <c r="H84" s="6">
        <v>671.77</v>
      </c>
      <c r="I84" s="2"/>
      <c r="J84" s="7">
        <f t="shared" si="73"/>
        <v>0</v>
      </c>
      <c r="K84" s="2"/>
      <c r="L84" s="6">
        <f t="shared" si="74"/>
        <v>21.970000000000027</v>
      </c>
      <c r="M84" s="2"/>
      <c r="N84" s="7">
        <f t="shared" si="75"/>
        <v>3.2704645935364825E-2</v>
      </c>
      <c r="O84" s="11"/>
      <c r="P84" s="6">
        <v>9348.86</v>
      </c>
      <c r="Q84" s="2"/>
      <c r="R84" s="7">
        <f t="shared" si="76"/>
        <v>0</v>
      </c>
      <c r="S84" s="2"/>
      <c r="T84" s="6">
        <v>17390.91</v>
      </c>
      <c r="U84" s="2"/>
      <c r="V84" s="7">
        <f t="shared" si="77"/>
        <v>0</v>
      </c>
      <c r="W84" s="2"/>
      <c r="X84" s="6">
        <f t="shared" si="78"/>
        <v>-8042.0499999999993</v>
      </c>
      <c r="Y84" s="2"/>
      <c r="Z84" s="7">
        <f t="shared" si="79"/>
        <v>-0.46242836056307574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72"/>
        <v>0</v>
      </c>
      <c r="G85" s="2"/>
      <c r="H85" s="6">
        <v>-139.24</v>
      </c>
      <c r="I85" s="2"/>
      <c r="J85" s="7">
        <f t="shared" si="73"/>
        <v>0</v>
      </c>
      <c r="K85" s="2"/>
      <c r="L85" s="6">
        <f t="shared" si="74"/>
        <v>139.24</v>
      </c>
      <c r="M85" s="2"/>
      <c r="N85" s="7">
        <f t="shared" si="75"/>
        <v>-1</v>
      </c>
      <c r="O85" s="11"/>
      <c r="P85" s="6">
        <v>19.73</v>
      </c>
      <c r="Q85" s="2"/>
      <c r="R85" s="7">
        <f t="shared" si="76"/>
        <v>0</v>
      </c>
      <c r="S85" s="2"/>
      <c r="T85" s="6">
        <v>1891.86</v>
      </c>
      <c r="U85" s="2"/>
      <c r="V85" s="7">
        <f t="shared" si="77"/>
        <v>0</v>
      </c>
      <c r="W85" s="2"/>
      <c r="X85" s="6">
        <f t="shared" si="78"/>
        <v>-1872.1299999999999</v>
      </c>
      <c r="Y85" s="2"/>
      <c r="Z85" s="7">
        <f t="shared" si="79"/>
        <v>-0.98957110991299568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6">
        <v>-0.2</v>
      </c>
      <c r="E86" s="2"/>
      <c r="F86" s="7">
        <f t="shared" si="72"/>
        <v>0</v>
      </c>
      <c r="G86" s="2"/>
      <c r="H86" s="6">
        <v>85.3</v>
      </c>
      <c r="I86" s="2"/>
      <c r="J86" s="7">
        <f t="shared" si="73"/>
        <v>0</v>
      </c>
      <c r="K86" s="2"/>
      <c r="L86" s="6">
        <f t="shared" si="74"/>
        <v>-85.5</v>
      </c>
      <c r="M86" s="2"/>
      <c r="N86" s="7">
        <f t="shared" si="75"/>
        <v>-1.0023446658851114</v>
      </c>
      <c r="O86" s="11"/>
      <c r="P86" s="6">
        <v>-453.85</v>
      </c>
      <c r="Q86" s="2"/>
      <c r="R86" s="7">
        <f t="shared" si="76"/>
        <v>0</v>
      </c>
      <c r="S86" s="2"/>
      <c r="T86" s="6">
        <v>33277.17</v>
      </c>
      <c r="U86" s="2"/>
      <c r="V86" s="7">
        <f t="shared" si="77"/>
        <v>0</v>
      </c>
      <c r="W86" s="2"/>
      <c r="X86" s="6">
        <f t="shared" si="78"/>
        <v>-33731.019999999997</v>
      </c>
      <c r="Y86" s="2"/>
      <c r="Z86" s="7">
        <f t="shared" si="79"/>
        <v>-1.0136384794740658</v>
      </c>
    </row>
    <row r="87" spans="1:26" s="24" customFormat="1" hidden="1" outlineLevel="2" x14ac:dyDescent="0.25">
      <c r="A87" s="26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0</v>
      </c>
      <c r="M87" s="2"/>
      <c r="N87" s="7">
        <f t="shared" si="75"/>
        <v>0</v>
      </c>
      <c r="O87" s="11"/>
      <c r="P87" s="6">
        <v>43.91</v>
      </c>
      <c r="Q87" s="2"/>
      <c r="R87" s="7">
        <f t="shared" si="76"/>
        <v>0</v>
      </c>
      <c r="S87" s="2"/>
      <c r="T87" s="6">
        <v>1401.5</v>
      </c>
      <c r="U87" s="2"/>
      <c r="V87" s="7">
        <f t="shared" si="77"/>
        <v>0</v>
      </c>
      <c r="W87" s="2"/>
      <c r="X87" s="6">
        <f t="shared" si="78"/>
        <v>-1357.59</v>
      </c>
      <c r="Y87" s="2"/>
      <c r="Z87" s="7">
        <f t="shared" si="79"/>
        <v>-0.9686692829111665</v>
      </c>
    </row>
    <row r="88" spans="1:26" s="27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SUM(OSRRefD22_20x_0)</f>
        <v>385.05</v>
      </c>
      <c r="E88" s="1"/>
      <c r="F88" s="5">
        <f t="shared" ref="F88:F95" si="80">IF(D$12=0,0,D88/D$12)</f>
        <v>0</v>
      </c>
      <c r="G88" s="1"/>
      <c r="H88" s="1">
        <f>SUM(OSRRefH22_20x_0)</f>
        <v>475.76</v>
      </c>
      <c r="I88" s="1"/>
      <c r="J88" s="5">
        <f t="shared" ref="J88:J95" si="81">IF(H$12=0,0,H88/H$12)</f>
        <v>0</v>
      </c>
      <c r="K88" s="1"/>
      <c r="L88" s="1">
        <f t="shared" ref="L88:L95" si="82">+D88-H88</f>
        <v>-90.70999999999998</v>
      </c>
      <c r="M88" s="1"/>
      <c r="N88" s="5">
        <f t="shared" ref="N88:N95" si="83">IF(H88=0,0,L88/H88)</f>
        <v>-0.19066335967714809</v>
      </c>
      <c r="O88" s="13"/>
      <c r="P88" s="1">
        <f>SUM(OSRRefP22_20x_0)</f>
        <v>5766.42</v>
      </c>
      <c r="Q88" s="1"/>
      <c r="R88" s="5">
        <f t="shared" ref="R88:R95" si="84">IF(P$12=0,0,P88/P$12)</f>
        <v>0</v>
      </c>
      <c r="S88" s="1"/>
      <c r="T88" s="1">
        <f>SUM(OSRRefT22_20x_0)</f>
        <v>5331.11</v>
      </c>
      <c r="U88" s="1"/>
      <c r="V88" s="5">
        <f t="shared" ref="V88:V95" si="85">IF(T$12=0,0,T88/T$12)</f>
        <v>0</v>
      </c>
      <c r="W88" s="1"/>
      <c r="X88" s="1">
        <f t="shared" ref="X88:X95" si="86">+P88-T88</f>
        <v>435.3100000000004</v>
      </c>
      <c r="Y88" s="1"/>
      <c r="Z88" s="5">
        <f t="shared" ref="Z88:Z95" si="87">IF(T88=0,0,X88/T88)</f>
        <v>8.1654664788383735E-2</v>
      </c>
    </row>
    <row r="89" spans="1:26" s="24" customFormat="1" hidden="1" outlineLevel="2" x14ac:dyDescent="0.25">
      <c r="A89" s="26"/>
      <c r="B89" s="11" t="str">
        <f>CONCATENATE("          ", "6309", " - ", "TELEPHONE")</f>
        <v xml:space="preserve">          6309 - TELEPHONE</v>
      </c>
      <c r="C89" s="11"/>
      <c r="D89" s="6">
        <v>385.05</v>
      </c>
      <c r="E89" s="2"/>
      <c r="F89" s="7">
        <f t="shared" si="80"/>
        <v>0</v>
      </c>
      <c r="G89" s="2"/>
      <c r="H89" s="6">
        <v>475.76</v>
      </c>
      <c r="I89" s="2"/>
      <c r="J89" s="7">
        <f t="shared" si="81"/>
        <v>0</v>
      </c>
      <c r="K89" s="2"/>
      <c r="L89" s="6">
        <f t="shared" si="82"/>
        <v>-90.70999999999998</v>
      </c>
      <c r="M89" s="2"/>
      <c r="N89" s="7">
        <f t="shared" si="83"/>
        <v>-0.19066335967714809</v>
      </c>
      <c r="O89" s="11"/>
      <c r="P89" s="6">
        <v>5766.42</v>
      </c>
      <c r="Q89" s="2"/>
      <c r="R89" s="7">
        <f t="shared" si="84"/>
        <v>0</v>
      </c>
      <c r="S89" s="2"/>
      <c r="T89" s="6">
        <v>5331.11</v>
      </c>
      <c r="U89" s="2"/>
      <c r="V89" s="7">
        <f t="shared" si="85"/>
        <v>0</v>
      </c>
      <c r="W89" s="2"/>
      <c r="X89" s="6">
        <f t="shared" si="86"/>
        <v>435.3100000000004</v>
      </c>
      <c r="Y89" s="2"/>
      <c r="Z89" s="7">
        <f t="shared" si="87"/>
        <v>8.1654664788383735E-2</v>
      </c>
    </row>
    <row r="90" spans="1:26" s="27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SUM(OSRRefD22_21x_0)</f>
        <v>2140.13</v>
      </c>
      <c r="E90" s="1"/>
      <c r="F90" s="5">
        <f t="shared" si="80"/>
        <v>0</v>
      </c>
      <c r="G90" s="1"/>
      <c r="H90" s="1">
        <f>SUM(OSRRefH22_21x_0)</f>
        <v>0</v>
      </c>
      <c r="I90" s="1"/>
      <c r="J90" s="5">
        <f t="shared" si="81"/>
        <v>0</v>
      </c>
      <c r="K90" s="1"/>
      <c r="L90" s="1">
        <f t="shared" si="82"/>
        <v>2140.13</v>
      </c>
      <c r="M90" s="1"/>
      <c r="N90" s="5">
        <f t="shared" si="83"/>
        <v>0</v>
      </c>
      <c r="O90" s="13"/>
      <c r="P90" s="1">
        <f>SUM(OSRRefP22_21x_0)</f>
        <v>13942.81</v>
      </c>
      <c r="Q90" s="1"/>
      <c r="R90" s="5">
        <f t="shared" si="84"/>
        <v>0</v>
      </c>
      <c r="S90" s="1"/>
      <c r="T90" s="1">
        <f>SUM(OSRRefT22_21x_0)</f>
        <v>13189.79</v>
      </c>
      <c r="U90" s="1"/>
      <c r="V90" s="5">
        <f t="shared" si="85"/>
        <v>0</v>
      </c>
      <c r="W90" s="1"/>
      <c r="X90" s="1">
        <f t="shared" si="86"/>
        <v>753.01999999999862</v>
      </c>
      <c r="Y90" s="1"/>
      <c r="Z90" s="5">
        <f t="shared" si="87"/>
        <v>5.709112882009483E-2</v>
      </c>
    </row>
    <row r="91" spans="1:26" s="24" customFormat="1" hidden="1" outlineLevel="2" x14ac:dyDescent="0.25">
      <c r="A91" s="26"/>
      <c r="B91" s="11" t="str">
        <f>CONCATENATE("          ", "6376", " - ", "TRAINING")</f>
        <v xml:space="preserve">          6376 - TRAINING</v>
      </c>
      <c r="C91" s="11"/>
      <c r="D91" s="6">
        <v>2140.13</v>
      </c>
      <c r="E91" s="2"/>
      <c r="F91" s="7">
        <f t="shared" si="80"/>
        <v>0</v>
      </c>
      <c r="G91" s="2"/>
      <c r="H91" s="6"/>
      <c r="I91" s="2"/>
      <c r="J91" s="7">
        <f t="shared" si="81"/>
        <v>0</v>
      </c>
      <c r="K91" s="2"/>
      <c r="L91" s="6">
        <f t="shared" si="82"/>
        <v>2140.13</v>
      </c>
      <c r="M91" s="2"/>
      <c r="N91" s="7">
        <f t="shared" si="83"/>
        <v>0</v>
      </c>
      <c r="O91" s="11"/>
      <c r="P91" s="6">
        <v>13942.81</v>
      </c>
      <c r="Q91" s="2"/>
      <c r="R91" s="7">
        <f t="shared" si="84"/>
        <v>0</v>
      </c>
      <c r="S91" s="2"/>
      <c r="T91" s="6">
        <v>13189.79</v>
      </c>
      <c r="U91" s="2"/>
      <c r="V91" s="7">
        <f t="shared" si="85"/>
        <v>0</v>
      </c>
      <c r="W91" s="2"/>
      <c r="X91" s="6">
        <f t="shared" si="86"/>
        <v>753.01999999999862</v>
      </c>
      <c r="Y91" s="2"/>
      <c r="Z91" s="7">
        <f t="shared" si="87"/>
        <v>5.709112882009483E-2</v>
      </c>
    </row>
    <row r="92" spans="1:26" s="27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SUM(OSRRefD22_22x_0)</f>
        <v>0</v>
      </c>
      <c r="E92" s="1"/>
      <c r="F92" s="5">
        <f t="shared" si="80"/>
        <v>0</v>
      </c>
      <c r="G92" s="1"/>
      <c r="H92" s="1">
        <f>SUM(OSRRefH22_22x_0)</f>
        <v>128.32999999999998</v>
      </c>
      <c r="I92" s="1"/>
      <c r="J92" s="5">
        <f t="shared" si="81"/>
        <v>0</v>
      </c>
      <c r="K92" s="1"/>
      <c r="L92" s="1">
        <f t="shared" si="82"/>
        <v>-128.32999999999998</v>
      </c>
      <c r="M92" s="1"/>
      <c r="N92" s="5">
        <f t="shared" si="83"/>
        <v>-1</v>
      </c>
      <c r="O92" s="13"/>
      <c r="P92" s="1">
        <f>SUM(OSRRefP22_22x_0)</f>
        <v>943.89</v>
      </c>
      <c r="Q92" s="1"/>
      <c r="R92" s="5">
        <f t="shared" si="84"/>
        <v>0</v>
      </c>
      <c r="S92" s="1"/>
      <c r="T92" s="1">
        <f>SUM(OSRRefT22_22x_0)</f>
        <v>2112.5699999999997</v>
      </c>
      <c r="U92" s="1"/>
      <c r="V92" s="5">
        <f t="shared" si="85"/>
        <v>0</v>
      </c>
      <c r="W92" s="1"/>
      <c r="X92" s="1">
        <f t="shared" si="86"/>
        <v>-1168.6799999999998</v>
      </c>
      <c r="Y92" s="1"/>
      <c r="Z92" s="5">
        <f t="shared" si="87"/>
        <v>-0.55320297078913361</v>
      </c>
    </row>
    <row r="93" spans="1:26" s="24" customFormat="1" hidden="1" outlineLevel="2" x14ac:dyDescent="0.25">
      <c r="A93" s="26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80"/>
        <v>0</v>
      </c>
      <c r="G93" s="2"/>
      <c r="H93" s="6">
        <v>57.95</v>
      </c>
      <c r="I93" s="2"/>
      <c r="J93" s="7">
        <f t="shared" si="81"/>
        <v>0</v>
      </c>
      <c r="K93" s="2"/>
      <c r="L93" s="6">
        <f t="shared" si="82"/>
        <v>-57.95</v>
      </c>
      <c r="M93" s="2"/>
      <c r="N93" s="7">
        <f t="shared" si="83"/>
        <v>-1</v>
      </c>
      <c r="O93" s="11"/>
      <c r="P93" s="6">
        <v>636.70000000000005</v>
      </c>
      <c r="Q93" s="2"/>
      <c r="R93" s="7">
        <f t="shared" si="84"/>
        <v>0</v>
      </c>
      <c r="S93" s="2"/>
      <c r="T93" s="6">
        <v>1468.34</v>
      </c>
      <c r="U93" s="2"/>
      <c r="V93" s="7">
        <f t="shared" si="85"/>
        <v>0</v>
      </c>
      <c r="W93" s="2"/>
      <c r="X93" s="6">
        <f t="shared" si="86"/>
        <v>-831.63999999999987</v>
      </c>
      <c r="Y93" s="2"/>
      <c r="Z93" s="7">
        <f t="shared" si="87"/>
        <v>-0.56638108340030235</v>
      </c>
    </row>
    <row r="94" spans="1:26" s="24" customFormat="1" hidden="1" outlineLevel="2" x14ac:dyDescent="0.25">
      <c r="A94" s="26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80"/>
        <v>0</v>
      </c>
      <c r="G94" s="2"/>
      <c r="H94" s="6"/>
      <c r="I94" s="2"/>
      <c r="J94" s="7">
        <f t="shared" si="81"/>
        <v>0</v>
      </c>
      <c r="K94" s="2"/>
      <c r="L94" s="6">
        <f t="shared" si="82"/>
        <v>0</v>
      </c>
      <c r="M94" s="2"/>
      <c r="N94" s="7">
        <f t="shared" si="83"/>
        <v>0</v>
      </c>
      <c r="O94" s="11"/>
      <c r="P94" s="6">
        <v>-144.33000000000001</v>
      </c>
      <c r="Q94" s="2"/>
      <c r="R94" s="7">
        <f t="shared" si="84"/>
        <v>0</v>
      </c>
      <c r="S94" s="2"/>
      <c r="T94" s="6"/>
      <c r="U94" s="2"/>
      <c r="V94" s="7">
        <f t="shared" si="85"/>
        <v>0</v>
      </c>
      <c r="W94" s="2"/>
      <c r="X94" s="6">
        <f t="shared" si="86"/>
        <v>-144.33000000000001</v>
      </c>
      <c r="Y94" s="2"/>
      <c r="Z94" s="7">
        <f t="shared" si="87"/>
        <v>0</v>
      </c>
    </row>
    <row r="95" spans="1:26" s="24" customFormat="1" hidden="1" outlineLevel="2" x14ac:dyDescent="0.25">
      <c r="A95" s="26"/>
      <c r="B95" s="11" t="str">
        <f>CONCATENATE("          ", "6298", " - ", "VEHICLE MILEAGE")</f>
        <v xml:space="preserve">          6298 - VEHICLE MILEAGE</v>
      </c>
      <c r="C95" s="11"/>
      <c r="D95" s="6"/>
      <c r="E95" s="2"/>
      <c r="F95" s="7">
        <f t="shared" si="80"/>
        <v>0</v>
      </c>
      <c r="G95" s="2"/>
      <c r="H95" s="6">
        <v>70.38</v>
      </c>
      <c r="I95" s="2"/>
      <c r="J95" s="7">
        <f t="shared" si="81"/>
        <v>0</v>
      </c>
      <c r="K95" s="2"/>
      <c r="L95" s="6">
        <f t="shared" si="82"/>
        <v>-70.38</v>
      </c>
      <c r="M95" s="2"/>
      <c r="N95" s="7">
        <f t="shared" si="83"/>
        <v>-1</v>
      </c>
      <c r="O95" s="11"/>
      <c r="P95" s="6">
        <v>451.52</v>
      </c>
      <c r="Q95" s="2"/>
      <c r="R95" s="7">
        <f t="shared" si="84"/>
        <v>0</v>
      </c>
      <c r="S95" s="2"/>
      <c r="T95" s="6">
        <v>644.23</v>
      </c>
      <c r="U95" s="2"/>
      <c r="V95" s="7">
        <f t="shared" si="85"/>
        <v>0</v>
      </c>
      <c r="W95" s="2"/>
      <c r="X95" s="6">
        <f t="shared" si="86"/>
        <v>-192.71000000000004</v>
      </c>
      <c r="Y95" s="2"/>
      <c r="Z95" s="7">
        <f t="shared" si="87"/>
        <v>-0.29913229747140002</v>
      </c>
    </row>
    <row r="96" spans="1:26" s="27" customFormat="1" outlineLevel="1" collapsed="1" x14ac:dyDescent="0.25">
      <c r="A96" s="25"/>
      <c r="B96" s="13" t="str">
        <f>CONCATENATE("     ","Utilities                                         ")</f>
        <v xml:space="preserve">     Utilities                                         </v>
      </c>
      <c r="C96" s="13"/>
      <c r="D96" s="1">
        <f>SUM(OSRRefD22_23x_0)</f>
        <v>6133</v>
      </c>
      <c r="E96" s="1"/>
      <c r="F96" s="5">
        <f t="shared" ref="F96:F97" si="88">IF(D$12=0,0,D96/D$12)</f>
        <v>0</v>
      </c>
      <c r="G96" s="1"/>
      <c r="H96" s="1">
        <f>SUM(OSRRefH22_23x_0)</f>
        <v>5593</v>
      </c>
      <c r="I96" s="1"/>
      <c r="J96" s="5">
        <f t="shared" ref="J96:J97" si="89">IF(H$12=0,0,H96/H$12)</f>
        <v>0</v>
      </c>
      <c r="K96" s="1"/>
      <c r="L96" s="1">
        <f t="shared" ref="L96:L97" si="90">+D96-H96</f>
        <v>540</v>
      </c>
      <c r="M96" s="1"/>
      <c r="N96" s="5">
        <f t="shared" ref="N96:N97" si="91">IF(H96=0,0,L96/H96)</f>
        <v>9.6549258001072766E-2</v>
      </c>
      <c r="O96" s="13"/>
      <c r="P96" s="1">
        <f>SUM(OSRRefP22_23x_0)</f>
        <v>62404.999999999993</v>
      </c>
      <c r="Q96" s="1"/>
      <c r="R96" s="5">
        <f t="shared" ref="R96:R97" si="92">IF(P$12=0,0,P96/P$12)</f>
        <v>0</v>
      </c>
      <c r="S96" s="1"/>
      <c r="T96" s="1">
        <f>SUM(OSRRefT22_23x_0)</f>
        <v>48570</v>
      </c>
      <c r="U96" s="1"/>
      <c r="V96" s="5">
        <f t="shared" ref="V96:V97" si="93">IF(T$12=0,0,T96/T$12)</f>
        <v>0</v>
      </c>
      <c r="W96" s="1"/>
      <c r="X96" s="1">
        <f t="shared" ref="X96:X97" si="94">+P96-T96</f>
        <v>13834.999999999993</v>
      </c>
      <c r="Y96" s="1"/>
      <c r="Z96" s="5">
        <f t="shared" ref="Z96:Z97" si="95">IF(T96=0,0,X96/T96)</f>
        <v>0.28484661313568033</v>
      </c>
    </row>
    <row r="97" spans="1:26" s="24" customFormat="1" hidden="1" outlineLevel="2" x14ac:dyDescent="0.25">
      <c r="A97" s="26"/>
      <c r="B97" s="11" t="str">
        <f>CONCATENATE("          ", "6274", " - ", "UTILITIES")</f>
        <v xml:space="preserve">          6274 - UTILITIES</v>
      </c>
      <c r="C97" s="11"/>
      <c r="D97" s="6">
        <v>6133</v>
      </c>
      <c r="E97" s="2"/>
      <c r="F97" s="7">
        <f t="shared" si="88"/>
        <v>0</v>
      </c>
      <c r="G97" s="2"/>
      <c r="H97" s="6">
        <v>5593</v>
      </c>
      <c r="I97" s="2"/>
      <c r="J97" s="7">
        <f t="shared" si="89"/>
        <v>0</v>
      </c>
      <c r="K97" s="2"/>
      <c r="L97" s="6">
        <f t="shared" si="90"/>
        <v>540</v>
      </c>
      <c r="M97" s="2"/>
      <c r="N97" s="7">
        <f t="shared" si="91"/>
        <v>9.6549258001072766E-2</v>
      </c>
      <c r="O97" s="11"/>
      <c r="P97" s="6">
        <v>62404.999999999993</v>
      </c>
      <c r="Q97" s="2"/>
      <c r="R97" s="7">
        <f t="shared" si="92"/>
        <v>0</v>
      </c>
      <c r="S97" s="2"/>
      <c r="T97" s="6">
        <v>48570</v>
      </c>
      <c r="U97" s="2"/>
      <c r="V97" s="7">
        <f t="shared" si="93"/>
        <v>0</v>
      </c>
      <c r="W97" s="2"/>
      <c r="X97" s="6">
        <f t="shared" si="94"/>
        <v>13834.999999999993</v>
      </c>
      <c r="Y97" s="2"/>
      <c r="Z97" s="7">
        <f t="shared" si="95"/>
        <v>0.28484661313568033</v>
      </c>
    </row>
    <row r="98" spans="1:26" s="58" customFormat="1" x14ac:dyDescent="0.25">
      <c r="A98" s="37"/>
      <c r="B98" s="37"/>
      <c r="C98" s="37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7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8" t="s">
        <v>0</v>
      </c>
      <c r="C99" s="10"/>
      <c r="D99" s="4">
        <f>SUM(OSRRefD25x_0)</f>
        <v>34229.360000000001</v>
      </c>
      <c r="E99" s="4"/>
      <c r="F99" s="12">
        <f t="shared" ref="F99:F102" si="96">IF(D$12=0,0,D99/D$12)</f>
        <v>0</v>
      </c>
      <c r="G99" s="4"/>
      <c r="H99" s="4">
        <f>SUM(OSRRefH25x_0)</f>
        <v>48656.3</v>
      </c>
      <c r="I99" s="4"/>
      <c r="J99" s="12">
        <f t="shared" ref="J99:J102" si="97">IF(H$12=0,0,H99/H$12)</f>
        <v>0</v>
      </c>
      <c r="K99" s="4"/>
      <c r="L99" s="4">
        <f t="shared" ref="L99:L102" si="98">+D99-H99</f>
        <v>-14426.940000000002</v>
      </c>
      <c r="M99" s="4"/>
      <c r="N99" s="12">
        <f t="shared" ref="N99:N102" si="99">IF(H99=0,0,L99/H99)</f>
        <v>-0.29650713268374296</v>
      </c>
      <c r="O99" s="10"/>
      <c r="P99" s="4">
        <f>SUM(OSRRefP25x_0)</f>
        <v>220240.06</v>
      </c>
      <c r="Q99" s="4"/>
      <c r="R99" s="12">
        <f t="shared" ref="R99:R102" si="100">IF(P$12=0,0,P99/P$12)</f>
        <v>0</v>
      </c>
      <c r="S99" s="4"/>
      <c r="T99" s="4">
        <f>SUM(OSRRefT25x_0)</f>
        <v>273459.08</v>
      </c>
      <c r="U99" s="4"/>
      <c r="V99" s="12">
        <f t="shared" ref="V99:V102" si="101">IF(T$12=0,0,T99/T$12)</f>
        <v>0</v>
      </c>
      <c r="W99" s="4"/>
      <c r="X99" s="4">
        <f t="shared" ref="X99:X102" si="102">+P99-T99</f>
        <v>-53219.020000000019</v>
      </c>
      <c r="Y99" s="4"/>
      <c r="Z99" s="12">
        <f t="shared" ref="Z99:Z102" si="103">IF(T99=0,0,X99/T99)</f>
        <v>-0.19461419968208776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--34229.36</f>
        <v>34229.360000000001</v>
      </c>
      <c r="E100" s="2"/>
      <c r="F100" s="19">
        <f t="shared" si="96"/>
        <v>0</v>
      </c>
      <c r="G100" s="2"/>
      <c r="H100" s="2">
        <f>--14862.51</f>
        <v>14862.51</v>
      </c>
      <c r="I100" s="2"/>
      <c r="J100" s="19">
        <f t="shared" si="97"/>
        <v>0</v>
      </c>
      <c r="K100" s="2"/>
      <c r="L100" s="2">
        <f t="shared" si="98"/>
        <v>19366.849999999999</v>
      </c>
      <c r="M100" s="2"/>
      <c r="N100" s="19">
        <f t="shared" si="99"/>
        <v>1.3030672477259897</v>
      </c>
      <c r="O100" s="11"/>
      <c r="P100" s="2">
        <f>--213141.66</f>
        <v>213141.66</v>
      </c>
      <c r="Q100" s="2"/>
      <c r="R100" s="19">
        <f t="shared" si="100"/>
        <v>0</v>
      </c>
      <c r="S100" s="2"/>
      <c r="T100" s="2">
        <f>--272780.82</f>
        <v>272780.82</v>
      </c>
      <c r="U100" s="2"/>
      <c r="V100" s="19">
        <f t="shared" si="101"/>
        <v>0</v>
      </c>
      <c r="W100" s="2"/>
      <c r="X100" s="2">
        <f t="shared" si="102"/>
        <v>-59639.16</v>
      </c>
      <c r="Y100" s="2"/>
      <c r="Z100" s="19">
        <f t="shared" si="103"/>
        <v>-0.2186339934017355</v>
      </c>
    </row>
    <row r="101" spans="1:26" s="24" customFormat="1" hidden="1" outlineLevel="1" x14ac:dyDescent="0.25">
      <c r="A101" s="44"/>
      <c r="B101" s="11" t="str">
        <f>CONCATENATE("          ", "9151", " - ", "MISC. INCOME")</f>
        <v xml:space="preserve">          9151 - MISC. INCOME</v>
      </c>
      <c r="C101" s="11"/>
      <c r="D101" s="2">
        <f t="shared" ref="D101:D102" si="104">0</f>
        <v>0</v>
      </c>
      <c r="E101" s="2"/>
      <c r="F101" s="19">
        <f t="shared" si="96"/>
        <v>0</v>
      </c>
      <c r="G101" s="2"/>
      <c r="H101" s="2">
        <f>--33793.79</f>
        <v>33793.79</v>
      </c>
      <c r="I101" s="2"/>
      <c r="J101" s="19">
        <f t="shared" si="97"/>
        <v>0</v>
      </c>
      <c r="K101" s="2"/>
      <c r="L101" s="2">
        <f t="shared" si="98"/>
        <v>-33793.79</v>
      </c>
      <c r="M101" s="2"/>
      <c r="N101" s="19">
        <f t="shared" si="99"/>
        <v>-1</v>
      </c>
      <c r="O101" s="11"/>
      <c r="P101" s="2">
        <f>--6648.4</f>
        <v>6648.4</v>
      </c>
      <c r="Q101" s="2"/>
      <c r="R101" s="19">
        <f t="shared" si="100"/>
        <v>0</v>
      </c>
      <c r="S101" s="2"/>
      <c r="T101" s="2">
        <f>--498.26</f>
        <v>498.26</v>
      </c>
      <c r="U101" s="2"/>
      <c r="V101" s="19">
        <f t="shared" si="101"/>
        <v>0</v>
      </c>
      <c r="W101" s="2"/>
      <c r="X101" s="2">
        <f t="shared" si="102"/>
        <v>6150.1399999999994</v>
      </c>
      <c r="Y101" s="2"/>
      <c r="Z101" s="19">
        <f t="shared" si="103"/>
        <v>12.343234455906554</v>
      </c>
    </row>
    <row r="102" spans="1:26" s="24" customFormat="1" hidden="1" outlineLevel="1" x14ac:dyDescent="0.25">
      <c r="A102" s="44"/>
      <c r="B102" s="11" t="str">
        <f>CONCATENATE("          ", "9153", " - ", "MISC. INCOME")</f>
        <v xml:space="preserve">          9153 - MISC. INCOME</v>
      </c>
      <c r="C102" s="11"/>
      <c r="D102" s="2">
        <f t="shared" si="104"/>
        <v>0</v>
      </c>
      <c r="E102" s="2"/>
      <c r="F102" s="19">
        <f t="shared" si="96"/>
        <v>0</v>
      </c>
      <c r="G102" s="2"/>
      <c r="H102" s="2">
        <f>0</f>
        <v>0</v>
      </c>
      <c r="I102" s="2"/>
      <c r="J102" s="19">
        <f t="shared" si="97"/>
        <v>0</v>
      </c>
      <c r="K102" s="2"/>
      <c r="L102" s="2">
        <f t="shared" si="98"/>
        <v>0</v>
      </c>
      <c r="M102" s="2"/>
      <c r="N102" s="19">
        <f t="shared" si="99"/>
        <v>0</v>
      </c>
      <c r="O102" s="11"/>
      <c r="P102" s="2">
        <f>--450</f>
        <v>450</v>
      </c>
      <c r="Q102" s="2"/>
      <c r="R102" s="19">
        <f t="shared" si="100"/>
        <v>0</v>
      </c>
      <c r="S102" s="2"/>
      <c r="T102" s="2">
        <f>--180</f>
        <v>180</v>
      </c>
      <c r="U102" s="2"/>
      <c r="V102" s="19">
        <f t="shared" si="101"/>
        <v>0</v>
      </c>
      <c r="W102" s="2"/>
      <c r="X102" s="2">
        <f t="shared" si="102"/>
        <v>270</v>
      </c>
      <c r="Y102" s="2"/>
      <c r="Z102" s="19">
        <f t="shared" si="103"/>
        <v>1.5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9" t="s">
        <v>3</v>
      </c>
      <c r="C104" s="29"/>
      <c r="D104" s="21">
        <f>+D17-D19+D99</f>
        <v>-29877.5</v>
      </c>
      <c r="E104" s="14"/>
      <c r="F104" s="20">
        <f>IF(D$12=0,0,D104/D$12)</f>
        <v>0</v>
      </c>
      <c r="G104" s="14"/>
      <c r="H104" s="21">
        <f>+H17-H19+H99</f>
        <v>-74332.570000000022</v>
      </c>
      <c r="I104" s="14"/>
      <c r="J104" s="20">
        <f>IF(H$12=0,0,H104/H$12)</f>
        <v>0</v>
      </c>
      <c r="K104" s="16"/>
      <c r="L104" s="21">
        <f>+D104-H104</f>
        <v>44455.070000000022</v>
      </c>
      <c r="M104" s="16"/>
      <c r="N104" s="20">
        <f>IF(H104=0,0,L104/H104)</f>
        <v>-0.59805641053444014</v>
      </c>
      <c r="O104" s="28"/>
      <c r="P104" s="21">
        <f>+P17-P19+P99</f>
        <v>-998035.65999999968</v>
      </c>
      <c r="Q104" s="14"/>
      <c r="R104" s="20">
        <f>IF(P$12=0,0,P104/P$12)</f>
        <v>0</v>
      </c>
      <c r="S104" s="14"/>
      <c r="T104" s="21">
        <f>+T17-T19+T99</f>
        <v>-1192399.9100000004</v>
      </c>
      <c r="U104" s="14"/>
      <c r="V104" s="20">
        <f>IF(T$12=0,0,T104/T$12)</f>
        <v>0</v>
      </c>
      <c r="W104" s="16"/>
      <c r="X104" s="21">
        <f>+P104-T104</f>
        <v>194364.2500000007</v>
      </c>
      <c r="Y104" s="16"/>
      <c r="Z104" s="20">
        <f>IF(T104=0,0,X104/T104)</f>
        <v>-0.16300257016960076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1"/>
      <c r="B106" s="10" t="s">
        <v>13</v>
      </c>
      <c r="C106" s="10"/>
      <c r="D106" s="4"/>
      <c r="E106" s="4"/>
      <c r="F106" s="12">
        <f>IF(D$12=0,0,D106/D$12)</f>
        <v>0</v>
      </c>
      <c r="G106" s="4"/>
      <c r="H106" s="4"/>
      <c r="I106" s="4"/>
      <c r="J106" s="12">
        <f>IF(H$12=0,0,H106/H$12)</f>
        <v>0</v>
      </c>
      <c r="K106" s="4"/>
      <c r="L106" s="4">
        <f>+D106-H106</f>
        <v>0</v>
      </c>
      <c r="M106" s="4"/>
      <c r="N106" s="12">
        <f>IF(H106=0,0,L106/H106)</f>
        <v>0</v>
      </c>
      <c r="O106" s="10"/>
      <c r="P106" s="4"/>
      <c r="Q106" s="4"/>
      <c r="R106" s="12">
        <f>IF(P$12=0,0,P106/P$12)</f>
        <v>0</v>
      </c>
      <c r="S106" s="4"/>
      <c r="T106" s="4"/>
      <c r="U106" s="4"/>
      <c r="V106" s="12">
        <f>IF(T$12=0,0,T106/T$12)</f>
        <v>0</v>
      </c>
      <c r="W106" s="4"/>
      <c r="X106" s="4">
        <f>+P106-T106</f>
        <v>0</v>
      </c>
      <c r="Y106" s="4"/>
      <c r="Z106" s="12">
        <f>IF(T106=0,0,X106/T106)</f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4</v>
      </c>
      <c r="C108" s="29"/>
      <c r="D108" s="35">
        <f>+D104-D106</f>
        <v>-29877.5</v>
      </c>
      <c r="E108" s="14"/>
      <c r="F108" s="32">
        <f>IF(D$12=0,0,D108/D$12)</f>
        <v>0</v>
      </c>
      <c r="G108" s="14"/>
      <c r="H108" s="35">
        <f>+H104-H106</f>
        <v>-74332.570000000022</v>
      </c>
      <c r="I108" s="14"/>
      <c r="J108" s="32">
        <f>IF(H$12=0,0,H108/H$12)</f>
        <v>0</v>
      </c>
      <c r="K108" s="16"/>
      <c r="L108" s="35">
        <f>D108-H108</f>
        <v>44455.070000000022</v>
      </c>
      <c r="M108" s="16"/>
      <c r="N108" s="32">
        <f>IF(H108=0,0,L108/H108)</f>
        <v>-0.59805641053444014</v>
      </c>
      <c r="O108" s="28"/>
      <c r="P108" s="35">
        <f>+P104-P106</f>
        <v>-998035.65999999968</v>
      </c>
      <c r="Q108" s="14"/>
      <c r="R108" s="32">
        <f>IF(P$12=0,0,P108/P$12)</f>
        <v>0</v>
      </c>
      <c r="S108" s="14"/>
      <c r="T108" s="35">
        <f>+T104-T106</f>
        <v>-1192399.9100000004</v>
      </c>
      <c r="U108" s="14"/>
      <c r="V108" s="32">
        <f>IF(T$12=0,0,T108/T$12)</f>
        <v>0</v>
      </c>
      <c r="W108" s="16"/>
      <c r="X108" s="35">
        <f>P108-T108</f>
        <v>194364.2500000007</v>
      </c>
      <c r="Y108" s="16"/>
      <c r="Z108" s="32">
        <f>IF(T108=0,0,X108/T108)</f>
        <v>-0.16300257016960076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5</v>
      </c>
      <c r="C111" s="29"/>
      <c r="D111" s="36">
        <f>SUM(D108:D110)</f>
        <v>-29877.5</v>
      </c>
      <c r="E111" s="14"/>
      <c r="F111" s="33">
        <f>IF(D$12=0,0,D111/D$12)</f>
        <v>0</v>
      </c>
      <c r="G111" s="14"/>
      <c r="H111" s="36">
        <f>SUM(H108:H110)</f>
        <v>-74332.570000000022</v>
      </c>
      <c r="I111" s="14"/>
      <c r="J111" s="33">
        <f>IF(H$12=0,0,H111/H$12)</f>
        <v>0</v>
      </c>
      <c r="K111" s="16"/>
      <c r="L111" s="36">
        <f>+D111-H111</f>
        <v>44455.070000000022</v>
      </c>
      <c r="M111" s="16"/>
      <c r="N111" s="33">
        <f>IF(H111=0,0,L111/H111)</f>
        <v>-0.59805641053444014</v>
      </c>
      <c r="O111" s="28"/>
      <c r="P111" s="36">
        <f>SUM(P108:P110)</f>
        <v>-998035.65999999968</v>
      </c>
      <c r="Q111" s="14"/>
      <c r="R111" s="33">
        <f>IF(P$12=0,0,P111/P$12)</f>
        <v>0</v>
      </c>
      <c r="S111" s="14"/>
      <c r="T111" s="36">
        <f>SUM(T108:T110)</f>
        <v>-1192399.9100000004</v>
      </c>
      <c r="U111" s="14"/>
      <c r="V111" s="33">
        <f>IF(T$12=0,0,T111/T$12)</f>
        <v>0</v>
      </c>
      <c r="W111" s="16"/>
      <c r="X111" s="36">
        <f>+P111-T111</f>
        <v>194364.2500000007</v>
      </c>
      <c r="Y111" s="16"/>
      <c r="Z111" s="33">
        <f>IF(T111=0,0,X111/T111)</f>
        <v>-0.16300257016960076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5">
        <v>43992.375288194446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62" t="s">
        <v>313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A115" s="9"/>
      <c r="B115" s="53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8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6">
        <f>SUM(D26:D28)</f>
        <v>0</v>
      </c>
      <c r="E29" s="14"/>
      <c r="F29" s="33">
        <f>IF(D$12=0,0,D29/D$12)</f>
        <v>0</v>
      </c>
      <c r="G29" s="14"/>
      <c r="H29" s="36">
        <f>SUM(H26:H28)</f>
        <v>0</v>
      </c>
      <c r="I29" s="14"/>
      <c r="J29" s="33">
        <f>IF(H$12=0,0,H29/H$12)</f>
        <v>0</v>
      </c>
      <c r="K29" s="16"/>
      <c r="L29" s="36">
        <f>+D29-H29</f>
        <v>0</v>
      </c>
      <c r="M29" s="16"/>
      <c r="N29" s="33">
        <f>IF(H29=0,0,L29/H29)</f>
        <v>0</v>
      </c>
      <c r="O29" s="28"/>
      <c r="P29" s="36">
        <f>SUM(P26:P28)</f>
        <v>0</v>
      </c>
      <c r="Q29" s="14"/>
      <c r="R29" s="33">
        <f>IF(P$12=0,0,P29/P$12)</f>
        <v>0</v>
      </c>
      <c r="S29" s="14"/>
      <c r="T29" s="36">
        <f>SUM(T26:T28)</f>
        <v>0</v>
      </c>
      <c r="U29" s="14"/>
      <c r="V29" s="33">
        <f>IF(T$12=0,0,T29/T$12)</f>
        <v>0</v>
      </c>
      <c r="W29" s="16"/>
      <c r="X29" s="36">
        <f>+P29-T29</f>
        <v>0</v>
      </c>
      <c r="Y29" s="16"/>
      <c r="Z29" s="33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55">
        <v>43992.375391585651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2" t="s">
        <v>313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6982.2300000000014</v>
      </c>
      <c r="E12" s="4"/>
      <c r="F12" s="12"/>
      <c r="G12" s="4"/>
      <c r="H12" s="4">
        <f>SUM(OSRRefH13x_0)</f>
        <v>45349.03</v>
      </c>
      <c r="I12" s="4"/>
      <c r="J12" s="12"/>
      <c r="K12" s="4"/>
      <c r="L12" s="4">
        <f t="shared" ref="L12:L55" si="0">+D12-H12</f>
        <v>-38366.799999999996</v>
      </c>
      <c r="M12" s="4"/>
      <c r="N12" s="12">
        <f t="shared" ref="N12:N55" si="1">IF(H12=0,0,L12/H12)</f>
        <v>-0.84603353147796101</v>
      </c>
      <c r="O12" s="10"/>
      <c r="P12" s="4">
        <f>SUM(OSRRefP13x_0)</f>
        <v>821682.18999999983</v>
      </c>
      <c r="Q12" s="4"/>
      <c r="R12" s="12"/>
      <c r="S12" s="4"/>
      <c r="T12" s="4">
        <f>SUM(OSRRefT13x_0)</f>
        <v>930488.5199999999</v>
      </c>
      <c r="U12" s="4"/>
      <c r="V12" s="12"/>
      <c r="W12" s="4"/>
      <c r="X12" s="4">
        <f t="shared" ref="X12:X55" si="2">+P12-T12</f>
        <v>-108806.33000000007</v>
      </c>
      <c r="Y12" s="4"/>
      <c r="Z12" s="12">
        <f t="shared" ref="Z12:Z55" si="3">IF(T12=0,0,X12/T12)</f>
        <v>-0.1169346291343821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 t="shared" ref="D13:D15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--109.2</f>
        <v>109.2</v>
      </c>
      <c r="U13" s="2"/>
      <c r="V13" s="19"/>
      <c r="W13" s="2"/>
      <c r="X13" s="2">
        <f t="shared" si="2"/>
        <v>-109.2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--44.93</f>
        <v>44.93</v>
      </c>
      <c r="I14" s="2"/>
      <c r="J14" s="19"/>
      <c r="K14" s="2"/>
      <c r="L14" s="2">
        <f t="shared" si="0"/>
        <v>-44.93</v>
      </c>
      <c r="M14" s="2"/>
      <c r="N14" s="19">
        <f t="shared" si="1"/>
        <v>-1</v>
      </c>
      <c r="O14" s="11"/>
      <c r="P14" s="2">
        <f>--347.52</f>
        <v>347.52</v>
      </c>
      <c r="Q14" s="2"/>
      <c r="R14" s="19"/>
      <c r="S14" s="2"/>
      <c r="T14" s="2">
        <f>--762.54</f>
        <v>762.54</v>
      </c>
      <c r="U14" s="2"/>
      <c r="V14" s="19"/>
      <c r="W14" s="2"/>
      <c r="X14" s="2">
        <f t="shared" si="2"/>
        <v>-415.02</v>
      </c>
      <c r="Y14" s="2"/>
      <c r="Z14" s="19">
        <f t="shared" si="3"/>
        <v>-0.54425997324730502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--14.95</f>
        <v>14.95</v>
      </c>
      <c r="I15" s="2"/>
      <c r="J15" s="19"/>
      <c r="K15" s="2"/>
      <c r="L15" s="2">
        <f t="shared" si="0"/>
        <v>-14.95</v>
      </c>
      <c r="M15" s="2"/>
      <c r="N15" s="19">
        <f t="shared" si="1"/>
        <v>-1</v>
      </c>
      <c r="O15" s="11"/>
      <c r="P15" s="2">
        <f>--42.85</f>
        <v>42.85</v>
      </c>
      <c r="Q15" s="2"/>
      <c r="R15" s="19"/>
      <c r="S15" s="2"/>
      <c r="T15" s="2">
        <f>--81.89</f>
        <v>81.89</v>
      </c>
      <c r="U15" s="2"/>
      <c r="V15" s="19"/>
      <c r="W15" s="2"/>
      <c r="X15" s="2">
        <f t="shared" si="2"/>
        <v>-39.04</v>
      </c>
      <c r="Y15" s="2"/>
      <c r="Z15" s="19">
        <f t="shared" si="3"/>
        <v>-0.47673708633532785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--17.25</f>
        <v>17.25</v>
      </c>
      <c r="E16" s="2"/>
      <c r="F16" s="19"/>
      <c r="G16" s="2"/>
      <c r="H16" s="2">
        <f>--3554.35</f>
        <v>3554.35</v>
      </c>
      <c r="I16" s="2"/>
      <c r="J16" s="19"/>
      <c r="K16" s="2"/>
      <c r="L16" s="2">
        <f t="shared" si="0"/>
        <v>-3537.1</v>
      </c>
      <c r="M16" s="2"/>
      <c r="N16" s="19">
        <f t="shared" si="1"/>
        <v>-0.99514679195914868</v>
      </c>
      <c r="O16" s="11"/>
      <c r="P16" s="2">
        <f>--54706.49</f>
        <v>54706.49</v>
      </c>
      <c r="Q16" s="2"/>
      <c r="R16" s="19"/>
      <c r="S16" s="2"/>
      <c r="T16" s="2">
        <f>--60156.49</f>
        <v>60156.49</v>
      </c>
      <c r="U16" s="2"/>
      <c r="V16" s="19"/>
      <c r="W16" s="2"/>
      <c r="X16" s="2">
        <f t="shared" si="2"/>
        <v>-5450</v>
      </c>
      <c r="Y16" s="2"/>
      <c r="Z16" s="19">
        <f t="shared" si="3"/>
        <v>-9.0597041150505958E-2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--859.78</f>
        <v>859.78</v>
      </c>
      <c r="E17" s="2"/>
      <c r="F17" s="19"/>
      <c r="G17" s="2"/>
      <c r="H17" s="2">
        <f>--6469.27</f>
        <v>6469.27</v>
      </c>
      <c r="I17" s="2"/>
      <c r="J17" s="19"/>
      <c r="K17" s="2"/>
      <c r="L17" s="2">
        <f t="shared" si="0"/>
        <v>-5609.4900000000007</v>
      </c>
      <c r="M17" s="2"/>
      <c r="N17" s="19">
        <f t="shared" si="1"/>
        <v>-0.86709783329494672</v>
      </c>
      <c r="O17" s="11"/>
      <c r="P17" s="2">
        <f>--80579.98</f>
        <v>80579.98</v>
      </c>
      <c r="Q17" s="2"/>
      <c r="R17" s="19"/>
      <c r="S17" s="2"/>
      <c r="T17" s="2">
        <f>--80957.11</f>
        <v>80957.11</v>
      </c>
      <c r="U17" s="2"/>
      <c r="V17" s="19"/>
      <c r="W17" s="2"/>
      <c r="X17" s="2">
        <f t="shared" si="2"/>
        <v>-377.13000000000466</v>
      </c>
      <c r="Y17" s="2"/>
      <c r="Z17" s="19">
        <f t="shared" si="3"/>
        <v>-4.6583925735491872E-3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--5530.51</f>
        <v>5530.51</v>
      </c>
      <c r="E18" s="2"/>
      <c r="F18" s="19"/>
      <c r="G18" s="2"/>
      <c r="H18" s="2">
        <f>--14816.86</f>
        <v>14816.86</v>
      </c>
      <c r="I18" s="2"/>
      <c r="J18" s="19"/>
      <c r="K18" s="2"/>
      <c r="L18" s="2">
        <f t="shared" si="0"/>
        <v>-9286.35</v>
      </c>
      <c r="M18" s="2"/>
      <c r="N18" s="19">
        <f t="shared" si="1"/>
        <v>-0.62674210325264601</v>
      </c>
      <c r="O18" s="11"/>
      <c r="P18" s="2">
        <f>--276615.48</f>
        <v>276615.48</v>
      </c>
      <c r="Q18" s="2"/>
      <c r="R18" s="19"/>
      <c r="S18" s="2"/>
      <c r="T18" s="2">
        <f>--291209.92</f>
        <v>291209.92</v>
      </c>
      <c r="U18" s="2"/>
      <c r="V18" s="19"/>
      <c r="W18" s="2"/>
      <c r="X18" s="2">
        <f t="shared" si="2"/>
        <v>-14594.440000000002</v>
      </c>
      <c r="Y18" s="2"/>
      <c r="Z18" s="19">
        <f t="shared" si="3"/>
        <v>-5.0116561963273791E-2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--425.18</f>
        <v>425.18</v>
      </c>
      <c r="E19" s="2"/>
      <c r="F19" s="19"/>
      <c r="G19" s="2"/>
      <c r="H19" s="2">
        <f>--11322.32</f>
        <v>11322.32</v>
      </c>
      <c r="I19" s="2"/>
      <c r="J19" s="19"/>
      <c r="K19" s="2"/>
      <c r="L19" s="2">
        <f t="shared" si="0"/>
        <v>-10897.14</v>
      </c>
      <c r="M19" s="2"/>
      <c r="N19" s="19">
        <f t="shared" si="1"/>
        <v>-0.96244762557497043</v>
      </c>
      <c r="O19" s="11"/>
      <c r="P19" s="2">
        <f>--293191.05</f>
        <v>293191.05</v>
      </c>
      <c r="Q19" s="2"/>
      <c r="R19" s="19"/>
      <c r="S19" s="2"/>
      <c r="T19" s="2">
        <f>--345370.44</f>
        <v>345370.44</v>
      </c>
      <c r="U19" s="2"/>
      <c r="V19" s="19"/>
      <c r="W19" s="2"/>
      <c r="X19" s="2">
        <f t="shared" si="2"/>
        <v>-52179.390000000014</v>
      </c>
      <c r="Y19" s="2"/>
      <c r="Z19" s="19">
        <f t="shared" si="3"/>
        <v>-0.15108238562628584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3" si="5">0</f>
        <v>0</v>
      </c>
      <c r="E20" s="2"/>
      <c r="F20" s="19"/>
      <c r="G20" s="2"/>
      <c r="H20" s="2">
        <f>--35.13</f>
        <v>35.130000000000003</v>
      </c>
      <c r="I20" s="2"/>
      <c r="J20" s="19"/>
      <c r="K20" s="2"/>
      <c r="L20" s="2">
        <f t="shared" si="0"/>
        <v>-35.130000000000003</v>
      </c>
      <c r="M20" s="2"/>
      <c r="N20" s="19">
        <f t="shared" si="1"/>
        <v>-1</v>
      </c>
      <c r="O20" s="11"/>
      <c r="P20" s="2">
        <f>--486.34</f>
        <v>486.34</v>
      </c>
      <c r="Q20" s="2"/>
      <c r="R20" s="19"/>
      <c r="S20" s="2"/>
      <c r="T20" s="2">
        <f>--693.83</f>
        <v>693.83</v>
      </c>
      <c r="U20" s="2"/>
      <c r="V20" s="19"/>
      <c r="W20" s="2"/>
      <c r="X20" s="2">
        <f t="shared" si="2"/>
        <v>-207.49000000000007</v>
      </c>
      <c r="Y20" s="2"/>
      <c r="Z20" s="19">
        <f t="shared" si="3"/>
        <v>-0.29905019961662088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>
        <f>--29.05</f>
        <v>29.05</v>
      </c>
      <c r="I21" s="2"/>
      <c r="J21" s="19"/>
      <c r="K21" s="2"/>
      <c r="L21" s="2">
        <f t="shared" si="0"/>
        <v>-29.05</v>
      </c>
      <c r="M21" s="2"/>
      <c r="N21" s="19">
        <f t="shared" si="1"/>
        <v>-1</v>
      </c>
      <c r="O21" s="11"/>
      <c r="P21" s="2">
        <f>--1905.06</f>
        <v>1905.06</v>
      </c>
      <c r="Q21" s="2"/>
      <c r="R21" s="19"/>
      <c r="S21" s="2"/>
      <c r="T21" s="2">
        <f>--498.5</f>
        <v>498.5</v>
      </c>
      <c r="U21" s="2"/>
      <c r="V21" s="19"/>
      <c r="W21" s="2"/>
      <c r="X21" s="2">
        <f t="shared" si="2"/>
        <v>1406.56</v>
      </c>
      <c r="Y21" s="2"/>
      <c r="Z21" s="19">
        <f t="shared" si="3"/>
        <v>2.8215847542627883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>
        <f>--19.79</f>
        <v>19.79</v>
      </c>
      <c r="I22" s="2"/>
      <c r="J22" s="19"/>
      <c r="K22" s="2"/>
      <c r="L22" s="2">
        <f t="shared" si="0"/>
        <v>-19.79</v>
      </c>
      <c r="M22" s="2"/>
      <c r="N22" s="19">
        <f t="shared" si="1"/>
        <v>-1</v>
      </c>
      <c r="O22" s="11"/>
      <c r="P22" s="2">
        <f>--205.53</f>
        <v>205.53</v>
      </c>
      <c r="Q22" s="2"/>
      <c r="R22" s="19"/>
      <c r="S22" s="2"/>
      <c r="T22" s="2">
        <f>--263.85</f>
        <v>263.85000000000002</v>
      </c>
      <c r="U22" s="2"/>
      <c r="V22" s="19"/>
      <c r="W22" s="2"/>
      <c r="X22" s="2">
        <f t="shared" si="2"/>
        <v>-58.320000000000022</v>
      </c>
      <c r="Y22" s="2"/>
      <c r="Z22" s="19">
        <f t="shared" si="3"/>
        <v>-0.22103467879476982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>
        <f>--602.13</f>
        <v>602.13</v>
      </c>
      <c r="I23" s="2"/>
      <c r="J23" s="19"/>
      <c r="K23" s="2"/>
      <c r="L23" s="2">
        <f t="shared" si="0"/>
        <v>-602.13</v>
      </c>
      <c r="M23" s="2"/>
      <c r="N23" s="19">
        <f t="shared" si="1"/>
        <v>-1</v>
      </c>
      <c r="O23" s="11"/>
      <c r="P23" s="2">
        <f>--7803.51</f>
        <v>7803.51</v>
      </c>
      <c r="Q23" s="2"/>
      <c r="R23" s="19"/>
      <c r="S23" s="2"/>
      <c r="T23" s="2">
        <f>--8806.82</f>
        <v>8806.82</v>
      </c>
      <c r="U23" s="2"/>
      <c r="V23" s="19"/>
      <c r="W23" s="2"/>
      <c r="X23" s="2">
        <f t="shared" si="2"/>
        <v>-1003.3099999999995</v>
      </c>
      <c r="Y23" s="2"/>
      <c r="Z23" s="19">
        <f t="shared" si="3"/>
        <v>-0.11392420873822783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>
        <f>--103.35</f>
        <v>103.35</v>
      </c>
      <c r="I24" s="2"/>
      <c r="J24" s="19"/>
      <c r="K24" s="2"/>
      <c r="L24" s="2">
        <f t="shared" si="0"/>
        <v>-103.35</v>
      </c>
      <c r="M24" s="2"/>
      <c r="N24" s="19">
        <f t="shared" si="1"/>
        <v>-1</v>
      </c>
      <c r="O24" s="11"/>
      <c r="P24" s="2">
        <f>--1981.84</f>
        <v>1981.84</v>
      </c>
      <c r="Q24" s="2"/>
      <c r="R24" s="19"/>
      <c r="S24" s="2"/>
      <c r="T24" s="2">
        <f>--2670.09</f>
        <v>2670.09</v>
      </c>
      <c r="U24" s="2"/>
      <c r="V24" s="19"/>
      <c r="W24" s="2"/>
      <c r="X24" s="2">
        <f t="shared" si="2"/>
        <v>-688.25000000000023</v>
      </c>
      <c r="Y24" s="2"/>
      <c r="Z24" s="19">
        <f t="shared" si="3"/>
        <v>-0.2577628469452341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>
        <f>--64.16</f>
        <v>64.16</v>
      </c>
      <c r="I25" s="2"/>
      <c r="J25" s="19"/>
      <c r="K25" s="2"/>
      <c r="L25" s="2">
        <f t="shared" si="0"/>
        <v>-64.16</v>
      </c>
      <c r="M25" s="2"/>
      <c r="N25" s="19">
        <f t="shared" si="1"/>
        <v>-1</v>
      </c>
      <c r="O25" s="11"/>
      <c r="P25" s="2">
        <f>--513.51</f>
        <v>513.51</v>
      </c>
      <c r="Q25" s="2"/>
      <c r="R25" s="19"/>
      <c r="S25" s="2"/>
      <c r="T25" s="2">
        <f>--870.15</f>
        <v>870.15</v>
      </c>
      <c r="U25" s="2"/>
      <c r="V25" s="19"/>
      <c r="W25" s="2"/>
      <c r="X25" s="2">
        <f t="shared" si="2"/>
        <v>-356.64</v>
      </c>
      <c r="Y25" s="2"/>
      <c r="Z25" s="19">
        <f t="shared" si="3"/>
        <v>-0.40986036890191346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>
        <f t="shared" ref="H26:H28" si="6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>
        <f>--736.93</f>
        <v>736.93</v>
      </c>
      <c r="U27" s="2"/>
      <c r="V27" s="19"/>
      <c r="W27" s="2"/>
      <c r="X27" s="2">
        <f t="shared" si="2"/>
        <v>-153.2299999999999</v>
      </c>
      <c r="Y27" s="2"/>
      <c r="Z27" s="19">
        <f t="shared" si="3"/>
        <v>-0.20793019689794134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>
        <f>--188.85</f>
        <v>188.85</v>
      </c>
      <c r="I29" s="2"/>
      <c r="J29" s="19"/>
      <c r="K29" s="2"/>
      <c r="L29" s="2">
        <f t="shared" si="0"/>
        <v>-188.85</v>
      </c>
      <c r="M29" s="2"/>
      <c r="N29" s="19">
        <f t="shared" si="1"/>
        <v>-1</v>
      </c>
      <c r="O29" s="11"/>
      <c r="P29" s="2">
        <f>--3174.93</f>
        <v>3174.93</v>
      </c>
      <c r="Q29" s="2"/>
      <c r="R29" s="19"/>
      <c r="S29" s="2"/>
      <c r="T29" s="2">
        <f>--4403.54</f>
        <v>4403.54</v>
      </c>
      <c r="U29" s="2"/>
      <c r="V29" s="19"/>
      <c r="W29" s="2"/>
      <c r="X29" s="2">
        <f t="shared" si="2"/>
        <v>-1228.6100000000001</v>
      </c>
      <c r="Y29" s="2"/>
      <c r="Z29" s="19">
        <f t="shared" si="3"/>
        <v>-0.27900507319111445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>
        <f>--145</f>
        <v>145</v>
      </c>
      <c r="I30" s="2"/>
      <c r="J30" s="19"/>
      <c r="K30" s="2"/>
      <c r="L30" s="2">
        <f t="shared" si="0"/>
        <v>-145</v>
      </c>
      <c r="M30" s="2"/>
      <c r="N30" s="19">
        <f t="shared" si="1"/>
        <v>-1</v>
      </c>
      <c r="O30" s="11"/>
      <c r="P30" s="2">
        <f>--363.94</f>
        <v>363.94</v>
      </c>
      <c r="Q30" s="2"/>
      <c r="R30" s="19"/>
      <c r="S30" s="2"/>
      <c r="T30" s="2">
        <f>--1650</f>
        <v>1650</v>
      </c>
      <c r="U30" s="2"/>
      <c r="V30" s="19"/>
      <c r="W30" s="2"/>
      <c r="X30" s="2">
        <f t="shared" si="2"/>
        <v>-1286.06</v>
      </c>
      <c r="Y30" s="2"/>
      <c r="Z30" s="19">
        <f t="shared" si="3"/>
        <v>-0.77943030303030303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>
        <f>--119.89</f>
        <v>119.89</v>
      </c>
      <c r="I31" s="2"/>
      <c r="J31" s="19"/>
      <c r="K31" s="2"/>
      <c r="L31" s="2">
        <f t="shared" si="0"/>
        <v>-119.89</v>
      </c>
      <c r="M31" s="2"/>
      <c r="N31" s="19">
        <f t="shared" si="1"/>
        <v>-1</v>
      </c>
      <c r="O31" s="11"/>
      <c r="P31" s="2">
        <f>--914.33</f>
        <v>914.33</v>
      </c>
      <c r="Q31" s="2"/>
      <c r="R31" s="19"/>
      <c r="S31" s="2"/>
      <c r="T31" s="2">
        <f>--1403.83</f>
        <v>1403.83</v>
      </c>
      <c r="U31" s="2"/>
      <c r="V31" s="19"/>
      <c r="W31" s="2"/>
      <c r="X31" s="2">
        <f t="shared" si="2"/>
        <v>-489.49999999999989</v>
      </c>
      <c r="Y31" s="2"/>
      <c r="Z31" s="19">
        <f t="shared" si="3"/>
        <v>-0.3486889438179836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>
        <f>--29.98</f>
        <v>29.98</v>
      </c>
      <c r="I32" s="2"/>
      <c r="J32" s="19"/>
      <c r="K32" s="2"/>
      <c r="L32" s="2">
        <f t="shared" si="0"/>
        <v>-29.98</v>
      </c>
      <c r="M32" s="2"/>
      <c r="N32" s="19">
        <f t="shared" si="1"/>
        <v>-1</v>
      </c>
      <c r="O32" s="11"/>
      <c r="P32" s="2">
        <f>--813.74</f>
        <v>813.74</v>
      </c>
      <c r="Q32" s="2"/>
      <c r="R32" s="19"/>
      <c r="S32" s="2"/>
      <c r="T32" s="2">
        <f>--2115.11</f>
        <v>2115.11</v>
      </c>
      <c r="U32" s="2"/>
      <c r="V32" s="19"/>
      <c r="W32" s="2"/>
      <c r="X32" s="2">
        <f t="shared" si="2"/>
        <v>-1301.3700000000001</v>
      </c>
      <c r="Y32" s="2"/>
      <c r="Z32" s="19">
        <f t="shared" si="3"/>
        <v>-0.61527296452666769</v>
      </c>
    </row>
    <row r="33" spans="1:26" s="24" customFormat="1" hidden="1" outlineLevel="1" x14ac:dyDescent="0.25">
      <c r="A33" s="44"/>
      <c r="B33" s="11" t="str">
        <f>CONCATENATE("          ", "4125", " - ", "NON-TAXABLE SALES-TEST FORMS")</f>
        <v xml:space="preserve">          4125 - NON-TAXABLE SALES-TEST FORMS</v>
      </c>
      <c r="C33" s="11"/>
      <c r="D33" s="2">
        <f t="shared" si="5"/>
        <v>0</v>
      </c>
      <c r="E33" s="2"/>
      <c r="F33" s="19"/>
      <c r="G33" s="2"/>
      <c r="H33" s="2">
        <f>--13.02</f>
        <v>13.02</v>
      </c>
      <c r="I33" s="2"/>
      <c r="J33" s="19"/>
      <c r="K33" s="2"/>
      <c r="L33" s="2">
        <f t="shared" si="0"/>
        <v>-13.02</v>
      </c>
      <c r="M33" s="2"/>
      <c r="N33" s="19">
        <f t="shared" si="1"/>
        <v>-1</v>
      </c>
      <c r="O33" s="11"/>
      <c r="P33" s="2">
        <f>--267.61</f>
        <v>267.61</v>
      </c>
      <c r="Q33" s="2"/>
      <c r="R33" s="19"/>
      <c r="S33" s="2"/>
      <c r="T33" s="2">
        <f>--318.21</f>
        <v>318.20999999999998</v>
      </c>
      <c r="U33" s="2"/>
      <c r="V33" s="19"/>
      <c r="W33" s="2"/>
      <c r="X33" s="2">
        <f t="shared" si="2"/>
        <v>-50.599999999999966</v>
      </c>
      <c r="Y33" s="2"/>
      <c r="Z33" s="19">
        <f t="shared" si="3"/>
        <v>-0.15901448728826867</v>
      </c>
    </row>
    <row r="34" spans="1:26" s="24" customFormat="1" hidden="1" outlineLevel="1" x14ac:dyDescent="0.25">
      <c r="A34" s="44"/>
      <c r="B34" s="11" t="str">
        <f>CONCATENATE("          ", "4126", " - ", "NON-TAXABLE SALES-WRITING INST")</f>
        <v xml:space="preserve">          4126 - NON-TAXABLE SALES-WRITING INST</v>
      </c>
      <c r="C34" s="11"/>
      <c r="D34" s="2">
        <f>--110.56</f>
        <v>110.56</v>
      </c>
      <c r="E34" s="2"/>
      <c r="F34" s="19"/>
      <c r="G34" s="2"/>
      <c r="H34" s="2">
        <f>--352.38</f>
        <v>352.38</v>
      </c>
      <c r="I34" s="2"/>
      <c r="J34" s="19"/>
      <c r="K34" s="2"/>
      <c r="L34" s="2">
        <f t="shared" si="0"/>
        <v>-241.82</v>
      </c>
      <c r="M34" s="2"/>
      <c r="N34" s="19">
        <f t="shared" si="1"/>
        <v>-0.68624780066973157</v>
      </c>
      <c r="O34" s="11"/>
      <c r="P34" s="2">
        <f>--3133.42</f>
        <v>3133.42</v>
      </c>
      <c r="Q34" s="2"/>
      <c r="R34" s="19"/>
      <c r="S34" s="2"/>
      <c r="T34" s="2">
        <f>--4011.52</f>
        <v>4011.52</v>
      </c>
      <c r="U34" s="2"/>
      <c r="V34" s="19"/>
      <c r="W34" s="2"/>
      <c r="X34" s="2">
        <f t="shared" si="2"/>
        <v>-878.09999999999991</v>
      </c>
      <c r="Y34" s="2"/>
      <c r="Z34" s="19">
        <f t="shared" si="3"/>
        <v>-0.21889458359923419</v>
      </c>
    </row>
    <row r="35" spans="1:26" s="24" customFormat="1" hidden="1" outlineLevel="1" x14ac:dyDescent="0.25">
      <c r="A35" s="44"/>
      <c r="B35" s="11" t="str">
        <f>CONCATENATE("          ", "4127", " - ", "NON-TAXABLE SALES-SCHOOL SUPPL")</f>
        <v xml:space="preserve">          4127 - NON-TAXABLE SALES-SCHOOL SUPPL</v>
      </c>
      <c r="C35" s="11"/>
      <c r="D35" s="2">
        <f>--226.84</f>
        <v>226.84</v>
      </c>
      <c r="E35" s="2"/>
      <c r="F35" s="19"/>
      <c r="G35" s="2"/>
      <c r="H35" s="2">
        <f>--213.9</f>
        <v>213.9</v>
      </c>
      <c r="I35" s="2"/>
      <c r="J35" s="19"/>
      <c r="K35" s="2"/>
      <c r="L35" s="2">
        <f t="shared" si="0"/>
        <v>12.939999999999998</v>
      </c>
      <c r="M35" s="2"/>
      <c r="N35" s="19">
        <f t="shared" si="1"/>
        <v>6.0495558672276753E-2</v>
      </c>
      <c r="O35" s="11"/>
      <c r="P35" s="2">
        <f>--6373.71</f>
        <v>6373.71</v>
      </c>
      <c r="Q35" s="2"/>
      <c r="R35" s="19"/>
      <c r="S35" s="2"/>
      <c r="T35" s="2">
        <f>--12544.26</f>
        <v>12544.26</v>
      </c>
      <c r="U35" s="2"/>
      <c r="V35" s="19"/>
      <c r="W35" s="2"/>
      <c r="X35" s="2">
        <f t="shared" si="2"/>
        <v>-6170.55</v>
      </c>
      <c r="Y35" s="2"/>
      <c r="Z35" s="19">
        <f t="shared" si="3"/>
        <v>-0.49190227243376655</v>
      </c>
    </row>
    <row r="36" spans="1:26" s="24" customFormat="1" hidden="1" outlineLevel="1" x14ac:dyDescent="0.25">
      <c r="A36" s="44"/>
      <c r="B36" s="11" t="str">
        <f>CONCATENATE("          ", "4128", " - ", "NON-TAXABLE SALES-ART/TECH")</f>
        <v xml:space="preserve">          4128 - NON-TAXABLE SALES-ART/TECH</v>
      </c>
      <c r="C36" s="11"/>
      <c r="D36" s="2">
        <f>0</f>
        <v>0</v>
      </c>
      <c r="E36" s="2"/>
      <c r="F36" s="19"/>
      <c r="G36" s="2"/>
      <c r="H36" s="2">
        <f>--25.14</f>
        <v>25.14</v>
      </c>
      <c r="I36" s="2"/>
      <c r="J36" s="19"/>
      <c r="K36" s="2"/>
      <c r="L36" s="2">
        <f t="shared" si="0"/>
        <v>-25.14</v>
      </c>
      <c r="M36" s="2"/>
      <c r="N36" s="19">
        <f t="shared" si="1"/>
        <v>-1</v>
      </c>
      <c r="O36" s="11"/>
      <c r="P36" s="2">
        <f>--730.62</f>
        <v>730.62</v>
      </c>
      <c r="Q36" s="2"/>
      <c r="R36" s="19"/>
      <c r="S36" s="2"/>
      <c r="T36" s="2">
        <f>--877.96</f>
        <v>877.96</v>
      </c>
      <c r="U36" s="2"/>
      <c r="V36" s="19"/>
      <c r="W36" s="2"/>
      <c r="X36" s="2">
        <f t="shared" si="2"/>
        <v>-147.34000000000003</v>
      </c>
      <c r="Y36" s="2"/>
      <c r="Z36" s="19">
        <f t="shared" si="3"/>
        <v>-0.16782085744225253</v>
      </c>
    </row>
    <row r="37" spans="1:26" s="24" customFormat="1" hidden="1" outlineLevel="1" x14ac:dyDescent="0.25">
      <c r="A37" s="44"/>
      <c r="B37" s="11" t="str">
        <f>CONCATENATE("          ", "4131", " - ", "NON-TAXABLE SALES-FOOD")</f>
        <v xml:space="preserve">          4131 - NON-TAXABLE SALES-FOOD</v>
      </c>
      <c r="C37" s="11"/>
      <c r="D37" s="2">
        <f>--6.16</f>
        <v>6.16</v>
      </c>
      <c r="E37" s="2"/>
      <c r="F37" s="19"/>
      <c r="G37" s="2"/>
      <c r="H37" s="2">
        <f>--2994.45</f>
        <v>2994.45</v>
      </c>
      <c r="I37" s="2"/>
      <c r="J37" s="19"/>
      <c r="K37" s="2"/>
      <c r="L37" s="2">
        <f t="shared" si="0"/>
        <v>-2988.29</v>
      </c>
      <c r="M37" s="2"/>
      <c r="N37" s="19">
        <f t="shared" si="1"/>
        <v>-0.99794286095944174</v>
      </c>
      <c r="O37" s="11"/>
      <c r="P37" s="2">
        <f>--57893.7</f>
        <v>57893.7</v>
      </c>
      <c r="Q37" s="2"/>
      <c r="R37" s="19"/>
      <c r="S37" s="2"/>
      <c r="T37" s="2">
        <f>--74040.33</f>
        <v>74040.33</v>
      </c>
      <c r="U37" s="2"/>
      <c r="V37" s="19"/>
      <c r="W37" s="2"/>
      <c r="X37" s="2">
        <f t="shared" si="2"/>
        <v>-16146.630000000005</v>
      </c>
      <c r="Y37" s="2"/>
      <c r="Z37" s="19">
        <f t="shared" si="3"/>
        <v>-0.21807884972960012</v>
      </c>
    </row>
    <row r="38" spans="1:26" s="24" customFormat="1" hidden="1" outlineLevel="1" x14ac:dyDescent="0.25">
      <c r="A38" s="44"/>
      <c r="B38" s="11" t="str">
        <f>CONCATENATE("          ", "4132", " - ", "NON-TAXABLE SALES-JUICE")</f>
        <v xml:space="preserve">          4132 - NON-TAXABLE SALES-JUICE</v>
      </c>
      <c r="C38" s="11"/>
      <c r="D38" s="2">
        <f>0</f>
        <v>0</v>
      </c>
      <c r="E38" s="2"/>
      <c r="F38" s="19"/>
      <c r="G38" s="2"/>
      <c r="H38" s="2">
        <f>--869.38</f>
        <v>869.38</v>
      </c>
      <c r="I38" s="2"/>
      <c r="J38" s="19"/>
      <c r="K38" s="2"/>
      <c r="L38" s="2">
        <f t="shared" si="0"/>
        <v>-869.38</v>
      </c>
      <c r="M38" s="2"/>
      <c r="N38" s="19">
        <f t="shared" si="1"/>
        <v>-1</v>
      </c>
      <c r="O38" s="11"/>
      <c r="P38" s="2">
        <f>--16199.63</f>
        <v>16199.63</v>
      </c>
      <c r="Q38" s="2"/>
      <c r="R38" s="19"/>
      <c r="S38" s="2"/>
      <c r="T38" s="2">
        <f>--18257.24</f>
        <v>18257.240000000002</v>
      </c>
      <c r="U38" s="2"/>
      <c r="V38" s="19"/>
      <c r="W38" s="2"/>
      <c r="X38" s="2">
        <f t="shared" si="2"/>
        <v>-2057.6100000000024</v>
      </c>
      <c r="Y38" s="2"/>
      <c r="Z38" s="19">
        <f t="shared" si="3"/>
        <v>-0.1127010435312239</v>
      </c>
    </row>
    <row r="39" spans="1:26" s="24" customFormat="1" hidden="1" outlineLevel="1" x14ac:dyDescent="0.25">
      <c r="A39" s="44"/>
      <c r="B39" s="11" t="str">
        <f>CONCATENATE("          ", "4133", " - ", "NON-TAXABLE SALES-CANDY")</f>
        <v xml:space="preserve">          4133 - NON-TAXABLE SALES-CANDY</v>
      </c>
      <c r="C39" s="11"/>
      <c r="D39" s="2">
        <f>--48.27</f>
        <v>48.27</v>
      </c>
      <c r="E39" s="2"/>
      <c r="F39" s="19"/>
      <c r="G39" s="2"/>
      <c r="H39" s="2">
        <f>--3514.86</f>
        <v>3514.86</v>
      </c>
      <c r="I39" s="2"/>
      <c r="J39" s="19"/>
      <c r="K39" s="2"/>
      <c r="L39" s="2">
        <f t="shared" si="0"/>
        <v>-3466.59</v>
      </c>
      <c r="M39" s="2"/>
      <c r="N39" s="19">
        <f t="shared" si="1"/>
        <v>-0.9862668783393933</v>
      </c>
      <c r="O39" s="11"/>
      <c r="P39" s="2">
        <f>--18136.73</f>
        <v>18136.73</v>
      </c>
      <c r="Q39" s="2"/>
      <c r="R39" s="19"/>
      <c r="S39" s="2"/>
      <c r="T39" s="2">
        <f>--23474.32</f>
        <v>23474.32</v>
      </c>
      <c r="U39" s="2"/>
      <c r="V39" s="19"/>
      <c r="W39" s="2"/>
      <c r="X39" s="2">
        <f t="shared" si="2"/>
        <v>-5337.59</v>
      </c>
      <c r="Y39" s="2"/>
      <c r="Z39" s="19">
        <f t="shared" si="3"/>
        <v>-0.22737996244406655</v>
      </c>
    </row>
    <row r="40" spans="1:26" s="24" customFormat="1" hidden="1" outlineLevel="1" x14ac:dyDescent="0.25">
      <c r="A40" s="44"/>
      <c r="B40" s="11" t="str">
        <f>CONCATENATE("          ", "4134", " - ", "NON-TAXABLE SALES-SODA")</f>
        <v xml:space="preserve">          4134 - NON-TAXABLE SALES-SODA</v>
      </c>
      <c r="C40" s="11"/>
      <c r="D40" s="2">
        <f t="shared" ref="D40:D44" si="7"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--1.89</f>
        <v>1.89</v>
      </c>
      <c r="Q40" s="2"/>
      <c r="R40" s="19"/>
      <c r="S40" s="2"/>
      <c r="T40" s="2">
        <f>--111.36</f>
        <v>111.36</v>
      </c>
      <c r="U40" s="2"/>
      <c r="V40" s="19"/>
      <c r="W40" s="2"/>
      <c r="X40" s="2">
        <f t="shared" si="2"/>
        <v>-109.47</v>
      </c>
      <c r="Y40" s="2"/>
      <c r="Z40" s="19">
        <f t="shared" si="3"/>
        <v>-0.98302801724137934</v>
      </c>
    </row>
    <row r="41" spans="1:26" s="24" customFormat="1" hidden="1" outlineLevel="1" x14ac:dyDescent="0.25">
      <c r="A41" s="44"/>
      <c r="B41" s="11" t="str">
        <f>CONCATENATE("          ", "4135", " - ", "NON-TAXABLE SALES")</f>
        <v xml:space="preserve">          4135 - NON-TAXABLE SALES</v>
      </c>
      <c r="C41" s="11"/>
      <c r="D41" s="2">
        <f t="shared" si="7"/>
        <v>0</v>
      </c>
      <c r="E41" s="2"/>
      <c r="F41" s="19"/>
      <c r="G41" s="2"/>
      <c r="H41" s="2">
        <f>--13.28</f>
        <v>13.28</v>
      </c>
      <c r="I41" s="2"/>
      <c r="J41" s="19"/>
      <c r="K41" s="2"/>
      <c r="L41" s="2">
        <f t="shared" si="0"/>
        <v>-13.28</v>
      </c>
      <c r="M41" s="2"/>
      <c r="N41" s="19">
        <f t="shared" si="1"/>
        <v>-1</v>
      </c>
      <c r="O41" s="11"/>
      <c r="P41" s="2">
        <f>--161.4</f>
        <v>161.4</v>
      </c>
      <c r="Q41" s="2"/>
      <c r="R41" s="19"/>
      <c r="S41" s="2"/>
      <c r="T41" s="2">
        <f>--383.81</f>
        <v>383.81</v>
      </c>
      <c r="U41" s="2"/>
      <c r="V41" s="19"/>
      <c r="W41" s="2"/>
      <c r="X41" s="2">
        <f t="shared" si="2"/>
        <v>-222.41</v>
      </c>
      <c r="Y41" s="2"/>
      <c r="Z41" s="19">
        <f t="shared" si="3"/>
        <v>-0.57947942992626555</v>
      </c>
    </row>
    <row r="42" spans="1:26" s="24" customFormat="1" hidden="1" outlineLevel="1" x14ac:dyDescent="0.25">
      <c r="A42" s="44"/>
      <c r="B42" s="11" t="str">
        <f>CONCATENATE("          ", "4137", " - ", "NON-TAXABLE SALES-WATER")</f>
        <v xml:space="preserve">          4137 - NON-TAXABLE SALES-WATER</v>
      </c>
      <c r="C42" s="11"/>
      <c r="D42" s="2">
        <f t="shared" si="7"/>
        <v>0</v>
      </c>
      <c r="E42" s="2"/>
      <c r="F42" s="19"/>
      <c r="G42" s="2"/>
      <c r="H42" s="2">
        <f>--438.15</f>
        <v>438.15</v>
      </c>
      <c r="I42" s="2"/>
      <c r="J42" s="19"/>
      <c r="K42" s="2"/>
      <c r="L42" s="2">
        <f t="shared" si="0"/>
        <v>-438.15</v>
      </c>
      <c r="M42" s="2"/>
      <c r="N42" s="19">
        <f t="shared" si="1"/>
        <v>-1</v>
      </c>
      <c r="O42" s="11"/>
      <c r="P42" s="2">
        <f>--8396.06</f>
        <v>8396.06</v>
      </c>
      <c r="Q42" s="2"/>
      <c r="R42" s="19"/>
      <c r="S42" s="2"/>
      <c r="T42" s="2">
        <f>--10026.39</f>
        <v>10026.39</v>
      </c>
      <c r="U42" s="2"/>
      <c r="V42" s="19"/>
      <c r="W42" s="2"/>
      <c r="X42" s="2">
        <f t="shared" si="2"/>
        <v>-1630.33</v>
      </c>
      <c r="Y42" s="2"/>
      <c r="Z42" s="19">
        <f t="shared" si="3"/>
        <v>-0.16260388833867423</v>
      </c>
    </row>
    <row r="43" spans="1:26" s="24" customFormat="1" hidden="1" outlineLevel="1" x14ac:dyDescent="0.25">
      <c r="A43" s="44"/>
      <c r="B43" s="11" t="str">
        <f>CONCATENATE("          ", "4186", " - ", "NON-TAXABLE SALES-COMPUTER SUP")</f>
        <v xml:space="preserve">          4186 - NON-TAXABLE SALES-COMPUTER SUP</v>
      </c>
      <c r="C43" s="11"/>
      <c r="D43" s="2">
        <f t="shared" si="7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-30.97</f>
        <v>-30.97</v>
      </c>
      <c r="Q43" s="2"/>
      <c r="R43" s="19"/>
      <c r="S43" s="2"/>
      <c r="T43" s="2">
        <f>-174.68</f>
        <v>-174.68</v>
      </c>
      <c r="U43" s="2"/>
      <c r="V43" s="19"/>
      <c r="W43" s="2"/>
      <c r="X43" s="2">
        <f t="shared" si="2"/>
        <v>143.71</v>
      </c>
      <c r="Y43" s="2"/>
      <c r="Z43" s="19">
        <f t="shared" si="3"/>
        <v>-0.82270437371193039</v>
      </c>
    </row>
    <row r="44" spans="1:26" s="24" customFormat="1" hidden="1" outlineLevel="1" x14ac:dyDescent="0.25">
      <c r="A44" s="44"/>
      <c r="B44" s="11" t="str">
        <f>CONCATENATE("          ", "4217", " - ", "NON-TAXABLE SALES-DORM/HOUSEWA")</f>
        <v xml:space="preserve">          4217 - NON-TAXABLE SALES-DORM/HOUSEWA</v>
      </c>
      <c r="C44" s="11"/>
      <c r="D44" s="2">
        <f t="shared" si="7"/>
        <v>0</v>
      </c>
      <c r="E44" s="2"/>
      <c r="F44" s="19"/>
      <c r="G44" s="2"/>
      <c r="H44" s="2">
        <f>-1.49</f>
        <v>-1.49</v>
      </c>
      <c r="I44" s="2"/>
      <c r="J44" s="19"/>
      <c r="K44" s="2"/>
      <c r="L44" s="2">
        <f t="shared" si="0"/>
        <v>1.49</v>
      </c>
      <c r="M44" s="2"/>
      <c r="N44" s="19">
        <f t="shared" si="1"/>
        <v>-1</v>
      </c>
      <c r="O44" s="11"/>
      <c r="P44" s="2">
        <f>-2.98</f>
        <v>-2.98</v>
      </c>
      <c r="Q44" s="2"/>
      <c r="R44" s="19"/>
      <c r="S44" s="2"/>
      <c r="T44" s="2">
        <f>-2.99</f>
        <v>-2.99</v>
      </c>
      <c r="U44" s="2"/>
      <c r="V44" s="19"/>
      <c r="W44" s="2"/>
      <c r="X44" s="2">
        <f t="shared" si="2"/>
        <v>1.0000000000000231E-2</v>
      </c>
      <c r="Y44" s="2"/>
      <c r="Z44" s="19">
        <f t="shared" si="3"/>
        <v>-3.3444816053512477E-3</v>
      </c>
    </row>
    <row r="45" spans="1:26" s="24" customFormat="1" hidden="1" outlineLevel="1" x14ac:dyDescent="0.25">
      <c r="A45" s="44"/>
      <c r="B45" s="11" t="str">
        <f>CONCATENATE("          ", "4225", " - ", "SALES RETURN TAXABLE-TEST FORM")</f>
        <v xml:space="preserve">          4225 - SALES RETURN TAXABLE-TEST FORM</v>
      </c>
      <c r="C45" s="11"/>
      <c r="D45" s="2">
        <f>-29.5</f>
        <v>-29.5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-29.5</v>
      </c>
      <c r="M45" s="2"/>
      <c r="N45" s="19">
        <f t="shared" si="1"/>
        <v>0</v>
      </c>
      <c r="O45" s="11"/>
      <c r="P45" s="2">
        <f>-205.91</f>
        <v>-205.91</v>
      </c>
      <c r="Q45" s="2"/>
      <c r="R45" s="19"/>
      <c r="S45" s="2"/>
      <c r="T45" s="2">
        <f>-187.82</f>
        <v>-187.82</v>
      </c>
      <c r="U45" s="2"/>
      <c r="V45" s="19"/>
      <c r="W45" s="2"/>
      <c r="X45" s="2">
        <f t="shared" si="2"/>
        <v>-18.090000000000003</v>
      </c>
      <c r="Y45" s="2"/>
      <c r="Z45" s="19">
        <f t="shared" si="3"/>
        <v>9.6315621339580465E-2</v>
      </c>
    </row>
    <row r="46" spans="1:26" s="24" customFormat="1" hidden="1" outlineLevel="1" x14ac:dyDescent="0.25">
      <c r="A46" s="44"/>
      <c r="B46" s="11" t="str">
        <f>CONCATENATE("          ", "4226", " - ", "SALES RETURN TAXABLE-WRITING I")</f>
        <v xml:space="preserve">          4226 - SALES RETURN TAXABLE-WRITING I</v>
      </c>
      <c r="C46" s="11"/>
      <c r="D46" s="2">
        <f>-159.4</f>
        <v>-159.4</v>
      </c>
      <c r="E46" s="2"/>
      <c r="F46" s="19"/>
      <c r="G46" s="2"/>
      <c r="H46" s="2">
        <f>-51.46</f>
        <v>-51.46</v>
      </c>
      <c r="I46" s="2"/>
      <c r="J46" s="19"/>
      <c r="K46" s="2"/>
      <c r="L46" s="2">
        <f t="shared" si="0"/>
        <v>-107.94</v>
      </c>
      <c r="M46" s="2"/>
      <c r="N46" s="19">
        <f t="shared" si="1"/>
        <v>2.0975514963078119</v>
      </c>
      <c r="O46" s="11"/>
      <c r="P46" s="2">
        <f>-789.64</f>
        <v>-789.64</v>
      </c>
      <c r="Q46" s="2"/>
      <c r="R46" s="19"/>
      <c r="S46" s="2"/>
      <c r="T46" s="2">
        <f>-716.84</f>
        <v>-716.84</v>
      </c>
      <c r="U46" s="2"/>
      <c r="V46" s="19"/>
      <c r="W46" s="2"/>
      <c r="X46" s="2">
        <f t="shared" si="2"/>
        <v>-72.799999999999955</v>
      </c>
      <c r="Y46" s="2"/>
      <c r="Z46" s="19">
        <f t="shared" si="3"/>
        <v>0.10155683276602862</v>
      </c>
    </row>
    <row r="47" spans="1:26" s="24" customFormat="1" hidden="1" outlineLevel="1" x14ac:dyDescent="0.25">
      <c r="A47" s="44"/>
      <c r="B47" s="11" t="str">
        <f>CONCATENATE("          ", "4227", " - ", "SALES RETURN TAXABLE-SCHOOL SU")</f>
        <v xml:space="preserve">          4227 - SALES RETURN TAXABLE-SCHOOL SU</v>
      </c>
      <c r="C47" s="11"/>
      <c r="D47" s="2">
        <f>-53.42</f>
        <v>-53.42</v>
      </c>
      <c r="E47" s="2"/>
      <c r="F47" s="19"/>
      <c r="G47" s="2"/>
      <c r="H47" s="2">
        <f>-315.64</f>
        <v>-315.64</v>
      </c>
      <c r="I47" s="2"/>
      <c r="J47" s="19"/>
      <c r="K47" s="2"/>
      <c r="L47" s="2">
        <f t="shared" si="0"/>
        <v>262.21999999999997</v>
      </c>
      <c r="M47" s="2"/>
      <c r="N47" s="19">
        <f t="shared" si="1"/>
        <v>-0.83075655810416926</v>
      </c>
      <c r="O47" s="11"/>
      <c r="P47" s="2">
        <f>-8647.03</f>
        <v>-8647.0300000000007</v>
      </c>
      <c r="Q47" s="2"/>
      <c r="R47" s="19"/>
      <c r="S47" s="2"/>
      <c r="T47" s="2">
        <f>-6802.48</f>
        <v>-6802.48</v>
      </c>
      <c r="U47" s="2"/>
      <c r="V47" s="19"/>
      <c r="W47" s="2"/>
      <c r="X47" s="2">
        <f t="shared" si="2"/>
        <v>-1844.5500000000011</v>
      </c>
      <c r="Y47" s="2"/>
      <c r="Z47" s="19">
        <f t="shared" si="3"/>
        <v>0.27115845985581749</v>
      </c>
    </row>
    <row r="48" spans="1:26" s="24" customFormat="1" hidden="1" outlineLevel="1" x14ac:dyDescent="0.25">
      <c r="A48" s="44"/>
      <c r="B48" s="11" t="str">
        <f>CONCATENATE("          ", "4228", " - ", "SALES RETURN TAXABLE-ART/TECH")</f>
        <v xml:space="preserve">          4228 - SALES RETURN TAXABLE-ART/TECH</v>
      </c>
      <c r="C48" s="11"/>
      <c r="D48" s="2">
        <f t="shared" ref="D48:D55" si="8">0</f>
        <v>0</v>
      </c>
      <c r="E48" s="2"/>
      <c r="F48" s="19"/>
      <c r="G48" s="2"/>
      <c r="H48" s="2">
        <f>-267.27</f>
        <v>-267.27</v>
      </c>
      <c r="I48" s="2"/>
      <c r="J48" s="19"/>
      <c r="K48" s="2"/>
      <c r="L48" s="2">
        <f t="shared" si="0"/>
        <v>267.27</v>
      </c>
      <c r="M48" s="2"/>
      <c r="N48" s="19">
        <f t="shared" si="1"/>
        <v>-1</v>
      </c>
      <c r="O48" s="11"/>
      <c r="P48" s="2">
        <f>-4739.1</f>
        <v>-4739.1000000000004</v>
      </c>
      <c r="Q48" s="2"/>
      <c r="R48" s="19"/>
      <c r="S48" s="2"/>
      <c r="T48" s="2">
        <f>-8325.28</f>
        <v>-8325.2800000000007</v>
      </c>
      <c r="U48" s="2"/>
      <c r="V48" s="19"/>
      <c r="W48" s="2"/>
      <c r="X48" s="2">
        <f t="shared" si="2"/>
        <v>3586.1800000000003</v>
      </c>
      <c r="Y48" s="2"/>
      <c r="Z48" s="19">
        <f t="shared" si="3"/>
        <v>-0.43075788441950302</v>
      </c>
    </row>
    <row r="49" spans="1:26" s="24" customFormat="1" hidden="1" outlineLevel="1" x14ac:dyDescent="0.25">
      <c r="A49" s="44"/>
      <c r="B49" s="11" t="str">
        <f>CONCATENATE("          ", "4233", " - ", "SALES RETURN TAXABLE-CANDY")</f>
        <v xml:space="preserve">          4233 - SALES RETURN TAXABLE-CANDY</v>
      </c>
      <c r="C49" s="11"/>
      <c r="D49" s="2">
        <f t="shared" si="8"/>
        <v>0</v>
      </c>
      <c r="E49" s="2"/>
      <c r="F49" s="19"/>
      <c r="G49" s="2"/>
      <c r="H49" s="2">
        <f t="shared" ref="H49:H51" si="9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-8.25</f>
        <v>-8.25</v>
      </c>
      <c r="Q49" s="2"/>
      <c r="R49" s="19"/>
      <c r="S49" s="2"/>
      <c r="T49" s="2">
        <f>-3.58</f>
        <v>-3.58</v>
      </c>
      <c r="U49" s="2"/>
      <c r="V49" s="19"/>
      <c r="W49" s="2"/>
      <c r="X49" s="2">
        <f t="shared" si="2"/>
        <v>-4.67</v>
      </c>
      <c r="Y49" s="2"/>
      <c r="Z49" s="19">
        <f t="shared" si="3"/>
        <v>1.3044692737430168</v>
      </c>
    </row>
    <row r="50" spans="1:26" s="24" customFormat="1" hidden="1" outlineLevel="1" x14ac:dyDescent="0.25">
      <c r="A50" s="44"/>
      <c r="B50" s="11" t="str">
        <f>CONCATENATE("          ", "4234", " - ", "SALES RETURN TAXABLE-SODA")</f>
        <v xml:space="preserve">          4234 - SALES RETURN TAXABLE-SODA</v>
      </c>
      <c r="C50" s="11"/>
      <c r="D50" s="2">
        <f t="shared" si="8"/>
        <v>0</v>
      </c>
      <c r="E50" s="2"/>
      <c r="F50" s="19"/>
      <c r="G50" s="2"/>
      <c r="H50" s="2">
        <f t="shared" si="9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0</f>
        <v>0</v>
      </c>
      <c r="Q50" s="2"/>
      <c r="R50" s="19"/>
      <c r="S50" s="2"/>
      <c r="T50" s="2">
        <f>-5.28</f>
        <v>-5.28</v>
      </c>
      <c r="U50" s="2"/>
      <c r="V50" s="19"/>
      <c r="W50" s="2"/>
      <c r="X50" s="2">
        <f t="shared" si="2"/>
        <v>5.28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8"/>
        <v>0</v>
      </c>
      <c r="E51" s="2"/>
      <c r="F51" s="19"/>
      <c r="G51" s="2"/>
      <c r="H51" s="2">
        <f t="shared" si="9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>
        <f>-64.95</f>
        <v>-64.95</v>
      </c>
      <c r="U51" s="2"/>
      <c r="V51" s="19"/>
      <c r="W51" s="2"/>
      <c r="X51" s="2">
        <f t="shared" si="2"/>
        <v>9.980000000000004</v>
      </c>
      <c r="Y51" s="2"/>
      <c r="Z51" s="19">
        <f t="shared" si="3"/>
        <v>-0.1536566589684373</v>
      </c>
    </row>
    <row r="52" spans="1:26" s="24" customFormat="1" hidden="1" outlineLevel="1" x14ac:dyDescent="0.2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 t="shared" si="8"/>
        <v>0</v>
      </c>
      <c r="E52" s="2"/>
      <c r="F52" s="19"/>
      <c r="G52" s="2"/>
      <c r="H52" s="2">
        <f>-9.68</f>
        <v>-9.68</v>
      </c>
      <c r="I52" s="2"/>
      <c r="J52" s="19"/>
      <c r="K52" s="2"/>
      <c r="L52" s="2">
        <f t="shared" si="0"/>
        <v>9.68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-28.23</f>
        <v>-28.23</v>
      </c>
      <c r="U52" s="2"/>
      <c r="V52" s="19"/>
      <c r="W52" s="2"/>
      <c r="X52" s="2">
        <f t="shared" si="2"/>
        <v>28.23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si="8"/>
        <v>0</v>
      </c>
      <c r="E53" s="2"/>
      <c r="F53" s="19"/>
      <c r="G53" s="2"/>
      <c r="H53" s="2">
        <f t="shared" ref="H53:H55" si="10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-21.87</f>
        <v>-21.87</v>
      </c>
      <c r="Q53" s="2"/>
      <c r="R53" s="19"/>
      <c r="S53" s="2"/>
      <c r="T53" s="2">
        <f>-4.99</f>
        <v>-4.99</v>
      </c>
      <c r="U53" s="2"/>
      <c r="V53" s="19"/>
      <c r="W53" s="2"/>
      <c r="X53" s="2">
        <f t="shared" si="2"/>
        <v>-16.880000000000003</v>
      </c>
      <c r="Y53" s="2"/>
      <c r="Z53" s="19">
        <f t="shared" si="3"/>
        <v>3.3827655310621245</v>
      </c>
    </row>
    <row r="54" spans="1:26" s="24" customFormat="1" hidden="1" outlineLevel="1" x14ac:dyDescent="0.2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 t="shared" si="8"/>
        <v>0</v>
      </c>
      <c r="E54" s="2"/>
      <c r="F54" s="19"/>
      <c r="G54" s="2"/>
      <c r="H54" s="2">
        <f t="shared" si="10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-12.57</f>
        <v>-12.57</v>
      </c>
      <c r="Q54" s="2"/>
      <c r="R54" s="19"/>
      <c r="S54" s="2"/>
      <c r="T54" s="2">
        <f t="shared" ref="T54:T55" si="11">0</f>
        <v>0</v>
      </c>
      <c r="U54" s="2"/>
      <c r="V54" s="19"/>
      <c r="W54" s="2"/>
      <c r="X54" s="2">
        <f t="shared" si="2"/>
        <v>-12.57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 t="shared" si="8"/>
        <v>0</v>
      </c>
      <c r="E55" s="2"/>
      <c r="F55" s="19"/>
      <c r="G55" s="2"/>
      <c r="H55" s="2">
        <f t="shared" si="10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>
        <f t="shared" si="11"/>
        <v>0</v>
      </c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25">
      <c r="A57" s="10"/>
      <c r="B57" s="28" t="s">
        <v>8</v>
      </c>
      <c r="C57" s="10"/>
      <c r="D57" s="4">
        <f>SUM(OSRRefD16x_0)</f>
        <v>4576.7200000000012</v>
      </c>
      <c r="E57" s="4"/>
      <c r="F57" s="12">
        <f t="shared" ref="F57:F81" si="12">IF(D$12=0,0,D57/D$12)</f>
        <v>0.65548112852197649</v>
      </c>
      <c r="G57" s="4"/>
      <c r="H57" s="4">
        <f>SUM(OSRRefH16x_0)</f>
        <v>23498.179999999997</v>
      </c>
      <c r="I57" s="4"/>
      <c r="J57" s="12">
        <f t="shared" ref="J57:J81" si="13">IF(H$12=0,0,H57/H$12)</f>
        <v>0.51816279201561743</v>
      </c>
      <c r="K57" s="4"/>
      <c r="L57" s="4">
        <f t="shared" ref="L57:L81" si="14">+D57-H57</f>
        <v>-18921.459999999995</v>
      </c>
      <c r="M57" s="4"/>
      <c r="N57" s="12">
        <f t="shared" ref="N57:N81" si="15">IF(H57=0,0,L57/H57)</f>
        <v>-0.80523087319954134</v>
      </c>
      <c r="O57" s="10"/>
      <c r="P57" s="4">
        <f>SUM(OSRRefP16x_0)</f>
        <v>412591.42</v>
      </c>
      <c r="Q57" s="4"/>
      <c r="R57" s="12">
        <f t="shared" ref="R57:R81" si="16">IF(P$12=0,0,P57/P$12)</f>
        <v>0.50213017273746685</v>
      </c>
      <c r="S57" s="4"/>
      <c r="T57" s="4">
        <f>SUM(OSRRefT16x_0)</f>
        <v>485132.84000000008</v>
      </c>
      <c r="U57" s="4"/>
      <c r="V57" s="12">
        <f t="shared" ref="V57:V81" si="17">IF(T$12=0,0,T57/T$12)</f>
        <v>0.52137434215738643</v>
      </c>
      <c r="W57" s="4"/>
      <c r="X57" s="4">
        <f t="shared" ref="X57:X81" si="18">+P57-T57</f>
        <v>-72541.4200000001</v>
      </c>
      <c r="Y57" s="4"/>
      <c r="Z57" s="12">
        <f t="shared" ref="Z57:Z81" si="19">IF(T57=0,0,X57/T57)</f>
        <v>-0.14952898261845166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12"/>
        <v>0</v>
      </c>
      <c r="G58" s="2"/>
      <c r="H58" s="2"/>
      <c r="I58" s="2"/>
      <c r="J58" s="19">
        <f t="shared" si="13"/>
        <v>0</v>
      </c>
      <c r="K58" s="2"/>
      <c r="L58" s="2">
        <f t="shared" si="14"/>
        <v>0</v>
      </c>
      <c r="M58" s="2"/>
      <c r="N58" s="19">
        <f t="shared" si="15"/>
        <v>0</v>
      </c>
      <c r="O58" s="11"/>
      <c r="P58" s="2">
        <v>14.46</v>
      </c>
      <c r="Q58" s="2"/>
      <c r="R58" s="19">
        <f t="shared" si="16"/>
        <v>1.7598044810974914E-5</v>
      </c>
      <c r="S58" s="2"/>
      <c r="T58" s="2"/>
      <c r="U58" s="2"/>
      <c r="V58" s="19">
        <f t="shared" si="17"/>
        <v>0</v>
      </c>
      <c r="W58" s="2"/>
      <c r="X58" s="2">
        <f t="shared" si="18"/>
        <v>14.46</v>
      </c>
      <c r="Y58" s="2"/>
      <c r="Z58" s="19">
        <f t="shared" si="19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12"/>
        <v>0</v>
      </c>
      <c r="G59" s="2"/>
      <c r="H59" s="2"/>
      <c r="I59" s="2"/>
      <c r="J59" s="19">
        <f t="shared" si="13"/>
        <v>0</v>
      </c>
      <c r="K59" s="2"/>
      <c r="L59" s="2">
        <f t="shared" si="14"/>
        <v>0</v>
      </c>
      <c r="M59" s="2"/>
      <c r="N59" s="19">
        <f t="shared" si="15"/>
        <v>0</v>
      </c>
      <c r="O59" s="11"/>
      <c r="P59" s="2">
        <v>14.46</v>
      </c>
      <c r="Q59" s="2"/>
      <c r="R59" s="19">
        <f t="shared" si="16"/>
        <v>1.7598044810974914E-5</v>
      </c>
      <c r="S59" s="2"/>
      <c r="T59" s="2">
        <v>239.9</v>
      </c>
      <c r="U59" s="2"/>
      <c r="V59" s="19">
        <f t="shared" si="17"/>
        <v>2.5782155807790088E-4</v>
      </c>
      <c r="W59" s="2"/>
      <c r="X59" s="2">
        <f t="shared" si="18"/>
        <v>-225.44</v>
      </c>
      <c r="Y59" s="2"/>
      <c r="Z59" s="19">
        <f t="shared" si="19"/>
        <v>-0.93972488536890364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12"/>
        <v>0</v>
      </c>
      <c r="G60" s="2"/>
      <c r="H60" s="2">
        <v>1711.75</v>
      </c>
      <c r="I60" s="2"/>
      <c r="J60" s="19">
        <f t="shared" si="13"/>
        <v>3.7746121581872863E-2</v>
      </c>
      <c r="K60" s="2"/>
      <c r="L60" s="2">
        <f t="shared" si="14"/>
        <v>-1711.75</v>
      </c>
      <c r="M60" s="2"/>
      <c r="N60" s="19">
        <f t="shared" si="15"/>
        <v>-1</v>
      </c>
      <c r="O60" s="11"/>
      <c r="P60" s="2">
        <v>26394.329999999998</v>
      </c>
      <c r="Q60" s="2"/>
      <c r="R60" s="19">
        <f t="shared" si="16"/>
        <v>3.2122309965121679E-2</v>
      </c>
      <c r="S60" s="2"/>
      <c r="T60" s="2">
        <v>21263.449999999997</v>
      </c>
      <c r="U60" s="2"/>
      <c r="V60" s="19">
        <f t="shared" si="17"/>
        <v>2.2851920838314048E-2</v>
      </c>
      <c r="W60" s="2"/>
      <c r="X60" s="2">
        <f t="shared" si="18"/>
        <v>5130.880000000001</v>
      </c>
      <c r="Y60" s="2"/>
      <c r="Z60" s="19">
        <f t="shared" si="19"/>
        <v>0.2413004474814765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-7243.74</v>
      </c>
      <c r="E61" s="2"/>
      <c r="F61" s="19">
        <f t="shared" si="12"/>
        <v>-1.0374536501948515</v>
      </c>
      <c r="G61" s="2"/>
      <c r="H61" s="2">
        <v>4415.1499999999996</v>
      </c>
      <c r="I61" s="2"/>
      <c r="J61" s="19">
        <f t="shared" si="13"/>
        <v>9.7359304046856124E-2</v>
      </c>
      <c r="K61" s="2"/>
      <c r="L61" s="2">
        <f t="shared" si="14"/>
        <v>-11658.89</v>
      </c>
      <c r="M61" s="2"/>
      <c r="N61" s="19">
        <f t="shared" si="15"/>
        <v>-2.6406554703690701</v>
      </c>
      <c r="O61" s="11"/>
      <c r="P61" s="2">
        <v>42992.76</v>
      </c>
      <c r="Q61" s="2"/>
      <c r="R61" s="19">
        <f t="shared" si="16"/>
        <v>5.2322857332468178E-2</v>
      </c>
      <c r="S61" s="2"/>
      <c r="T61" s="2">
        <v>53459.82</v>
      </c>
      <c r="U61" s="2"/>
      <c r="V61" s="19">
        <f t="shared" si="17"/>
        <v>5.7453497653039295E-2</v>
      </c>
      <c r="W61" s="2"/>
      <c r="X61" s="2">
        <f t="shared" si="18"/>
        <v>-10467.059999999998</v>
      </c>
      <c r="Y61" s="2"/>
      <c r="Z61" s="19">
        <f t="shared" si="19"/>
        <v>-0.19579302736148377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-2373.83</v>
      </c>
      <c r="E62" s="2"/>
      <c r="F62" s="19">
        <f t="shared" si="12"/>
        <v>-0.33998163910383922</v>
      </c>
      <c r="G62" s="2"/>
      <c r="H62" s="2">
        <v>12828.83</v>
      </c>
      <c r="I62" s="2"/>
      <c r="J62" s="19">
        <f t="shared" si="13"/>
        <v>0.28289094606874721</v>
      </c>
      <c r="K62" s="2"/>
      <c r="L62" s="2">
        <f t="shared" si="14"/>
        <v>-15202.66</v>
      </c>
      <c r="M62" s="2"/>
      <c r="N62" s="19">
        <f t="shared" si="15"/>
        <v>-1.1850386979950627</v>
      </c>
      <c r="O62" s="11"/>
      <c r="P62" s="2">
        <v>140908.88999999998</v>
      </c>
      <c r="Q62" s="2"/>
      <c r="R62" s="19">
        <f t="shared" si="16"/>
        <v>0.17148830985371608</v>
      </c>
      <c r="S62" s="2"/>
      <c r="T62" s="2">
        <v>155625.56</v>
      </c>
      <c r="U62" s="2"/>
      <c r="V62" s="19">
        <f t="shared" si="17"/>
        <v>0.16725145625654791</v>
      </c>
      <c r="W62" s="2"/>
      <c r="X62" s="2">
        <f t="shared" si="18"/>
        <v>-14716.670000000013</v>
      </c>
      <c r="Y62" s="2"/>
      <c r="Z62" s="19">
        <f t="shared" si="19"/>
        <v>-9.4564607510488716E-2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-60.3</v>
      </c>
      <c r="E63" s="2"/>
      <c r="F63" s="19">
        <f t="shared" si="12"/>
        <v>-8.6362093485892015E-3</v>
      </c>
      <c r="G63" s="2"/>
      <c r="H63" s="2">
        <v>1484.71</v>
      </c>
      <c r="I63" s="2"/>
      <c r="J63" s="19">
        <f t="shared" si="13"/>
        <v>3.2739619789001001E-2</v>
      </c>
      <c r="K63" s="2"/>
      <c r="L63" s="2">
        <f t="shared" si="14"/>
        <v>-1545.01</v>
      </c>
      <c r="M63" s="2"/>
      <c r="N63" s="19">
        <f t="shared" si="15"/>
        <v>-1.0406139919580255</v>
      </c>
      <c r="O63" s="11"/>
      <c r="P63" s="2">
        <v>159627.69</v>
      </c>
      <c r="Q63" s="2"/>
      <c r="R63" s="19">
        <f t="shared" si="16"/>
        <v>0.19426938047665368</v>
      </c>
      <c r="S63" s="2"/>
      <c r="T63" s="2">
        <v>177482.59</v>
      </c>
      <c r="U63" s="2"/>
      <c r="V63" s="19">
        <f t="shared" si="17"/>
        <v>0.19074130006461554</v>
      </c>
      <c r="W63" s="2"/>
      <c r="X63" s="2">
        <f t="shared" si="18"/>
        <v>-17854.899999999994</v>
      </c>
      <c r="Y63" s="2"/>
      <c r="Z63" s="19">
        <f t="shared" si="19"/>
        <v>-0.10060085330059694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12"/>
        <v>0</v>
      </c>
      <c r="G64" s="2"/>
      <c r="H64" s="2">
        <v>1464.39</v>
      </c>
      <c r="I64" s="2"/>
      <c r="J64" s="19">
        <f t="shared" si="13"/>
        <v>3.2291539642634037E-2</v>
      </c>
      <c r="K64" s="2"/>
      <c r="L64" s="2">
        <f t="shared" si="14"/>
        <v>-1464.39</v>
      </c>
      <c r="M64" s="2"/>
      <c r="N64" s="19">
        <f t="shared" si="15"/>
        <v>-1</v>
      </c>
      <c r="O64" s="11"/>
      <c r="P64" s="2">
        <v>33239.879999999997</v>
      </c>
      <c r="Q64" s="2"/>
      <c r="R64" s="19">
        <f t="shared" si="16"/>
        <v>4.0453450743528963E-2</v>
      </c>
      <c r="S64" s="2"/>
      <c r="T64" s="2">
        <v>39293.68</v>
      </c>
      <c r="U64" s="2"/>
      <c r="V64" s="19">
        <f t="shared" si="17"/>
        <v>4.22290862868464E-2</v>
      </c>
      <c r="W64" s="2"/>
      <c r="X64" s="2">
        <f t="shared" si="18"/>
        <v>-6053.8000000000029</v>
      </c>
      <c r="Y64" s="2"/>
      <c r="Z64" s="19">
        <f t="shared" si="19"/>
        <v>-0.15406548839406242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/>
      <c r="E65" s="2"/>
      <c r="F65" s="19">
        <f t="shared" si="12"/>
        <v>0</v>
      </c>
      <c r="G65" s="2"/>
      <c r="H65" s="2">
        <v>203.26</v>
      </c>
      <c r="I65" s="2"/>
      <c r="J65" s="19">
        <f t="shared" si="13"/>
        <v>4.4821245349680027E-3</v>
      </c>
      <c r="K65" s="2"/>
      <c r="L65" s="2">
        <f t="shared" si="14"/>
        <v>-203.26</v>
      </c>
      <c r="M65" s="2"/>
      <c r="N65" s="19">
        <f t="shared" si="15"/>
        <v>-1</v>
      </c>
      <c r="O65" s="11"/>
      <c r="P65" s="2">
        <v>7802.45</v>
      </c>
      <c r="Q65" s="2"/>
      <c r="R65" s="19">
        <f t="shared" si="16"/>
        <v>9.4957029554212456E-3</v>
      </c>
      <c r="S65" s="2"/>
      <c r="T65" s="2">
        <v>9569.02</v>
      </c>
      <c r="U65" s="2"/>
      <c r="V65" s="19">
        <f t="shared" si="17"/>
        <v>1.0283866801494769E-2</v>
      </c>
      <c r="W65" s="2"/>
      <c r="X65" s="2">
        <f t="shared" si="18"/>
        <v>-1766.5700000000006</v>
      </c>
      <c r="Y65" s="2"/>
      <c r="Z65" s="19">
        <f t="shared" si="19"/>
        <v>-0.18461347138996476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/>
      <c r="E66" s="2"/>
      <c r="F66" s="19">
        <f t="shared" si="12"/>
        <v>0</v>
      </c>
      <c r="G66" s="2"/>
      <c r="H66" s="2">
        <v>316.45</v>
      </c>
      <c r="I66" s="2"/>
      <c r="J66" s="19">
        <f t="shared" si="13"/>
        <v>6.9780985392631327E-3</v>
      </c>
      <c r="K66" s="2"/>
      <c r="L66" s="2">
        <f t="shared" si="14"/>
        <v>-316.45</v>
      </c>
      <c r="M66" s="2"/>
      <c r="N66" s="19">
        <f t="shared" si="15"/>
        <v>-1</v>
      </c>
      <c r="O66" s="11"/>
      <c r="P66" s="2">
        <v>9998.41</v>
      </c>
      <c r="Q66" s="2"/>
      <c r="R66" s="19">
        <f t="shared" si="16"/>
        <v>1.2168220416217129E-2</v>
      </c>
      <c r="S66" s="2"/>
      <c r="T66" s="2">
        <v>9492.2800000000007</v>
      </c>
      <c r="U66" s="2"/>
      <c r="V66" s="19">
        <f t="shared" si="17"/>
        <v>1.0201393994629833E-2</v>
      </c>
      <c r="W66" s="2"/>
      <c r="X66" s="2">
        <f t="shared" si="18"/>
        <v>506.1299999999992</v>
      </c>
      <c r="Y66" s="2"/>
      <c r="Z66" s="19">
        <f t="shared" si="19"/>
        <v>5.3320171760630655E-2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/>
      <c r="E67" s="2"/>
      <c r="F67" s="19">
        <f t="shared" si="12"/>
        <v>0</v>
      </c>
      <c r="G67" s="2"/>
      <c r="H67" s="2">
        <v>56.97</v>
      </c>
      <c r="I67" s="2"/>
      <c r="J67" s="19">
        <f t="shared" si="13"/>
        <v>1.2562561977621132E-3</v>
      </c>
      <c r="K67" s="2"/>
      <c r="L67" s="2">
        <f t="shared" si="14"/>
        <v>-56.97</v>
      </c>
      <c r="M67" s="2"/>
      <c r="N67" s="19">
        <f t="shared" si="15"/>
        <v>-1</v>
      </c>
      <c r="O67" s="11"/>
      <c r="P67" s="2">
        <v>4033.88</v>
      </c>
      <c r="Q67" s="2"/>
      <c r="R67" s="19">
        <f t="shared" si="16"/>
        <v>4.9092946751103381E-3</v>
      </c>
      <c r="S67" s="2"/>
      <c r="T67" s="2">
        <v>3837.69</v>
      </c>
      <c r="U67" s="2"/>
      <c r="V67" s="19">
        <f t="shared" si="17"/>
        <v>4.1243818892037487E-3</v>
      </c>
      <c r="W67" s="2"/>
      <c r="X67" s="2">
        <f t="shared" si="18"/>
        <v>196.19000000000005</v>
      </c>
      <c r="Y67" s="2"/>
      <c r="Z67" s="19">
        <f t="shared" si="19"/>
        <v>5.1121898850610664E-2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/>
      <c r="E68" s="2"/>
      <c r="F68" s="19">
        <f t="shared" si="12"/>
        <v>0</v>
      </c>
      <c r="G68" s="2"/>
      <c r="H68" s="2">
        <v>21.22</v>
      </c>
      <c r="I68" s="2"/>
      <c r="J68" s="19">
        <f t="shared" si="13"/>
        <v>4.6792621584188236E-4</v>
      </c>
      <c r="K68" s="2"/>
      <c r="L68" s="2">
        <f t="shared" si="14"/>
        <v>-21.22</v>
      </c>
      <c r="M68" s="2"/>
      <c r="N68" s="19">
        <f t="shared" si="15"/>
        <v>-1</v>
      </c>
      <c r="O68" s="11"/>
      <c r="P68" s="2">
        <v>1117.6500000000001</v>
      </c>
      <c r="Q68" s="2"/>
      <c r="R68" s="19">
        <f t="shared" si="16"/>
        <v>1.3601974262092747E-3</v>
      </c>
      <c r="S68" s="2"/>
      <c r="T68" s="2">
        <v>1219.07</v>
      </c>
      <c r="U68" s="2"/>
      <c r="V68" s="19">
        <f t="shared" si="17"/>
        <v>1.310139753255634E-3</v>
      </c>
      <c r="W68" s="2"/>
      <c r="X68" s="2">
        <f t="shared" si="18"/>
        <v>-101.41999999999985</v>
      </c>
      <c r="Y68" s="2"/>
      <c r="Z68" s="19">
        <f t="shared" si="19"/>
        <v>-8.3194566349758303E-2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/>
      <c r="E69" s="2"/>
      <c r="F69" s="19">
        <f t="shared" si="12"/>
        <v>0</v>
      </c>
      <c r="G69" s="2"/>
      <c r="H69" s="2">
        <v>23.2</v>
      </c>
      <c r="I69" s="2"/>
      <c r="J69" s="19">
        <f t="shared" si="13"/>
        <v>5.1158756868669515E-4</v>
      </c>
      <c r="K69" s="2"/>
      <c r="L69" s="2">
        <f t="shared" si="14"/>
        <v>-23.2</v>
      </c>
      <c r="M69" s="2"/>
      <c r="N69" s="19">
        <f t="shared" si="15"/>
        <v>-1</v>
      </c>
      <c r="O69" s="11"/>
      <c r="P69" s="2">
        <v>5663.81</v>
      </c>
      <c r="Q69" s="2"/>
      <c r="R69" s="19">
        <f t="shared" si="16"/>
        <v>6.8929448257847737E-3</v>
      </c>
      <c r="S69" s="2"/>
      <c r="T69" s="2">
        <v>5804.24</v>
      </c>
      <c r="U69" s="2"/>
      <c r="V69" s="19">
        <f t="shared" si="17"/>
        <v>6.2378416017427069E-3</v>
      </c>
      <c r="W69" s="2"/>
      <c r="X69" s="2">
        <f t="shared" si="18"/>
        <v>-140.42999999999938</v>
      </c>
      <c r="Y69" s="2"/>
      <c r="Z69" s="19">
        <f t="shared" si="19"/>
        <v>-2.4194382037958352E-2</v>
      </c>
    </row>
    <row r="70" spans="1:26" s="24" customFormat="1" hidden="1" outlineLevel="1" x14ac:dyDescent="0.25">
      <c r="A70" s="44"/>
      <c r="B70" s="11" t="str">
        <f>CONCATENATE("          ", "5042", " - ", "PURCHASES @ COST-EVERYDAY GIFT")</f>
        <v xml:space="preserve">          5042 - PURCHASES @ COST-EVERYDAY GIFT</v>
      </c>
      <c r="C70" s="11"/>
      <c r="D70" s="2"/>
      <c r="E70" s="2"/>
      <c r="F70" s="19">
        <f t="shared" si="12"/>
        <v>0</v>
      </c>
      <c r="G70" s="2"/>
      <c r="H70" s="2"/>
      <c r="I70" s="2"/>
      <c r="J70" s="19">
        <f t="shared" si="13"/>
        <v>0</v>
      </c>
      <c r="K70" s="2"/>
      <c r="L70" s="2">
        <f t="shared" si="14"/>
        <v>0</v>
      </c>
      <c r="M70" s="2"/>
      <c r="N70" s="19">
        <f t="shared" si="15"/>
        <v>0</v>
      </c>
      <c r="O70" s="11"/>
      <c r="P70" s="2"/>
      <c r="Q70" s="2"/>
      <c r="R70" s="19">
        <f t="shared" si="16"/>
        <v>0</v>
      </c>
      <c r="S70" s="2"/>
      <c r="T70" s="2">
        <v>-126</v>
      </c>
      <c r="U70" s="2"/>
      <c r="V70" s="19">
        <f t="shared" si="17"/>
        <v>-1.3541273996588374E-4</v>
      </c>
      <c r="W70" s="2"/>
      <c r="X70" s="2">
        <f t="shared" si="18"/>
        <v>126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"5081", " - ", "PURCHASES @ COST-ELECTRONICS")</f>
        <v xml:space="preserve">          5081 - PURCHASES @ COST-ELECTRONICS</v>
      </c>
      <c r="C71" s="11"/>
      <c r="D71" s="2"/>
      <c r="E71" s="2"/>
      <c r="F71" s="19">
        <f t="shared" si="12"/>
        <v>0</v>
      </c>
      <c r="G71" s="2"/>
      <c r="H71" s="2">
        <v>127.78</v>
      </c>
      <c r="I71" s="2"/>
      <c r="J71" s="19">
        <f t="shared" si="13"/>
        <v>2.8177008416718067E-3</v>
      </c>
      <c r="K71" s="2"/>
      <c r="L71" s="2">
        <f t="shared" si="14"/>
        <v>-127.78</v>
      </c>
      <c r="M71" s="2"/>
      <c r="N71" s="19">
        <f t="shared" si="15"/>
        <v>-1</v>
      </c>
      <c r="O71" s="11"/>
      <c r="P71" s="2">
        <v>2008.03</v>
      </c>
      <c r="Q71" s="2"/>
      <c r="R71" s="19">
        <f t="shared" si="16"/>
        <v>2.4438037290305638E-3</v>
      </c>
      <c r="S71" s="2"/>
      <c r="T71" s="2">
        <v>2682.64</v>
      </c>
      <c r="U71" s="2"/>
      <c r="V71" s="19">
        <f t="shared" si="17"/>
        <v>2.883044704302209E-3</v>
      </c>
      <c r="W71" s="2"/>
      <c r="X71" s="2">
        <f t="shared" si="18"/>
        <v>-674.6099999999999</v>
      </c>
      <c r="Y71" s="2"/>
      <c r="Z71" s="19">
        <f t="shared" si="19"/>
        <v>-0.25147243014344078</v>
      </c>
    </row>
    <row r="72" spans="1:26" s="24" customFormat="1" hidden="1" outlineLevel="1" x14ac:dyDescent="0.25">
      <c r="A72" s="44"/>
      <c r="B72" s="11" t="str">
        <f>CONCATENATE("          ", "5082", " - ", "PURCHASES @ COST-COMPUTER HARD")</f>
        <v xml:space="preserve">          5082 - PURCHASES @ COST-COMPUTER HARD</v>
      </c>
      <c r="C72" s="11"/>
      <c r="D72" s="2"/>
      <c r="E72" s="2"/>
      <c r="F72" s="19">
        <f t="shared" si="12"/>
        <v>0</v>
      </c>
      <c r="G72" s="2"/>
      <c r="H72" s="2"/>
      <c r="I72" s="2"/>
      <c r="J72" s="19">
        <f t="shared" si="13"/>
        <v>0</v>
      </c>
      <c r="K72" s="2"/>
      <c r="L72" s="2">
        <f t="shared" si="14"/>
        <v>0</v>
      </c>
      <c r="M72" s="2"/>
      <c r="N72" s="19">
        <f t="shared" si="15"/>
        <v>0</v>
      </c>
      <c r="O72" s="11"/>
      <c r="P72" s="2">
        <v>349.6</v>
      </c>
      <c r="Q72" s="2"/>
      <c r="R72" s="19">
        <f t="shared" si="16"/>
        <v>4.2546863526395784E-4</v>
      </c>
      <c r="S72" s="2"/>
      <c r="T72" s="2">
        <v>1118</v>
      </c>
      <c r="U72" s="2"/>
      <c r="V72" s="19">
        <f t="shared" si="17"/>
        <v>1.2015193911258572E-3</v>
      </c>
      <c r="W72" s="2"/>
      <c r="X72" s="2">
        <f t="shared" si="18"/>
        <v>-768.4</v>
      </c>
      <c r="Y72" s="2"/>
      <c r="Z72" s="19">
        <f t="shared" si="19"/>
        <v>-0.68729874776386402</v>
      </c>
    </row>
    <row r="73" spans="1:26" s="24" customFormat="1" hidden="1" outlineLevel="1" x14ac:dyDescent="0.25">
      <c r="A73" s="44"/>
      <c r="B73" s="11" t="str">
        <f>CONCATENATE("          ", "5083", " - ", "PURCHASES @ COST-COMPUTER EQUI")</f>
        <v xml:space="preserve">          5083 - PURCHASES @ COST-COMPUTER EQUI</v>
      </c>
      <c r="C73" s="11"/>
      <c r="D73" s="2"/>
      <c r="E73" s="2"/>
      <c r="F73" s="19">
        <f t="shared" si="12"/>
        <v>0</v>
      </c>
      <c r="G73" s="2"/>
      <c r="H73" s="2">
        <v>-72.8</v>
      </c>
      <c r="I73" s="2"/>
      <c r="J73" s="19">
        <f t="shared" si="13"/>
        <v>-1.6053265086375607E-3</v>
      </c>
      <c r="K73" s="2"/>
      <c r="L73" s="2">
        <f t="shared" si="14"/>
        <v>72.8</v>
      </c>
      <c r="M73" s="2"/>
      <c r="N73" s="19">
        <f t="shared" si="15"/>
        <v>-1</v>
      </c>
      <c r="O73" s="11"/>
      <c r="P73" s="2">
        <v>304.70999999999998</v>
      </c>
      <c r="Q73" s="2"/>
      <c r="R73" s="19">
        <f t="shared" si="16"/>
        <v>3.7083680735492156E-4</v>
      </c>
      <c r="S73" s="2"/>
      <c r="T73" s="2">
        <v>637.39</v>
      </c>
      <c r="U73" s="2"/>
      <c r="V73" s="19">
        <f t="shared" si="17"/>
        <v>6.8500576449884631E-4</v>
      </c>
      <c r="W73" s="2"/>
      <c r="X73" s="2">
        <f t="shared" si="18"/>
        <v>-332.68</v>
      </c>
      <c r="Y73" s="2"/>
      <c r="Z73" s="19">
        <f t="shared" si="19"/>
        <v>-0.52194104080704129</v>
      </c>
    </row>
    <row r="74" spans="1:26" s="24" customFormat="1" hidden="1" outlineLevel="1" x14ac:dyDescent="0.25">
      <c r="A74" s="44"/>
      <c r="B74" s="11" t="str">
        <f>CONCATENATE("          ", "5086", " - ", "PURCHASES @ COST-COMPUTER SUPP")</f>
        <v xml:space="preserve">          5086 - PURCHASES @ COST-COMPUTER SUPP</v>
      </c>
      <c r="C74" s="11"/>
      <c r="D74" s="2"/>
      <c r="E74" s="2"/>
      <c r="F74" s="19">
        <f t="shared" si="12"/>
        <v>0</v>
      </c>
      <c r="G74" s="2"/>
      <c r="H74" s="2"/>
      <c r="I74" s="2"/>
      <c r="J74" s="19">
        <f t="shared" si="13"/>
        <v>0</v>
      </c>
      <c r="K74" s="2"/>
      <c r="L74" s="2">
        <f t="shared" si="14"/>
        <v>0</v>
      </c>
      <c r="M74" s="2"/>
      <c r="N74" s="19">
        <f t="shared" si="15"/>
        <v>0</v>
      </c>
      <c r="O74" s="11"/>
      <c r="P74" s="2">
        <v>426.22</v>
      </c>
      <c r="Q74" s="2"/>
      <c r="R74" s="19">
        <f t="shared" si="16"/>
        <v>5.1871636648227715E-4</v>
      </c>
      <c r="S74" s="2"/>
      <c r="T74" s="2">
        <v>971.76</v>
      </c>
      <c r="U74" s="2"/>
      <c r="V74" s="19">
        <f t="shared" si="17"/>
        <v>1.0443546364225966E-3</v>
      </c>
      <c r="W74" s="2"/>
      <c r="X74" s="2">
        <f t="shared" si="18"/>
        <v>-545.54</v>
      </c>
      <c r="Y74" s="2"/>
      <c r="Z74" s="19">
        <f t="shared" si="19"/>
        <v>-0.56139375977607642</v>
      </c>
    </row>
    <row r="75" spans="1:26" s="24" customFormat="1" hidden="1" outlineLevel="1" x14ac:dyDescent="0.25">
      <c r="A75" s="44"/>
      <c r="B75" s="11" t="str">
        <f>CONCATENATE("          ", "5200", " - ", "PURCHASES OFFSET")</f>
        <v xml:space="preserve">          5200 - PURCHASES OFFSET</v>
      </c>
      <c r="C75" s="11"/>
      <c r="D75" s="2">
        <v>8031</v>
      </c>
      <c r="E75" s="2"/>
      <c r="F75" s="19">
        <f t="shared" si="12"/>
        <v>1.150205593341955</v>
      </c>
      <c r="G75" s="2"/>
      <c r="H75" s="2">
        <v>-22871</v>
      </c>
      <c r="I75" s="2"/>
      <c r="J75" s="19">
        <f t="shared" si="13"/>
        <v>-0.50433272773419857</v>
      </c>
      <c r="K75" s="2"/>
      <c r="L75" s="2">
        <f t="shared" si="14"/>
        <v>30902</v>
      </c>
      <c r="M75" s="2"/>
      <c r="N75" s="19">
        <f t="shared" si="15"/>
        <v>-1.3511433693323422</v>
      </c>
      <c r="O75" s="11"/>
      <c r="P75" s="2">
        <v>-442948</v>
      </c>
      <c r="Q75" s="2"/>
      <c r="R75" s="19">
        <f t="shared" si="16"/>
        <v>-0.53907460255406059</v>
      </c>
      <c r="S75" s="2"/>
      <c r="T75" s="2">
        <v>-492682.00000000006</v>
      </c>
      <c r="U75" s="2"/>
      <c r="V75" s="19">
        <f t="shared" si="17"/>
        <v>-0.52948745676088527</v>
      </c>
      <c r="W75" s="2"/>
      <c r="X75" s="2">
        <f t="shared" si="18"/>
        <v>49734.000000000058</v>
      </c>
      <c r="Y75" s="2"/>
      <c r="Z75" s="19">
        <f t="shared" si="19"/>
        <v>-0.10094543742211011</v>
      </c>
    </row>
    <row r="76" spans="1:26" s="24" customFormat="1" hidden="1" outlineLevel="1" x14ac:dyDescent="0.25">
      <c r="A76" s="44"/>
      <c r="B76" s="11" t="str">
        <f>CONCATENATE("          ", "5300", " - ", "COG$ OFFSET")</f>
        <v xml:space="preserve">          5300 - COG$ OFFSET</v>
      </c>
      <c r="C76" s="11"/>
      <c r="D76" s="2">
        <v>6103</v>
      </c>
      <c r="E76" s="2"/>
      <c r="F76" s="19">
        <f t="shared" si="12"/>
        <v>0.87407604733731181</v>
      </c>
      <c r="G76" s="2"/>
      <c r="H76" s="2">
        <v>23498</v>
      </c>
      <c r="I76" s="2"/>
      <c r="J76" s="19">
        <f t="shared" si="13"/>
        <v>0.51815882280172254</v>
      </c>
      <c r="K76" s="2"/>
      <c r="L76" s="2">
        <f t="shared" si="14"/>
        <v>-17395</v>
      </c>
      <c r="M76" s="2"/>
      <c r="N76" s="19">
        <f t="shared" si="15"/>
        <v>-0.74027576815048091</v>
      </c>
      <c r="O76" s="11"/>
      <c r="P76" s="2">
        <v>414035</v>
      </c>
      <c r="Q76" s="2"/>
      <c r="R76" s="19">
        <f t="shared" si="16"/>
        <v>0.50388703204094043</v>
      </c>
      <c r="S76" s="2"/>
      <c r="T76" s="2">
        <v>485131.00000000006</v>
      </c>
      <c r="U76" s="2"/>
      <c r="V76" s="19">
        <f t="shared" si="17"/>
        <v>0.52137236470150117</v>
      </c>
      <c r="W76" s="2"/>
      <c r="X76" s="2">
        <f t="shared" si="18"/>
        <v>-71096.000000000058</v>
      </c>
      <c r="Y76" s="2"/>
      <c r="Z76" s="19">
        <f t="shared" si="19"/>
        <v>-0.14655010708447833</v>
      </c>
    </row>
    <row r="77" spans="1:26" s="24" customFormat="1" hidden="1" outlineLevel="1" x14ac:dyDescent="0.25">
      <c r="A77" s="44"/>
      <c r="B77" s="11" t="str">
        <f>CONCATENATE("          ", "5500", " - ", "FREIGHT-IN")</f>
        <v xml:space="preserve">          5500 - FREIGHT-IN</v>
      </c>
      <c r="C77" s="11"/>
      <c r="D77" s="2"/>
      <c r="E77" s="2"/>
      <c r="F77" s="19">
        <f t="shared" si="12"/>
        <v>0</v>
      </c>
      <c r="G77" s="2"/>
      <c r="H77" s="2"/>
      <c r="I77" s="2"/>
      <c r="J77" s="19">
        <f t="shared" si="13"/>
        <v>0</v>
      </c>
      <c r="K77" s="2"/>
      <c r="L77" s="2">
        <f t="shared" si="14"/>
        <v>0</v>
      </c>
      <c r="M77" s="2"/>
      <c r="N77" s="19">
        <f t="shared" si="15"/>
        <v>0</v>
      </c>
      <c r="O77" s="11"/>
      <c r="P77" s="2">
        <v>86</v>
      </c>
      <c r="Q77" s="2"/>
      <c r="R77" s="19">
        <f t="shared" si="16"/>
        <v>1.0466333705005827E-4</v>
      </c>
      <c r="S77" s="2"/>
      <c r="T77" s="2"/>
      <c r="U77" s="2"/>
      <c r="V77" s="19">
        <f t="shared" si="17"/>
        <v>0</v>
      </c>
      <c r="W77" s="2"/>
      <c r="X77" s="2">
        <f t="shared" si="18"/>
        <v>86</v>
      </c>
      <c r="Y77" s="2"/>
      <c r="Z77" s="19">
        <f t="shared" si="19"/>
        <v>0</v>
      </c>
    </row>
    <row r="78" spans="1:26" s="24" customFormat="1" hidden="1" outlineLevel="1" x14ac:dyDescent="0.25">
      <c r="A78" s="44"/>
      <c r="B78" s="11" t="str">
        <f>CONCATENATE("          ", "5525", " - ", "FREIGHT-IN-TEST FORMS")</f>
        <v xml:space="preserve">          5525 - FREIGHT-IN-TEST FORMS</v>
      </c>
      <c r="C78" s="11"/>
      <c r="D78" s="2">
        <v>377.1</v>
      </c>
      <c r="E78" s="2"/>
      <c r="F78" s="19">
        <f t="shared" si="12"/>
        <v>5.4008533090430987E-2</v>
      </c>
      <c r="G78" s="2"/>
      <c r="H78" s="2">
        <v>55.71</v>
      </c>
      <c r="I78" s="2"/>
      <c r="J78" s="19">
        <f t="shared" si="13"/>
        <v>1.2284717004972323E-3</v>
      </c>
      <c r="K78" s="2"/>
      <c r="L78" s="2">
        <f t="shared" si="14"/>
        <v>321.39000000000004</v>
      </c>
      <c r="M78" s="2"/>
      <c r="N78" s="19">
        <f t="shared" si="15"/>
        <v>5.7689822294022628</v>
      </c>
      <c r="O78" s="11"/>
      <c r="P78" s="2">
        <v>1614.32</v>
      </c>
      <c r="Q78" s="2"/>
      <c r="R78" s="19">
        <f t="shared" si="16"/>
        <v>1.9646525379843028E-3</v>
      </c>
      <c r="S78" s="2"/>
      <c r="T78" s="2">
        <v>390.96</v>
      </c>
      <c r="U78" s="2"/>
      <c r="V78" s="19">
        <f t="shared" si="17"/>
        <v>4.2016638743699923E-4</v>
      </c>
      <c r="W78" s="2"/>
      <c r="X78" s="2">
        <f t="shared" si="18"/>
        <v>1223.3599999999999</v>
      </c>
      <c r="Y78" s="2"/>
      <c r="Z78" s="19">
        <f t="shared" si="19"/>
        <v>3.1291180683445874</v>
      </c>
    </row>
    <row r="79" spans="1:26" s="24" customFormat="1" hidden="1" outlineLevel="1" x14ac:dyDescent="0.25">
      <c r="A79" s="44"/>
      <c r="B79" s="11" t="str">
        <f>CONCATENATE("          ", "5526", " - ", "FREIGHT-IN-WRITING INSTRUMENTS")</f>
        <v xml:space="preserve">          5526 - FREIGHT-IN-WRITING INSTRUMENTS</v>
      </c>
      <c r="C79" s="11"/>
      <c r="D79" s="2">
        <v>14.15</v>
      </c>
      <c r="E79" s="2"/>
      <c r="F79" s="19">
        <f t="shared" si="12"/>
        <v>2.0265731721813801E-3</v>
      </c>
      <c r="G79" s="2"/>
      <c r="H79" s="2">
        <v>24.01</v>
      </c>
      <c r="I79" s="2"/>
      <c r="J79" s="19">
        <f t="shared" si="13"/>
        <v>5.2944903121411862E-4</v>
      </c>
      <c r="K79" s="2"/>
      <c r="L79" s="2">
        <f t="shared" si="14"/>
        <v>-9.8600000000000012</v>
      </c>
      <c r="M79" s="2"/>
      <c r="N79" s="19">
        <f t="shared" si="15"/>
        <v>-0.41066222407330283</v>
      </c>
      <c r="O79" s="11"/>
      <c r="P79" s="2">
        <v>274.5</v>
      </c>
      <c r="Q79" s="2"/>
      <c r="R79" s="19">
        <f t="shared" si="16"/>
        <v>3.340707676772209E-4</v>
      </c>
      <c r="S79" s="2"/>
      <c r="T79" s="2">
        <v>256.12</v>
      </c>
      <c r="U79" s="2"/>
      <c r="V79" s="19">
        <f t="shared" si="17"/>
        <v>2.7525326158779482E-4</v>
      </c>
      <c r="W79" s="2"/>
      <c r="X79" s="2">
        <f t="shared" si="18"/>
        <v>18.379999999999995</v>
      </c>
      <c r="Y79" s="2"/>
      <c r="Z79" s="19">
        <f t="shared" si="19"/>
        <v>7.1763235983132889E-2</v>
      </c>
    </row>
    <row r="80" spans="1:26" s="24" customFormat="1" hidden="1" outlineLevel="1" x14ac:dyDescent="0.25">
      <c r="A80" s="44"/>
      <c r="B80" s="11" t="str">
        <f>CONCATENATE("          ", "5527", " - ", "FREIGHT-IN-SCHOOL SUPPLIES")</f>
        <v xml:space="preserve">          5527 - FREIGHT-IN-SCHOOL SUPPLIES</v>
      </c>
      <c r="C80" s="11"/>
      <c r="D80" s="2">
        <v>-250.91</v>
      </c>
      <c r="E80" s="2"/>
      <c r="F80" s="19">
        <f t="shared" si="12"/>
        <v>-3.5935510574701769E-2</v>
      </c>
      <c r="G80" s="2"/>
      <c r="H80" s="2">
        <v>150.80000000000001</v>
      </c>
      <c r="I80" s="2"/>
      <c r="J80" s="19">
        <f t="shared" si="13"/>
        <v>3.3253191964635188E-3</v>
      </c>
      <c r="K80" s="2"/>
      <c r="L80" s="2">
        <f t="shared" si="14"/>
        <v>-401.71000000000004</v>
      </c>
      <c r="M80" s="2"/>
      <c r="N80" s="19">
        <f t="shared" si="15"/>
        <v>-2.6638594164456233</v>
      </c>
      <c r="O80" s="11"/>
      <c r="P80" s="2">
        <v>1808</v>
      </c>
      <c r="Q80" s="2"/>
      <c r="R80" s="19">
        <f t="shared" si="16"/>
        <v>2.2003641091454113E-3</v>
      </c>
      <c r="S80" s="2"/>
      <c r="T80" s="2">
        <v>1912.08</v>
      </c>
      <c r="U80" s="2"/>
      <c r="V80" s="19">
        <f t="shared" si="17"/>
        <v>2.0549205701108492E-3</v>
      </c>
      <c r="W80" s="2"/>
      <c r="X80" s="2">
        <f t="shared" si="18"/>
        <v>-104.07999999999993</v>
      </c>
      <c r="Y80" s="2"/>
      <c r="Z80" s="19">
        <f t="shared" si="19"/>
        <v>-5.4432868917618477E-2</v>
      </c>
    </row>
    <row r="81" spans="1:26" s="24" customFormat="1" hidden="1" outlineLevel="1" x14ac:dyDescent="0.25">
      <c r="A81" s="44"/>
      <c r="B81" s="11" t="str">
        <f>CONCATENATE("          ", "5528", " - ", "FREIGHT-IN-ART/TECH")</f>
        <v xml:space="preserve">          5528 - FREIGHT-IN-ART/TECH</v>
      </c>
      <c r="C81" s="11"/>
      <c r="D81" s="2">
        <v>-19.75</v>
      </c>
      <c r="E81" s="2"/>
      <c r="F81" s="19">
        <f t="shared" si="12"/>
        <v>-2.8286091979210074E-3</v>
      </c>
      <c r="G81" s="2"/>
      <c r="H81" s="2">
        <v>59.75</v>
      </c>
      <c r="I81" s="2"/>
      <c r="J81" s="19">
        <f t="shared" si="13"/>
        <v>1.3175585012512947E-3</v>
      </c>
      <c r="K81" s="2"/>
      <c r="L81" s="2">
        <f t="shared" si="14"/>
        <v>-79.5</v>
      </c>
      <c r="M81" s="2"/>
      <c r="N81" s="19">
        <f t="shared" si="15"/>
        <v>-1.3305439330543933</v>
      </c>
      <c r="O81" s="11"/>
      <c r="P81" s="2">
        <v>2824.37</v>
      </c>
      <c r="Q81" s="2"/>
      <c r="R81" s="19">
        <f t="shared" si="16"/>
        <v>3.4373022007450358E-3</v>
      </c>
      <c r="S81" s="2"/>
      <c r="T81" s="2">
        <v>7553.59</v>
      </c>
      <c r="U81" s="2"/>
      <c r="V81" s="19">
        <f t="shared" si="17"/>
        <v>8.1178755434833313E-3</v>
      </c>
      <c r="W81" s="2"/>
      <c r="X81" s="2">
        <f t="shared" si="18"/>
        <v>-4729.22</v>
      </c>
      <c r="Y81" s="2"/>
      <c r="Z81" s="19">
        <f t="shared" si="19"/>
        <v>-0.62608905169594853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6</v>
      </c>
      <c r="C83" s="29"/>
      <c r="D83" s="21">
        <f>D12-D57</f>
        <v>2405.5100000000002</v>
      </c>
      <c r="E83" s="14"/>
      <c r="F83" s="20">
        <f>IF(D$12=0,0,D83/D$12)</f>
        <v>0.34451887147802346</v>
      </c>
      <c r="G83" s="14"/>
      <c r="H83" s="21">
        <f>H12-H57</f>
        <v>21850.850000000002</v>
      </c>
      <c r="I83" s="14"/>
      <c r="J83" s="20">
        <f>IF(H$12=0,0,H83/H$12)</f>
        <v>0.48183720798438251</v>
      </c>
      <c r="K83" s="16"/>
      <c r="L83" s="21">
        <f>+D83-H83</f>
        <v>-19445.340000000004</v>
      </c>
      <c r="M83" s="16"/>
      <c r="N83" s="20">
        <f>IF(H83=0,0,L83/H83)</f>
        <v>-0.88991229174151132</v>
      </c>
      <c r="O83" s="28"/>
      <c r="P83" s="21">
        <f>P12-P57</f>
        <v>409090.76999999984</v>
      </c>
      <c r="Q83" s="14"/>
      <c r="R83" s="20">
        <f>IF(P$12=0,0,P83/P$12)</f>
        <v>0.49786982726253315</v>
      </c>
      <c r="S83" s="14"/>
      <c r="T83" s="21">
        <f>T12-T57</f>
        <v>445355.67999999982</v>
      </c>
      <c r="U83" s="14"/>
      <c r="V83" s="20">
        <f>IF(T$12=0,0,T83/T$12)</f>
        <v>0.47862565784261352</v>
      </c>
      <c r="W83" s="16"/>
      <c r="X83" s="21">
        <f>+P83-T83</f>
        <v>-36264.909999999974</v>
      </c>
      <c r="Y83" s="16"/>
      <c r="Z83" s="20">
        <f>IF(T83=0,0,X83/T83)</f>
        <v>-8.142909505499063E-2</v>
      </c>
    </row>
    <row r="84" spans="1:26" x14ac:dyDescent="0.25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9</v>
      </c>
      <c r="C85" s="10"/>
      <c r="D85" s="22">
        <f>SUM(OSRRefD22x_0)</f>
        <v>8723.7099999999991</v>
      </c>
      <c r="E85" s="22"/>
      <c r="F85" s="31">
        <f t="shared" ref="F85:F95" si="20">IF(D$12=0,0,D85/D$12)</f>
        <v>1.2494160175187579</v>
      </c>
      <c r="G85" s="22"/>
      <c r="H85" s="22">
        <f>SUM(OSRRefH22x_0)</f>
        <v>21662.209999999995</v>
      </c>
      <c r="I85" s="22"/>
      <c r="J85" s="31">
        <f t="shared" ref="J85:J95" si="21">IF(H$12=0,0,H85/H$12)</f>
        <v>0.47767747182244019</v>
      </c>
      <c r="K85" s="4"/>
      <c r="L85" s="22">
        <f t="shared" ref="L85:L95" si="22">+D85-H85</f>
        <v>-12938.499999999996</v>
      </c>
      <c r="M85" s="4"/>
      <c r="N85" s="31">
        <f t="shared" ref="N85:N95" si="23">IF(H85=0,0,L85/H85)</f>
        <v>-0.59728439526714949</v>
      </c>
      <c r="O85" s="10"/>
      <c r="P85" s="22">
        <f>SUM(OSRRefP22x_0)</f>
        <v>216783.82999999993</v>
      </c>
      <c r="Q85" s="22"/>
      <c r="R85" s="31">
        <f t="shared" ref="R85:R95" si="24">IF(P$12=0,0,P85/P$12)</f>
        <v>0.26382929146851775</v>
      </c>
      <c r="S85" s="22"/>
      <c r="T85" s="22">
        <f>SUM(OSRRefT22x_0)</f>
        <v>232508.26</v>
      </c>
      <c r="U85" s="22"/>
      <c r="V85" s="31">
        <f t="shared" ref="V85:V95" si="25">IF(T$12=0,0,T85/T$12)</f>
        <v>0.24987762342301659</v>
      </c>
      <c r="W85" s="4"/>
      <c r="X85" s="22">
        <f t="shared" ref="X85:X95" si="26">+P85-T85</f>
        <v>-15724.43000000008</v>
      </c>
      <c r="Y85" s="4"/>
      <c r="Z85" s="31">
        <f t="shared" ref="Z85:Z95" si="27">IF(T85=0,0,X85/T85)</f>
        <v>-6.7629554322070448E-2</v>
      </c>
    </row>
    <row r="86" spans="1:26" s="27" customFormat="1" outlineLevel="1" collapsed="1" x14ac:dyDescent="0.25">
      <c r="A86" s="25"/>
      <c r="B86" s="13" t="str">
        <f>CONCATENATE("     ","*Benefits                                         ")</f>
        <v xml:space="preserve">     *Benefits                                         </v>
      </c>
      <c r="C86" s="13"/>
      <c r="D86" s="1">
        <f>SUM(OSRRefD22_0x_0)</f>
        <v>2869.59</v>
      </c>
      <c r="E86" s="1"/>
      <c r="F86" s="5">
        <f t="shared" si="20"/>
        <v>0.41098474269681745</v>
      </c>
      <c r="G86" s="1"/>
      <c r="H86" s="1">
        <f>SUM(OSRRefH22_0x_0)</f>
        <v>3778.82</v>
      </c>
      <c r="I86" s="1"/>
      <c r="J86" s="5">
        <f t="shared" si="21"/>
        <v>8.3327471392442135E-2</v>
      </c>
      <c r="K86" s="1"/>
      <c r="L86" s="1">
        <f t="shared" si="22"/>
        <v>-909.23</v>
      </c>
      <c r="M86" s="1"/>
      <c r="N86" s="5">
        <f t="shared" si="23"/>
        <v>-0.24061214876601689</v>
      </c>
      <c r="O86" s="13"/>
      <c r="P86" s="1">
        <f>SUM(OSRRefP22_0x_0)</f>
        <v>33587.680000000008</v>
      </c>
      <c r="Q86" s="1"/>
      <c r="R86" s="5">
        <f t="shared" si="24"/>
        <v>4.087672875080816E-2</v>
      </c>
      <c r="S86" s="1"/>
      <c r="T86" s="1">
        <f>SUM(OSRRefT22_0x_0)</f>
        <v>38086.44</v>
      </c>
      <c r="U86" s="1"/>
      <c r="V86" s="5">
        <f t="shared" si="25"/>
        <v>4.0931660285287566E-2</v>
      </c>
      <c r="W86" s="1"/>
      <c r="X86" s="1">
        <f t="shared" si="26"/>
        <v>-4498.7599999999948</v>
      </c>
      <c r="Y86" s="1"/>
      <c r="Z86" s="5">
        <f t="shared" si="27"/>
        <v>-0.11811972975158598</v>
      </c>
    </row>
    <row r="87" spans="1:26" s="24" customFormat="1" hidden="1" outlineLevel="2" x14ac:dyDescent="0.25">
      <c r="A87" s="26"/>
      <c r="B87" s="11" t="str">
        <f>CONCATENATE("          ", "6111", " - ", "F.I.C.A.")</f>
        <v xml:space="preserve">          6111 - F.I.C.A.</v>
      </c>
      <c r="C87" s="11"/>
      <c r="D87" s="6">
        <v>318.24</v>
      </c>
      <c r="E87" s="2"/>
      <c r="F87" s="7">
        <f t="shared" si="20"/>
        <v>4.5578561577031974E-2</v>
      </c>
      <c r="G87" s="2"/>
      <c r="H87" s="6">
        <v>777.72</v>
      </c>
      <c r="I87" s="2"/>
      <c r="J87" s="7">
        <f t="shared" si="21"/>
        <v>1.7149650168923128E-2</v>
      </c>
      <c r="K87" s="2"/>
      <c r="L87" s="6">
        <f t="shared" si="22"/>
        <v>-459.48</v>
      </c>
      <c r="M87" s="2"/>
      <c r="N87" s="7">
        <f t="shared" si="23"/>
        <v>-0.59080388828884434</v>
      </c>
      <c r="O87" s="11"/>
      <c r="P87" s="6">
        <v>6110.83</v>
      </c>
      <c r="Q87" s="2"/>
      <c r="R87" s="7">
        <f t="shared" si="24"/>
        <v>7.4369751156465993E-3</v>
      </c>
      <c r="S87" s="2"/>
      <c r="T87" s="6">
        <v>6525.52</v>
      </c>
      <c r="U87" s="2"/>
      <c r="V87" s="7">
        <f t="shared" si="25"/>
        <v>7.0130043087474102E-3</v>
      </c>
      <c r="W87" s="2"/>
      <c r="X87" s="6">
        <f t="shared" si="26"/>
        <v>-414.69000000000051</v>
      </c>
      <c r="Y87" s="2"/>
      <c r="Z87" s="7">
        <f t="shared" si="27"/>
        <v>-6.3548958550429774E-2</v>
      </c>
    </row>
    <row r="88" spans="1:26" s="24" customFormat="1" hidden="1" outlineLevel="2" x14ac:dyDescent="0.25">
      <c r="A88" s="26"/>
      <c r="B88" s="11" t="str">
        <f>CONCATENATE("          ", "6112", " - ", "COMPENSATION INSURANCE")</f>
        <v xml:space="preserve">          6112 - COMPENSATION INSURANCE</v>
      </c>
      <c r="C88" s="11"/>
      <c r="D88" s="6">
        <v>118.56</v>
      </c>
      <c r="E88" s="2"/>
      <c r="F88" s="7">
        <f t="shared" si="20"/>
        <v>1.698024843065897E-2</v>
      </c>
      <c r="G88" s="2"/>
      <c r="H88" s="6">
        <v>182.69</v>
      </c>
      <c r="I88" s="2"/>
      <c r="J88" s="7">
        <f t="shared" si="21"/>
        <v>4.0285315915246696E-3</v>
      </c>
      <c r="K88" s="2"/>
      <c r="L88" s="6">
        <f t="shared" si="22"/>
        <v>-64.13</v>
      </c>
      <c r="M88" s="2"/>
      <c r="N88" s="7">
        <f t="shared" si="23"/>
        <v>-0.35103180250697902</v>
      </c>
      <c r="O88" s="11"/>
      <c r="P88" s="6">
        <v>2755.99</v>
      </c>
      <c r="Q88" s="2"/>
      <c r="R88" s="7">
        <f t="shared" si="24"/>
        <v>3.3540826776347682E-3</v>
      </c>
      <c r="S88" s="2"/>
      <c r="T88" s="6">
        <v>1756.58</v>
      </c>
      <c r="U88" s="2"/>
      <c r="V88" s="7">
        <f t="shared" si="25"/>
        <v>1.8878040537243814E-3</v>
      </c>
      <c r="W88" s="2"/>
      <c r="X88" s="6">
        <f t="shared" si="26"/>
        <v>999.40999999999985</v>
      </c>
      <c r="Y88" s="2"/>
      <c r="Z88" s="7">
        <f t="shared" si="27"/>
        <v>0.5689521684181762</v>
      </c>
    </row>
    <row r="89" spans="1:26" s="24" customFormat="1" hidden="1" outlineLevel="2" x14ac:dyDescent="0.25">
      <c r="A89" s="26"/>
      <c r="B89" s="11" t="str">
        <f>CONCATENATE("          ", "6113", " - ", "GROUP INSURANCE")</f>
        <v xml:space="preserve">          6113 - GROUP INSURANCE</v>
      </c>
      <c r="C89" s="11"/>
      <c r="D89" s="6">
        <v>1367.58</v>
      </c>
      <c r="E89" s="2"/>
      <c r="F89" s="7">
        <f t="shared" si="20"/>
        <v>0.19586579072874993</v>
      </c>
      <c r="G89" s="2"/>
      <c r="H89" s="6">
        <v>1412.76</v>
      </c>
      <c r="I89" s="2"/>
      <c r="J89" s="7">
        <f t="shared" si="21"/>
        <v>3.115303679042308E-2</v>
      </c>
      <c r="K89" s="2"/>
      <c r="L89" s="6">
        <f t="shared" si="22"/>
        <v>-45.180000000000064</v>
      </c>
      <c r="M89" s="2"/>
      <c r="N89" s="7">
        <f t="shared" si="23"/>
        <v>-3.1979954132336751E-2</v>
      </c>
      <c r="O89" s="11"/>
      <c r="P89" s="6">
        <v>19531.400000000001</v>
      </c>
      <c r="Q89" s="2"/>
      <c r="R89" s="7">
        <f t="shared" si="24"/>
        <v>2.377001745650591E-2</v>
      </c>
      <c r="S89" s="2"/>
      <c r="T89" s="6">
        <v>15516.1</v>
      </c>
      <c r="U89" s="2"/>
      <c r="V89" s="7">
        <f t="shared" si="25"/>
        <v>1.6675219163370229E-2</v>
      </c>
      <c r="W89" s="2"/>
      <c r="X89" s="6">
        <f t="shared" si="26"/>
        <v>4015.3000000000011</v>
      </c>
      <c r="Y89" s="2"/>
      <c r="Z89" s="7">
        <f t="shared" si="27"/>
        <v>0.25878281269133357</v>
      </c>
    </row>
    <row r="90" spans="1:26" s="24" customFormat="1" hidden="1" outlineLevel="2" x14ac:dyDescent="0.25">
      <c r="A90" s="26"/>
      <c r="B90" s="11" t="str">
        <f>CONCATENATE("          ", "6114", " - ", "STATE UNEMPLOYMENT INSURANCE")</f>
        <v xml:space="preserve">          6114 - STATE UNEMPLOYMENT INSURANCE</v>
      </c>
      <c r="C90" s="11"/>
      <c r="D90" s="6">
        <v>16.22</v>
      </c>
      <c r="E90" s="2"/>
      <c r="F90" s="7">
        <f t="shared" si="20"/>
        <v>2.3230400602672779E-3</v>
      </c>
      <c r="G90" s="2"/>
      <c r="H90" s="6">
        <v>39.909999999999997</v>
      </c>
      <c r="I90" s="2"/>
      <c r="J90" s="7">
        <f t="shared" si="21"/>
        <v>8.8006292527094843E-4</v>
      </c>
      <c r="K90" s="2"/>
      <c r="L90" s="6">
        <f t="shared" si="22"/>
        <v>-23.689999999999998</v>
      </c>
      <c r="M90" s="2"/>
      <c r="N90" s="7">
        <f t="shared" si="23"/>
        <v>-0.59358556752693559</v>
      </c>
      <c r="O90" s="11"/>
      <c r="P90" s="6">
        <v>419.11</v>
      </c>
      <c r="Q90" s="2"/>
      <c r="R90" s="7">
        <f t="shared" si="24"/>
        <v>5.1006338594244093E-4</v>
      </c>
      <c r="S90" s="2"/>
      <c r="T90" s="6">
        <v>419.8</v>
      </c>
      <c r="U90" s="2"/>
      <c r="V90" s="7">
        <f t="shared" si="25"/>
        <v>4.5116085902919043E-4</v>
      </c>
      <c r="W90" s="2"/>
      <c r="X90" s="6">
        <f t="shared" si="26"/>
        <v>-0.68999999999999773</v>
      </c>
      <c r="Y90" s="2"/>
      <c r="Z90" s="7">
        <f t="shared" si="27"/>
        <v>-1.6436398284897515E-3</v>
      </c>
    </row>
    <row r="91" spans="1:26" s="24" customFormat="1" hidden="1" outlineLevel="2" x14ac:dyDescent="0.25">
      <c r="A91" s="26"/>
      <c r="B91" s="11" t="str">
        <f>CONCATENATE("          ", "6115", " - ", "P.E.R.S.")</f>
        <v xml:space="preserve">          6115 - P.E.R.S.</v>
      </c>
      <c r="C91" s="11"/>
      <c r="D91" s="6">
        <v>425.19</v>
      </c>
      <c r="E91" s="2"/>
      <c r="F91" s="7">
        <f t="shared" si="20"/>
        <v>6.0896017461470033E-2</v>
      </c>
      <c r="G91" s="2"/>
      <c r="H91" s="6">
        <v>371.47</v>
      </c>
      <c r="I91" s="2"/>
      <c r="J91" s="7">
        <f t="shared" si="21"/>
        <v>8.1913549198295976E-3</v>
      </c>
      <c r="K91" s="2"/>
      <c r="L91" s="6">
        <f t="shared" si="22"/>
        <v>53.71999999999997</v>
      </c>
      <c r="M91" s="2"/>
      <c r="N91" s="7">
        <f t="shared" si="23"/>
        <v>0.14461463913640393</v>
      </c>
      <c r="O91" s="11"/>
      <c r="P91" s="6">
        <v>4627.22</v>
      </c>
      <c r="Q91" s="2"/>
      <c r="R91" s="7">
        <f t="shared" si="24"/>
        <v>5.6313986798229142E-3</v>
      </c>
      <c r="S91" s="2"/>
      <c r="T91" s="6">
        <v>4668.72</v>
      </c>
      <c r="U91" s="2"/>
      <c r="V91" s="7">
        <f t="shared" si="25"/>
        <v>5.0174933915358788E-3</v>
      </c>
      <c r="W91" s="2"/>
      <c r="X91" s="6">
        <f t="shared" si="26"/>
        <v>-41.5</v>
      </c>
      <c r="Y91" s="2"/>
      <c r="Z91" s="7">
        <f t="shared" si="27"/>
        <v>-8.8889460066142317E-3</v>
      </c>
    </row>
    <row r="92" spans="1:26" s="24" customFormat="1" hidden="1" outlineLevel="2" x14ac:dyDescent="0.25">
      <c r="A92" s="26"/>
      <c r="B92" s="11" t="str">
        <f>CONCATENATE("          ", "6117", " - ", "RETIREMENT STAFF HOURLY")</f>
        <v xml:space="preserve">          6117 - RETIREMENT STAFF HOURLY</v>
      </c>
      <c r="C92" s="11"/>
      <c r="D92" s="6"/>
      <c r="E92" s="2"/>
      <c r="F92" s="7">
        <f t="shared" si="20"/>
        <v>0</v>
      </c>
      <c r="G92" s="2"/>
      <c r="H92" s="6"/>
      <c r="I92" s="2"/>
      <c r="J92" s="7">
        <f t="shared" si="21"/>
        <v>0</v>
      </c>
      <c r="K92" s="2"/>
      <c r="L92" s="6">
        <f t="shared" si="22"/>
        <v>0</v>
      </c>
      <c r="M92" s="2"/>
      <c r="N92" s="7">
        <f t="shared" si="23"/>
        <v>0</v>
      </c>
      <c r="O92" s="11"/>
      <c r="P92" s="6">
        <v>46.65</v>
      </c>
      <c r="Q92" s="2"/>
      <c r="R92" s="7">
        <f t="shared" si="24"/>
        <v>5.6773775271921144E-5</v>
      </c>
      <c r="S92" s="2"/>
      <c r="T92" s="6"/>
      <c r="U92" s="2"/>
      <c r="V92" s="7">
        <f t="shared" si="25"/>
        <v>0</v>
      </c>
      <c r="W92" s="2"/>
      <c r="X92" s="6">
        <f t="shared" si="26"/>
        <v>46.65</v>
      </c>
      <c r="Y92" s="2"/>
      <c r="Z92" s="7">
        <f t="shared" si="27"/>
        <v>0</v>
      </c>
    </row>
    <row r="93" spans="1:26" s="24" customFormat="1" hidden="1" outlineLevel="2" x14ac:dyDescent="0.25">
      <c r="A93" s="26"/>
      <c r="B93" s="11" t="str">
        <f>CONCATENATE("          ", "6118", " - ", "VACATION")</f>
        <v xml:space="preserve">          6118 - VACATION</v>
      </c>
      <c r="C93" s="11"/>
      <c r="D93" s="6">
        <v>335.92</v>
      </c>
      <c r="E93" s="2"/>
      <c r="F93" s="7">
        <f t="shared" si="20"/>
        <v>4.8110703886867084E-2</v>
      </c>
      <c r="G93" s="2"/>
      <c r="H93" s="6">
        <v>469.29</v>
      </c>
      <c r="I93" s="2"/>
      <c r="J93" s="7">
        <f t="shared" si="21"/>
        <v>1.0348402159869792E-2</v>
      </c>
      <c r="K93" s="2"/>
      <c r="L93" s="6">
        <f t="shared" si="22"/>
        <v>-133.37</v>
      </c>
      <c r="M93" s="2"/>
      <c r="N93" s="7">
        <f t="shared" si="23"/>
        <v>-0.28419527371135117</v>
      </c>
      <c r="O93" s="11"/>
      <c r="P93" s="6">
        <v>4100.3999999999996</v>
      </c>
      <c r="Q93" s="2"/>
      <c r="R93" s="7">
        <f t="shared" si="24"/>
        <v>4.9902505493030101E-3</v>
      </c>
      <c r="S93" s="2"/>
      <c r="T93" s="6">
        <v>3841.65</v>
      </c>
      <c r="U93" s="2"/>
      <c r="V93" s="7">
        <f t="shared" si="25"/>
        <v>4.1286377181741054E-3</v>
      </c>
      <c r="W93" s="2"/>
      <c r="X93" s="6">
        <f t="shared" si="26"/>
        <v>258.74999999999955</v>
      </c>
      <c r="Y93" s="2"/>
      <c r="Z93" s="7">
        <f t="shared" si="27"/>
        <v>6.7353871383389829E-2</v>
      </c>
    </row>
    <row r="94" spans="1:26" s="24" customFormat="1" hidden="1" outlineLevel="2" x14ac:dyDescent="0.25">
      <c r="A94" s="26"/>
      <c r="B94" s="11" t="str">
        <f>CONCATENATE("          ", "6119", " - ", "SICK LEAVE")</f>
        <v xml:space="preserve">          6119 - SICK LEAVE</v>
      </c>
      <c r="C94" s="11"/>
      <c r="D94" s="6">
        <v>191.88</v>
      </c>
      <c r="E94" s="2"/>
      <c r="F94" s="7">
        <f t="shared" si="20"/>
        <v>2.7481191539092804E-2</v>
      </c>
      <c r="G94" s="2"/>
      <c r="H94" s="6">
        <v>375.63</v>
      </c>
      <c r="I94" s="2"/>
      <c r="J94" s="7">
        <f t="shared" si="21"/>
        <v>8.2830878631803152E-3</v>
      </c>
      <c r="K94" s="2"/>
      <c r="L94" s="6">
        <f t="shared" si="22"/>
        <v>-183.75</v>
      </c>
      <c r="M94" s="2"/>
      <c r="N94" s="7">
        <f t="shared" si="23"/>
        <v>-0.4891781806564971</v>
      </c>
      <c r="O94" s="11"/>
      <c r="P94" s="6">
        <v>-5790.02</v>
      </c>
      <c r="Q94" s="2"/>
      <c r="R94" s="7">
        <f t="shared" si="24"/>
        <v>-7.0465443579834702E-3</v>
      </c>
      <c r="S94" s="2"/>
      <c r="T94" s="6">
        <v>3711.04</v>
      </c>
      <c r="U94" s="2"/>
      <c r="V94" s="7">
        <f t="shared" si="25"/>
        <v>3.9882705914523267E-3</v>
      </c>
      <c r="W94" s="2"/>
      <c r="X94" s="6">
        <f t="shared" si="26"/>
        <v>-9501.0600000000013</v>
      </c>
      <c r="Y94" s="2"/>
      <c r="Z94" s="7">
        <f t="shared" si="27"/>
        <v>-2.5602149262740368</v>
      </c>
    </row>
    <row r="95" spans="1:26" s="24" customFormat="1" hidden="1" outlineLevel="2" x14ac:dyDescent="0.25">
      <c r="A95" s="26"/>
      <c r="B95" s="11" t="str">
        <f>CONCATENATE("          ", "6156", " - ", "EMPLOYEE MEALS")</f>
        <v xml:space="preserve">          6156 - EMPLOYEE MEALS</v>
      </c>
      <c r="C95" s="11"/>
      <c r="D95" s="6">
        <v>96</v>
      </c>
      <c r="E95" s="2"/>
      <c r="F95" s="7">
        <f t="shared" si="20"/>
        <v>1.3749189012679328E-2</v>
      </c>
      <c r="G95" s="2"/>
      <c r="H95" s="6">
        <v>149.35</v>
      </c>
      <c r="I95" s="2"/>
      <c r="J95" s="7">
        <f t="shared" si="21"/>
        <v>3.2933449734206003E-3</v>
      </c>
      <c r="K95" s="2"/>
      <c r="L95" s="6">
        <f t="shared" si="22"/>
        <v>-53.349999999999994</v>
      </c>
      <c r="M95" s="2"/>
      <c r="N95" s="7">
        <f t="shared" si="23"/>
        <v>-0.35721459658520249</v>
      </c>
      <c r="O95" s="11"/>
      <c r="P95" s="6">
        <v>1786.1</v>
      </c>
      <c r="Q95" s="2"/>
      <c r="R95" s="7">
        <f t="shared" si="24"/>
        <v>2.173711468664059E-3</v>
      </c>
      <c r="S95" s="2"/>
      <c r="T95" s="6">
        <v>1647.03</v>
      </c>
      <c r="U95" s="2"/>
      <c r="V95" s="7">
        <f t="shared" si="25"/>
        <v>1.7700701992540437E-3</v>
      </c>
      <c r="W95" s="2"/>
      <c r="X95" s="6">
        <f t="shared" si="26"/>
        <v>139.06999999999994</v>
      </c>
      <c r="Y95" s="2"/>
      <c r="Z95" s="7">
        <f t="shared" si="27"/>
        <v>8.4436834787465886E-2</v>
      </c>
    </row>
    <row r="96" spans="1:26" s="27" customFormat="1" outlineLevel="1" collapsed="1" x14ac:dyDescent="0.25">
      <c r="A96" s="25"/>
      <c r="B96" s="13" t="str">
        <f>CONCATENATE("     ","*Payroll                                          ")</f>
        <v xml:space="preserve">     *Payroll                                          </v>
      </c>
      <c r="C96" s="13"/>
      <c r="D96" s="1">
        <f>SUM(OSRRefD22_1x_0)</f>
        <v>3952</v>
      </c>
      <c r="E96" s="1"/>
      <c r="F96" s="5">
        <f t="shared" ref="F96:F101" si="28">IF(D$12=0,0,D96/D$12)</f>
        <v>0.56600828102196565</v>
      </c>
      <c r="G96" s="1"/>
      <c r="H96" s="1">
        <f>SUM(OSRRefH22_1x_0)</f>
        <v>15299.130000000001</v>
      </c>
      <c r="I96" s="1"/>
      <c r="J96" s="5">
        <f t="shared" ref="J96:J101" si="29">IF(H$12=0,0,H96/H$12)</f>
        <v>0.33736399653972754</v>
      </c>
      <c r="K96" s="1"/>
      <c r="L96" s="1">
        <f t="shared" ref="L96:L101" si="30">+D96-H96</f>
        <v>-11347.130000000001</v>
      </c>
      <c r="M96" s="1"/>
      <c r="N96" s="5">
        <f t="shared" ref="N96:N101" si="31">IF(H96=0,0,L96/H96)</f>
        <v>-0.7416846578857752</v>
      </c>
      <c r="O96" s="13"/>
      <c r="P96" s="1">
        <f>SUM(OSRRefP22_1x_0)</f>
        <v>153025.27000000002</v>
      </c>
      <c r="Q96" s="1"/>
      <c r="R96" s="5">
        <f t="shared" ref="R96:R101" si="32">IF(P$12=0,0,P96/P$12)</f>
        <v>0.18623413268821129</v>
      </c>
      <c r="S96" s="1"/>
      <c r="T96" s="1">
        <f>SUM(OSRRefT22_1x_0)</f>
        <v>146694.91999999998</v>
      </c>
      <c r="U96" s="1"/>
      <c r="V96" s="5">
        <f t="shared" ref="V96:V101" si="33">IF(T$12=0,0,T96/T$12)</f>
        <v>0.15765365917679458</v>
      </c>
      <c r="W96" s="1"/>
      <c r="X96" s="1">
        <f t="shared" ref="X96:X101" si="34">+P96-T96</f>
        <v>6330.3500000000349</v>
      </c>
      <c r="Y96" s="1"/>
      <c r="Z96" s="5">
        <f t="shared" ref="Z96:Z101" si="35">IF(T96=0,0,X96/T96)</f>
        <v>4.3153164404057316E-2</v>
      </c>
    </row>
    <row r="97" spans="1:26" s="24" customFormat="1" hidden="1" outlineLevel="2" x14ac:dyDescent="0.25">
      <c r="A97" s="26"/>
      <c r="B97" s="11" t="str">
        <f>CONCATENATE("          ", "6002", " - ", "STAFF SALARIES")</f>
        <v xml:space="preserve">          6002 - STAFF SALARIES</v>
      </c>
      <c r="C97" s="11"/>
      <c r="D97" s="6">
        <v>3952</v>
      </c>
      <c r="E97" s="2"/>
      <c r="F97" s="7">
        <f t="shared" si="28"/>
        <v>0.56600828102196565</v>
      </c>
      <c r="G97" s="2"/>
      <c r="H97" s="6">
        <v>6539.96</v>
      </c>
      <c r="I97" s="2"/>
      <c r="J97" s="7">
        <f t="shared" si="29"/>
        <v>0.14421388947018271</v>
      </c>
      <c r="K97" s="2"/>
      <c r="L97" s="6">
        <f t="shared" si="30"/>
        <v>-2587.96</v>
      </c>
      <c r="M97" s="2"/>
      <c r="N97" s="7">
        <f t="shared" si="31"/>
        <v>-0.39571495850127525</v>
      </c>
      <c r="O97" s="11"/>
      <c r="P97" s="6">
        <v>55743.82</v>
      </c>
      <c r="Q97" s="2"/>
      <c r="R97" s="7">
        <f t="shared" si="32"/>
        <v>6.7841095594392775E-2</v>
      </c>
      <c r="S97" s="2"/>
      <c r="T97" s="6">
        <v>60722.720000000001</v>
      </c>
      <c r="U97" s="2"/>
      <c r="V97" s="7">
        <f t="shared" si="33"/>
        <v>6.5258967407787055E-2</v>
      </c>
      <c r="W97" s="2"/>
      <c r="X97" s="6">
        <f t="shared" si="34"/>
        <v>-4978.9000000000015</v>
      </c>
      <c r="Y97" s="2"/>
      <c r="Z97" s="7">
        <f t="shared" si="35"/>
        <v>-8.1994021348187326E-2</v>
      </c>
    </row>
    <row r="98" spans="1:26" s="24" customFormat="1" hidden="1" outlineLevel="2" x14ac:dyDescent="0.25">
      <c r="A98" s="26"/>
      <c r="B98" s="11" t="str">
        <f>CONCATENATE("          ", "6004", " - ", "STAFF HOURLY")</f>
        <v xml:space="preserve">          6004 - STAFF HOURLY</v>
      </c>
      <c r="C98" s="11"/>
      <c r="D98" s="6"/>
      <c r="E98" s="2"/>
      <c r="F98" s="7">
        <f t="shared" si="28"/>
        <v>0</v>
      </c>
      <c r="G98" s="2"/>
      <c r="H98" s="6"/>
      <c r="I98" s="2"/>
      <c r="J98" s="7">
        <f t="shared" si="29"/>
        <v>0</v>
      </c>
      <c r="K98" s="2"/>
      <c r="L98" s="6">
        <f t="shared" si="30"/>
        <v>0</v>
      </c>
      <c r="M98" s="2"/>
      <c r="N98" s="7">
        <f t="shared" si="31"/>
        <v>0</v>
      </c>
      <c r="O98" s="11"/>
      <c r="P98" s="6">
        <v>-48</v>
      </c>
      <c r="Q98" s="2"/>
      <c r="R98" s="7">
        <f t="shared" si="32"/>
        <v>-5.8416746260497636E-5</v>
      </c>
      <c r="S98" s="2"/>
      <c r="T98" s="6"/>
      <c r="U98" s="2"/>
      <c r="V98" s="7">
        <f t="shared" si="33"/>
        <v>0</v>
      </c>
      <c r="W98" s="2"/>
      <c r="X98" s="6">
        <f t="shared" si="34"/>
        <v>-48</v>
      </c>
      <c r="Y98" s="2"/>
      <c r="Z98" s="7">
        <f t="shared" si="35"/>
        <v>0</v>
      </c>
    </row>
    <row r="99" spans="1:26" s="24" customFormat="1" hidden="1" outlineLevel="2" x14ac:dyDescent="0.25">
      <c r="A99" s="26"/>
      <c r="B99" s="11" t="str">
        <f>CONCATENATE("          ", "6005", " - ", "TEMPORARY WAGES-HOURLY")</f>
        <v xml:space="preserve">          6005 - TEMPORARY WAGES-HOURLY</v>
      </c>
      <c r="C99" s="11"/>
      <c r="D99" s="6"/>
      <c r="E99" s="2"/>
      <c r="F99" s="7">
        <f t="shared" si="28"/>
        <v>0</v>
      </c>
      <c r="G99" s="2"/>
      <c r="H99" s="6"/>
      <c r="I99" s="2"/>
      <c r="J99" s="7">
        <f t="shared" si="29"/>
        <v>0</v>
      </c>
      <c r="K99" s="2"/>
      <c r="L99" s="6">
        <f t="shared" si="30"/>
        <v>0</v>
      </c>
      <c r="M99" s="2"/>
      <c r="N99" s="7">
        <f t="shared" si="31"/>
        <v>0</v>
      </c>
      <c r="O99" s="11"/>
      <c r="P99" s="6">
        <v>7121.65</v>
      </c>
      <c r="Q99" s="2"/>
      <c r="R99" s="7">
        <f t="shared" si="32"/>
        <v>8.6671587709598544E-3</v>
      </c>
      <c r="S99" s="2"/>
      <c r="T99" s="6"/>
      <c r="U99" s="2"/>
      <c r="V99" s="7">
        <f t="shared" si="33"/>
        <v>0</v>
      </c>
      <c r="W99" s="2"/>
      <c r="X99" s="6">
        <f t="shared" si="34"/>
        <v>7121.65</v>
      </c>
      <c r="Y99" s="2"/>
      <c r="Z99" s="7">
        <f t="shared" si="35"/>
        <v>0</v>
      </c>
    </row>
    <row r="100" spans="1:26" s="24" customFormat="1" hidden="1" outlineLevel="2" x14ac:dyDescent="0.25">
      <c r="A100" s="26"/>
      <c r="B100" s="11" t="str">
        <f>CONCATENATE("          ", "6006", " - ", "TEMPORARY PART TIME")</f>
        <v xml:space="preserve">          6006 - TEMPORARY PART TIME</v>
      </c>
      <c r="C100" s="11"/>
      <c r="D100" s="6"/>
      <c r="E100" s="2"/>
      <c r="F100" s="7">
        <f t="shared" si="28"/>
        <v>0</v>
      </c>
      <c r="G100" s="2"/>
      <c r="H100" s="6"/>
      <c r="I100" s="2"/>
      <c r="J100" s="7">
        <f t="shared" si="29"/>
        <v>0</v>
      </c>
      <c r="K100" s="2"/>
      <c r="L100" s="6">
        <f t="shared" si="30"/>
        <v>0</v>
      </c>
      <c r="M100" s="2"/>
      <c r="N100" s="7">
        <f t="shared" si="31"/>
        <v>0</v>
      </c>
      <c r="O100" s="11"/>
      <c r="P100" s="6">
        <v>25.5</v>
      </c>
      <c r="Q100" s="2"/>
      <c r="R100" s="7">
        <f t="shared" si="32"/>
        <v>3.103389645088937E-5</v>
      </c>
      <c r="S100" s="2"/>
      <c r="T100" s="6">
        <v>4320.25</v>
      </c>
      <c r="U100" s="2"/>
      <c r="V100" s="7">
        <f t="shared" si="33"/>
        <v>4.6429911891873749E-3</v>
      </c>
      <c r="W100" s="2"/>
      <c r="X100" s="6">
        <f t="shared" si="34"/>
        <v>-4294.75</v>
      </c>
      <c r="Y100" s="2"/>
      <c r="Z100" s="7">
        <f t="shared" si="35"/>
        <v>-0.99409756379839131</v>
      </c>
    </row>
    <row r="101" spans="1:26" s="24" customFormat="1" hidden="1" outlineLevel="2" x14ac:dyDescent="0.25">
      <c r="A101" s="26"/>
      <c r="B101" s="11" t="str">
        <f>CONCATENATE("          ", "6007", " - ", "STUDENT HOURLY")</f>
        <v xml:space="preserve">          6007 - STUDENT HOURLY</v>
      </c>
      <c r="C101" s="11"/>
      <c r="D101" s="6"/>
      <c r="E101" s="2"/>
      <c r="F101" s="7">
        <f t="shared" si="28"/>
        <v>0</v>
      </c>
      <c r="G101" s="2"/>
      <c r="H101" s="6">
        <v>8759.17</v>
      </c>
      <c r="I101" s="2"/>
      <c r="J101" s="7">
        <f t="shared" si="29"/>
        <v>0.19315010706954483</v>
      </c>
      <c r="K101" s="2"/>
      <c r="L101" s="6">
        <f t="shared" si="30"/>
        <v>-8759.17</v>
      </c>
      <c r="M101" s="2"/>
      <c r="N101" s="7">
        <f t="shared" si="31"/>
        <v>-1</v>
      </c>
      <c r="O101" s="11"/>
      <c r="P101" s="6">
        <v>90182.3</v>
      </c>
      <c r="Q101" s="2"/>
      <c r="R101" s="7">
        <f t="shared" si="32"/>
        <v>0.10975326117266826</v>
      </c>
      <c r="S101" s="2"/>
      <c r="T101" s="6">
        <v>81651.95</v>
      </c>
      <c r="U101" s="2"/>
      <c r="V101" s="7">
        <f t="shared" si="33"/>
        <v>8.7751700579820166E-2</v>
      </c>
      <c r="W101" s="2"/>
      <c r="X101" s="6">
        <f t="shared" si="34"/>
        <v>8530.3500000000058</v>
      </c>
      <c r="Y101" s="2"/>
      <c r="Z101" s="7">
        <f t="shared" si="35"/>
        <v>0.10447209160344617</v>
      </c>
    </row>
    <row r="102" spans="1:26" s="27" customFormat="1" outlineLevel="1" collapsed="1" x14ac:dyDescent="0.25">
      <c r="A102" s="25"/>
      <c r="B102" s="13" t="str">
        <f>CONCATENATE("     ","Advertising/Promo                                 ")</f>
        <v xml:space="preserve">     Advertising/Promo                                 </v>
      </c>
      <c r="C102" s="13"/>
      <c r="D102" s="1">
        <f>SUM(OSRRefD22_2x_0)</f>
        <v>0</v>
      </c>
      <c r="E102" s="1"/>
      <c r="F102" s="5">
        <f t="shared" ref="F102:F108" si="36">IF(D$12=0,0,D102/D$12)</f>
        <v>0</v>
      </c>
      <c r="G102" s="1"/>
      <c r="H102" s="1">
        <f>SUM(OSRRefH22_2x_0)</f>
        <v>172</v>
      </c>
      <c r="I102" s="1"/>
      <c r="J102" s="5">
        <f t="shared" ref="J102:J108" si="37">IF(H$12=0,0,H102/H$12)</f>
        <v>3.7928043885392918E-3</v>
      </c>
      <c r="K102" s="1"/>
      <c r="L102" s="1">
        <f t="shared" ref="L102:L108" si="38">+D102-H102</f>
        <v>-172</v>
      </c>
      <c r="M102" s="1"/>
      <c r="N102" s="5">
        <f t="shared" ref="N102:N108" si="39">IF(H102=0,0,L102/H102)</f>
        <v>-1</v>
      </c>
      <c r="O102" s="13"/>
      <c r="P102" s="1">
        <f>SUM(OSRRefP22_2x_0)</f>
        <v>2145.38</v>
      </c>
      <c r="Q102" s="1"/>
      <c r="R102" s="5">
        <f t="shared" ref="R102:R108" si="40">IF(P$12=0,0,P102/P$12)</f>
        <v>2.6109608144238841E-3</v>
      </c>
      <c r="S102" s="1"/>
      <c r="T102" s="1">
        <f>SUM(OSRRefT22_2x_0)</f>
        <v>1994.86</v>
      </c>
      <c r="U102" s="1"/>
      <c r="V102" s="5">
        <f t="shared" ref="V102:V108" si="41">IF(T$12=0,0,T102/T$12)</f>
        <v>2.1438845908598636E-3</v>
      </c>
      <c r="W102" s="1"/>
      <c r="X102" s="1">
        <f t="shared" ref="X102:X108" si="42">+P102-T102</f>
        <v>150.52000000000021</v>
      </c>
      <c r="Y102" s="1"/>
      <c r="Z102" s="5">
        <f t="shared" ref="Z102:Z108" si="43">IF(T102=0,0,X102/T102)</f>
        <v>7.5453916565573639E-2</v>
      </c>
    </row>
    <row r="103" spans="1:26" s="24" customFormat="1" hidden="1" outlineLevel="2" x14ac:dyDescent="0.25">
      <c r="A103" s="26"/>
      <c r="B103" s="11" t="str">
        <f>CONCATENATE("          ", "6362", " - ", "ADVERTISING EXPENSE")</f>
        <v xml:space="preserve">          6362 - ADVERTISING EXPENSE</v>
      </c>
      <c r="C103" s="11"/>
      <c r="D103" s="6"/>
      <c r="E103" s="2"/>
      <c r="F103" s="7">
        <f t="shared" si="36"/>
        <v>0</v>
      </c>
      <c r="G103" s="2"/>
      <c r="H103" s="6">
        <v>172</v>
      </c>
      <c r="I103" s="2"/>
      <c r="J103" s="7">
        <f t="shared" si="37"/>
        <v>3.7928043885392918E-3</v>
      </c>
      <c r="K103" s="2"/>
      <c r="L103" s="6">
        <f t="shared" si="38"/>
        <v>-172</v>
      </c>
      <c r="M103" s="2"/>
      <c r="N103" s="7">
        <f t="shared" si="39"/>
        <v>-1</v>
      </c>
      <c r="O103" s="11"/>
      <c r="P103" s="6">
        <v>2145.38</v>
      </c>
      <c r="Q103" s="2"/>
      <c r="R103" s="7">
        <f t="shared" si="40"/>
        <v>2.6109608144238841E-3</v>
      </c>
      <c r="S103" s="2"/>
      <c r="T103" s="6">
        <v>1994.86</v>
      </c>
      <c r="U103" s="2"/>
      <c r="V103" s="7">
        <f t="shared" si="41"/>
        <v>2.1438845908598636E-3</v>
      </c>
      <c r="W103" s="2"/>
      <c r="X103" s="6">
        <f t="shared" si="42"/>
        <v>150.52000000000021</v>
      </c>
      <c r="Y103" s="2"/>
      <c r="Z103" s="7">
        <f t="shared" si="43"/>
        <v>7.5453916565573639E-2</v>
      </c>
    </row>
    <row r="104" spans="1:26" s="27" customFormat="1" outlineLevel="1" collapsed="1" x14ac:dyDescent="0.25">
      <c r="A104" s="25"/>
      <c r="B104" s="13" t="str">
        <f>CONCATENATE("     ","Bad Debts/Over/Short                              ")</f>
        <v xml:space="preserve">     Bad Debts/Over/Short                              </v>
      </c>
      <c r="C104" s="13"/>
      <c r="D104" s="1">
        <f>SUM(OSRRefD22_3x_0)</f>
        <v>0</v>
      </c>
      <c r="E104" s="1"/>
      <c r="F104" s="5">
        <f t="shared" si="36"/>
        <v>0</v>
      </c>
      <c r="G104" s="1"/>
      <c r="H104" s="1">
        <f>SUM(OSRRefH22_3x_0)</f>
        <v>-3.33</v>
      </c>
      <c r="I104" s="1"/>
      <c r="J104" s="5">
        <f t="shared" si="37"/>
        <v>-7.3430457057185129E-5</v>
      </c>
      <c r="K104" s="1"/>
      <c r="L104" s="1">
        <f t="shared" si="38"/>
        <v>3.33</v>
      </c>
      <c r="M104" s="1"/>
      <c r="N104" s="5">
        <f t="shared" si="39"/>
        <v>-1</v>
      </c>
      <c r="O104" s="13"/>
      <c r="P104" s="1">
        <f>SUM(OSRRefP22_3x_0)</f>
        <v>-55.84</v>
      </c>
      <c r="Q104" s="1"/>
      <c r="R104" s="5">
        <f t="shared" si="40"/>
        <v>-6.7958148149712254E-5</v>
      </c>
      <c r="S104" s="1"/>
      <c r="T104" s="1">
        <f>SUM(OSRRefT22_3x_0)</f>
        <v>12.05</v>
      </c>
      <c r="U104" s="1"/>
      <c r="V104" s="5">
        <f t="shared" si="41"/>
        <v>1.2950186639594438E-5</v>
      </c>
      <c r="W104" s="1"/>
      <c r="X104" s="1">
        <f t="shared" si="42"/>
        <v>-67.89</v>
      </c>
      <c r="Y104" s="1"/>
      <c r="Z104" s="5">
        <f t="shared" si="43"/>
        <v>-5.6340248962655597</v>
      </c>
    </row>
    <row r="105" spans="1:26" s="24" customFormat="1" hidden="1" outlineLevel="2" x14ac:dyDescent="0.25">
      <c r="A105" s="26"/>
      <c r="B105" s="11" t="str">
        <f>CONCATENATE("          ", "6272", " - ", "CASH (OVER/SHORT)")</f>
        <v xml:space="preserve">          6272 - CASH (OVER/SHORT)</v>
      </c>
      <c r="C105" s="11"/>
      <c r="D105" s="6"/>
      <c r="E105" s="2"/>
      <c r="F105" s="7">
        <f t="shared" si="36"/>
        <v>0</v>
      </c>
      <c r="G105" s="2"/>
      <c r="H105" s="6">
        <v>-3.33</v>
      </c>
      <c r="I105" s="2"/>
      <c r="J105" s="7">
        <f t="shared" si="37"/>
        <v>-7.3430457057185129E-5</v>
      </c>
      <c r="K105" s="2"/>
      <c r="L105" s="6">
        <f t="shared" si="38"/>
        <v>3.33</v>
      </c>
      <c r="M105" s="2"/>
      <c r="N105" s="7">
        <f t="shared" si="39"/>
        <v>-1</v>
      </c>
      <c r="O105" s="11"/>
      <c r="P105" s="6">
        <v>-55.84</v>
      </c>
      <c r="Q105" s="2"/>
      <c r="R105" s="7">
        <f t="shared" si="40"/>
        <v>-6.7958148149712254E-5</v>
      </c>
      <c r="S105" s="2"/>
      <c r="T105" s="6">
        <v>12.05</v>
      </c>
      <c r="U105" s="2"/>
      <c r="V105" s="7">
        <f t="shared" si="41"/>
        <v>1.2950186639594438E-5</v>
      </c>
      <c r="W105" s="2"/>
      <c r="X105" s="6">
        <f t="shared" si="42"/>
        <v>-67.89</v>
      </c>
      <c r="Y105" s="2"/>
      <c r="Z105" s="7">
        <f t="shared" si="43"/>
        <v>-5.6340248962655597</v>
      </c>
    </row>
    <row r="106" spans="1:26" s="27" customFormat="1" outlineLevel="1" collapsed="1" x14ac:dyDescent="0.25">
      <c r="A106" s="25"/>
      <c r="B106" s="13" t="str">
        <f>CONCATENATE("     ","Discounts and Markdowns                           ")</f>
        <v xml:space="preserve">     Discounts and Markdowns                           </v>
      </c>
      <c r="C106" s="13"/>
      <c r="D106" s="1">
        <f>SUM(OSRRefD22_4x_0)</f>
        <v>1720.37</v>
      </c>
      <c r="E106" s="1"/>
      <c r="F106" s="5">
        <f t="shared" si="36"/>
        <v>0.24639262814315763</v>
      </c>
      <c r="G106" s="1"/>
      <c r="H106" s="1">
        <f>SUM(OSRRefH22_4x_0)</f>
        <v>1508.88</v>
      </c>
      <c r="I106" s="1"/>
      <c r="J106" s="5">
        <f t="shared" si="37"/>
        <v>3.3272597010343997E-2</v>
      </c>
      <c r="K106" s="1"/>
      <c r="L106" s="1">
        <f t="shared" si="38"/>
        <v>211.48999999999978</v>
      </c>
      <c r="M106" s="1"/>
      <c r="N106" s="5">
        <f t="shared" si="39"/>
        <v>0.14016356502836524</v>
      </c>
      <c r="O106" s="13"/>
      <c r="P106" s="1">
        <f>SUM(OSRRefP22_4x_0)</f>
        <v>20863.030000000002</v>
      </c>
      <c r="Q106" s="1"/>
      <c r="R106" s="5">
        <f t="shared" si="40"/>
        <v>2.5390631869482296E-2</v>
      </c>
      <c r="S106" s="1"/>
      <c r="T106" s="1">
        <f>SUM(OSRRefT22_4x_0)</f>
        <v>31762.99</v>
      </c>
      <c r="U106" s="1"/>
      <c r="V106" s="5">
        <f t="shared" si="41"/>
        <v>3.4135821471499732E-2</v>
      </c>
      <c r="W106" s="1"/>
      <c r="X106" s="1">
        <f t="shared" si="42"/>
        <v>-10899.96</v>
      </c>
      <c r="Y106" s="1"/>
      <c r="Z106" s="5">
        <f t="shared" si="43"/>
        <v>-0.34316542617681767</v>
      </c>
    </row>
    <row r="107" spans="1:26" s="24" customFormat="1" hidden="1" outlineLevel="2" x14ac:dyDescent="0.25">
      <c r="A107" s="26"/>
      <c r="B107" s="11" t="str">
        <f>CONCATENATE("          ", "6382", " - ", "DISCOUNTS/MARK DOWNS")</f>
        <v xml:space="preserve">          6382 - DISCOUNTS/MARK DOWNS</v>
      </c>
      <c r="C107" s="11"/>
      <c r="D107" s="6">
        <v>1720.37</v>
      </c>
      <c r="E107" s="2"/>
      <c r="F107" s="7">
        <f t="shared" si="36"/>
        <v>0.24639262814315763</v>
      </c>
      <c r="G107" s="2"/>
      <c r="H107" s="6">
        <v>1488</v>
      </c>
      <c r="I107" s="2"/>
      <c r="J107" s="7">
        <f t="shared" si="37"/>
        <v>3.2812168198525969E-2</v>
      </c>
      <c r="K107" s="2"/>
      <c r="L107" s="6">
        <f t="shared" si="38"/>
        <v>232.36999999999989</v>
      </c>
      <c r="M107" s="2"/>
      <c r="N107" s="7">
        <f t="shared" si="39"/>
        <v>0.15616263440860206</v>
      </c>
      <c r="O107" s="11"/>
      <c r="P107" s="6">
        <v>20863.030000000002</v>
      </c>
      <c r="Q107" s="2"/>
      <c r="R107" s="7">
        <f t="shared" si="40"/>
        <v>2.5390631869482296E-2</v>
      </c>
      <c r="S107" s="2"/>
      <c r="T107" s="6">
        <v>31197.040000000001</v>
      </c>
      <c r="U107" s="2"/>
      <c r="V107" s="7">
        <f t="shared" si="41"/>
        <v>3.3527592581152968E-2</v>
      </c>
      <c r="W107" s="2"/>
      <c r="X107" s="6">
        <f t="shared" si="42"/>
        <v>-10334.009999999998</v>
      </c>
      <c r="Y107" s="2"/>
      <c r="Z107" s="7">
        <f t="shared" si="43"/>
        <v>-0.33124969548393046</v>
      </c>
    </row>
    <row r="108" spans="1:26" s="24" customFormat="1" hidden="1" outlineLevel="2" x14ac:dyDescent="0.25">
      <c r="A108" s="26"/>
      <c r="B108" s="11" t="str">
        <f>CONCATENATE("          ", "9175", " - ", "EARNED DISCOUNTS")</f>
        <v xml:space="preserve">          9175 - EARNED DISCOUNTS</v>
      </c>
      <c r="C108" s="11"/>
      <c r="D108" s="6"/>
      <c r="E108" s="2"/>
      <c r="F108" s="7">
        <f t="shared" si="36"/>
        <v>0</v>
      </c>
      <c r="G108" s="2"/>
      <c r="H108" s="6">
        <v>20.88</v>
      </c>
      <c r="I108" s="2"/>
      <c r="J108" s="7">
        <f t="shared" si="37"/>
        <v>4.6042881181802565E-4</v>
      </c>
      <c r="K108" s="2"/>
      <c r="L108" s="6">
        <f t="shared" si="38"/>
        <v>-20.88</v>
      </c>
      <c r="M108" s="2"/>
      <c r="N108" s="7">
        <f t="shared" si="39"/>
        <v>-1</v>
      </c>
      <c r="O108" s="11"/>
      <c r="P108" s="6">
        <v>0</v>
      </c>
      <c r="Q108" s="2"/>
      <c r="R108" s="7">
        <f t="shared" si="40"/>
        <v>0</v>
      </c>
      <c r="S108" s="2"/>
      <c r="T108" s="6">
        <v>565.95000000000005</v>
      </c>
      <c r="U108" s="2"/>
      <c r="V108" s="7">
        <f t="shared" si="41"/>
        <v>6.0822889034676121E-4</v>
      </c>
      <c r="W108" s="2"/>
      <c r="X108" s="6">
        <f t="shared" si="42"/>
        <v>-565.95000000000005</v>
      </c>
      <c r="Y108" s="2"/>
      <c r="Z108" s="7">
        <f t="shared" si="43"/>
        <v>-1</v>
      </c>
    </row>
    <row r="109" spans="1:26" s="27" customFormat="1" outlineLevel="1" collapsed="1" x14ac:dyDescent="0.25">
      <c r="A109" s="25"/>
      <c r="B109" s="13" t="str">
        <f>CONCATENATE("     ","Employees' Appreciation                           ")</f>
        <v xml:space="preserve">     Employees' Appreciation                           </v>
      </c>
      <c r="C109" s="13"/>
      <c r="D109" s="1">
        <f>SUM(OSRRefD22_5x_0)</f>
        <v>0</v>
      </c>
      <c r="E109" s="1"/>
      <c r="F109" s="5">
        <f t="shared" ref="F109:F123" si="44">IF(D$12=0,0,D109/D$12)</f>
        <v>0</v>
      </c>
      <c r="G109" s="1"/>
      <c r="H109" s="1">
        <f>SUM(OSRRefH22_5x_0)</f>
        <v>0</v>
      </c>
      <c r="I109" s="1"/>
      <c r="J109" s="5">
        <f t="shared" ref="J109:J123" si="45">IF(H$12=0,0,H109/H$12)</f>
        <v>0</v>
      </c>
      <c r="K109" s="1"/>
      <c r="L109" s="1">
        <f t="shared" ref="L109:L123" si="46">+D109-H109</f>
        <v>0</v>
      </c>
      <c r="M109" s="1"/>
      <c r="N109" s="5">
        <f t="shared" ref="N109:N123" si="47">IF(H109=0,0,L109/H109)</f>
        <v>0</v>
      </c>
      <c r="O109" s="13"/>
      <c r="P109" s="1">
        <f>SUM(OSRRefP22_5x_0)</f>
        <v>0</v>
      </c>
      <c r="Q109" s="1"/>
      <c r="R109" s="5">
        <f t="shared" ref="R109:R123" si="48">IF(P$12=0,0,P109/P$12)</f>
        <v>0</v>
      </c>
      <c r="S109" s="1"/>
      <c r="T109" s="1">
        <f>SUM(OSRRefT22_5x_0)</f>
        <v>77.849999999999994</v>
      </c>
      <c r="U109" s="1"/>
      <c r="V109" s="5">
        <f t="shared" ref="V109:V123" si="49">IF(T$12=0,0,T109/T$12)</f>
        <v>8.3665728621778166E-5</v>
      </c>
      <c r="W109" s="1"/>
      <c r="X109" s="1">
        <f t="shared" ref="X109:X123" si="50">+P109-T109</f>
        <v>-77.849999999999994</v>
      </c>
      <c r="Y109" s="1"/>
      <c r="Z109" s="5">
        <f t="shared" ref="Z109:Z123" si="51">IF(T109=0,0,X109/T109)</f>
        <v>-1</v>
      </c>
    </row>
    <row r="110" spans="1:26" s="24" customFormat="1" hidden="1" outlineLevel="2" x14ac:dyDescent="0.25">
      <c r="A110" s="26"/>
      <c r="B110" s="11" t="str">
        <f>CONCATENATE("          ", "6277", " - ", "EMPLOYEE APPRECIATION")</f>
        <v xml:space="preserve">          6277 - EMPLOYEE APPRECIATION</v>
      </c>
      <c r="C110" s="11"/>
      <c r="D110" s="6"/>
      <c r="E110" s="2"/>
      <c r="F110" s="7">
        <f t="shared" si="44"/>
        <v>0</v>
      </c>
      <c r="G110" s="2"/>
      <c r="H110" s="6"/>
      <c r="I110" s="2"/>
      <c r="J110" s="7">
        <f t="shared" si="45"/>
        <v>0</v>
      </c>
      <c r="K110" s="2"/>
      <c r="L110" s="6">
        <f t="shared" si="46"/>
        <v>0</v>
      </c>
      <c r="M110" s="2"/>
      <c r="N110" s="7">
        <f t="shared" si="47"/>
        <v>0</v>
      </c>
      <c r="O110" s="11"/>
      <c r="P110" s="6"/>
      <c r="Q110" s="2"/>
      <c r="R110" s="7">
        <f t="shared" si="48"/>
        <v>0</v>
      </c>
      <c r="S110" s="2"/>
      <c r="T110" s="6">
        <v>77.849999999999994</v>
      </c>
      <c r="U110" s="2"/>
      <c r="V110" s="7">
        <f t="shared" si="49"/>
        <v>8.3665728621778166E-5</v>
      </c>
      <c r="W110" s="2"/>
      <c r="X110" s="6">
        <f t="shared" si="50"/>
        <v>-77.849999999999994</v>
      </c>
      <c r="Y110" s="2"/>
      <c r="Z110" s="7">
        <f t="shared" si="51"/>
        <v>-1</v>
      </c>
    </row>
    <row r="111" spans="1:26" s="27" customFormat="1" outlineLevel="1" collapsed="1" x14ac:dyDescent="0.25">
      <c r="A111" s="25"/>
      <c r="B111" s="13" t="str">
        <f>CONCATENATE("     ","Freight out/Postage                               ")</f>
        <v xml:space="preserve">     Freight out/Postage                               </v>
      </c>
      <c r="C111" s="13"/>
      <c r="D111" s="1">
        <f>SUM(OSRRefD22_6x_0)</f>
        <v>0</v>
      </c>
      <c r="E111" s="1"/>
      <c r="F111" s="5">
        <f t="shared" si="44"/>
        <v>0</v>
      </c>
      <c r="G111" s="1"/>
      <c r="H111" s="1">
        <f>SUM(OSRRefH22_6x_0)</f>
        <v>0</v>
      </c>
      <c r="I111" s="1"/>
      <c r="J111" s="5">
        <f t="shared" si="45"/>
        <v>0</v>
      </c>
      <c r="K111" s="1"/>
      <c r="L111" s="1">
        <f t="shared" si="46"/>
        <v>0</v>
      </c>
      <c r="M111" s="1"/>
      <c r="N111" s="5">
        <f t="shared" si="47"/>
        <v>0</v>
      </c>
      <c r="O111" s="13"/>
      <c r="P111" s="1">
        <f>SUM(OSRRefP22_6x_0)</f>
        <v>15.81</v>
      </c>
      <c r="Q111" s="1"/>
      <c r="R111" s="5">
        <f t="shared" si="48"/>
        <v>1.9241015799551409E-5</v>
      </c>
      <c r="S111" s="1"/>
      <c r="T111" s="1">
        <f>SUM(OSRRefT22_6x_0)</f>
        <v>28.02</v>
      </c>
      <c r="U111" s="1"/>
      <c r="V111" s="5">
        <f t="shared" si="49"/>
        <v>3.011321407812748E-5</v>
      </c>
      <c r="W111" s="1"/>
      <c r="X111" s="1">
        <f t="shared" si="50"/>
        <v>-12.209999999999999</v>
      </c>
      <c r="Y111" s="1"/>
      <c r="Z111" s="5">
        <f t="shared" si="51"/>
        <v>-0.43576017130620981</v>
      </c>
    </row>
    <row r="112" spans="1:26" s="24" customFormat="1" hidden="1" outlineLevel="2" x14ac:dyDescent="0.25">
      <c r="A112" s="26"/>
      <c r="B112" s="11" t="str">
        <f>CONCATENATE("          ", "6305", " - ", "FREIGHT OUT")</f>
        <v xml:space="preserve">          6305 - FREIGHT OUT</v>
      </c>
      <c r="C112" s="11"/>
      <c r="D112" s="6"/>
      <c r="E112" s="2"/>
      <c r="F112" s="7">
        <f t="shared" si="44"/>
        <v>0</v>
      </c>
      <c r="G112" s="2"/>
      <c r="H112" s="6"/>
      <c r="I112" s="2"/>
      <c r="J112" s="7">
        <f t="shared" si="45"/>
        <v>0</v>
      </c>
      <c r="K112" s="2"/>
      <c r="L112" s="6">
        <f t="shared" si="46"/>
        <v>0</v>
      </c>
      <c r="M112" s="2"/>
      <c r="N112" s="7">
        <f t="shared" si="47"/>
        <v>0</v>
      </c>
      <c r="O112" s="11"/>
      <c r="P112" s="6">
        <v>15.81</v>
      </c>
      <c r="Q112" s="2"/>
      <c r="R112" s="7">
        <f t="shared" si="48"/>
        <v>1.9241015799551409E-5</v>
      </c>
      <c r="S112" s="2"/>
      <c r="T112" s="6">
        <v>28.02</v>
      </c>
      <c r="U112" s="2"/>
      <c r="V112" s="7">
        <f t="shared" si="49"/>
        <v>3.011321407812748E-5</v>
      </c>
      <c r="W112" s="2"/>
      <c r="X112" s="6">
        <f t="shared" si="50"/>
        <v>-12.209999999999999</v>
      </c>
      <c r="Y112" s="2"/>
      <c r="Z112" s="7">
        <f t="shared" si="51"/>
        <v>-0.43576017130620981</v>
      </c>
    </row>
    <row r="113" spans="1:26" s="27" customFormat="1" outlineLevel="1" collapsed="1" x14ac:dyDescent="0.25">
      <c r="A113" s="25"/>
      <c r="B113" s="13" t="str">
        <f>CONCATENATE("     ","General                                           ")</f>
        <v xml:space="preserve">     General                                           </v>
      </c>
      <c r="C113" s="13"/>
      <c r="D113" s="1">
        <f>SUM(OSRRefD22_7x_0)</f>
        <v>0</v>
      </c>
      <c r="E113" s="1"/>
      <c r="F113" s="5">
        <f t="shared" si="44"/>
        <v>0</v>
      </c>
      <c r="G113" s="1"/>
      <c r="H113" s="1">
        <f>SUM(OSRRefH22_7x_0)</f>
        <v>0</v>
      </c>
      <c r="I113" s="1"/>
      <c r="J113" s="5">
        <f t="shared" si="45"/>
        <v>0</v>
      </c>
      <c r="K113" s="1"/>
      <c r="L113" s="1">
        <f t="shared" si="46"/>
        <v>0</v>
      </c>
      <c r="M113" s="1"/>
      <c r="N113" s="5">
        <f t="shared" si="47"/>
        <v>0</v>
      </c>
      <c r="O113" s="13"/>
      <c r="P113" s="1">
        <f>SUM(OSRRefP22_7x_0)</f>
        <v>954.05</v>
      </c>
      <c r="Q113" s="1"/>
      <c r="R113" s="5">
        <f t="shared" si="48"/>
        <v>1.1610936827047451E-3</v>
      </c>
      <c r="S113" s="1"/>
      <c r="T113" s="1">
        <f>SUM(OSRRefT22_7x_0)</f>
        <v>829.2</v>
      </c>
      <c r="U113" s="1"/>
      <c r="V113" s="5">
        <f t="shared" si="49"/>
        <v>8.9114479348976832E-4</v>
      </c>
      <c r="W113" s="1"/>
      <c r="X113" s="1">
        <f t="shared" si="50"/>
        <v>124.84999999999991</v>
      </c>
      <c r="Y113" s="1"/>
      <c r="Z113" s="5">
        <f t="shared" si="51"/>
        <v>0.15056681138446684</v>
      </c>
    </row>
    <row r="114" spans="1:26" s="24" customFormat="1" hidden="1" outlineLevel="2" x14ac:dyDescent="0.25">
      <c r="A114" s="26"/>
      <c r="B114" s="11" t="str">
        <f>CONCATENATE("          ", "6279", " - ", "GENERAL EXPENSE")</f>
        <v xml:space="preserve">          6279 - GENERAL EXPENSE</v>
      </c>
      <c r="C114" s="11"/>
      <c r="D114" s="6"/>
      <c r="E114" s="2"/>
      <c r="F114" s="7">
        <f t="shared" si="44"/>
        <v>0</v>
      </c>
      <c r="G114" s="2"/>
      <c r="H114" s="6"/>
      <c r="I114" s="2"/>
      <c r="J114" s="7">
        <f t="shared" si="45"/>
        <v>0</v>
      </c>
      <c r="K114" s="2"/>
      <c r="L114" s="6">
        <f t="shared" si="46"/>
        <v>0</v>
      </c>
      <c r="M114" s="2"/>
      <c r="N114" s="7">
        <f t="shared" si="47"/>
        <v>0</v>
      </c>
      <c r="O114" s="11"/>
      <c r="P114" s="6">
        <v>954.05</v>
      </c>
      <c r="Q114" s="2"/>
      <c r="R114" s="7">
        <f t="shared" si="48"/>
        <v>1.1610936827047451E-3</v>
      </c>
      <c r="S114" s="2"/>
      <c r="T114" s="6">
        <v>829.2</v>
      </c>
      <c r="U114" s="2"/>
      <c r="V114" s="7">
        <f t="shared" si="49"/>
        <v>8.9114479348976832E-4</v>
      </c>
      <c r="W114" s="2"/>
      <c r="X114" s="6">
        <f t="shared" si="50"/>
        <v>124.84999999999991</v>
      </c>
      <c r="Y114" s="2"/>
      <c r="Z114" s="7">
        <f t="shared" si="51"/>
        <v>0.15056681138446684</v>
      </c>
    </row>
    <row r="115" spans="1:26" s="27" customFormat="1" outlineLevel="1" collapsed="1" x14ac:dyDescent="0.25">
      <c r="A115" s="25"/>
      <c r="B115" s="13" t="str">
        <f>CONCATENATE("     ","Inventory Adjustment                              ")</f>
        <v xml:space="preserve">     Inventory Adjustment                              </v>
      </c>
      <c r="C115" s="13"/>
      <c r="D115" s="1">
        <f>SUM(OSRRefD22_8x_0)</f>
        <v>0</v>
      </c>
      <c r="E115" s="1"/>
      <c r="F115" s="5">
        <f t="shared" si="44"/>
        <v>0</v>
      </c>
      <c r="G115" s="1"/>
      <c r="H115" s="1">
        <f>SUM(OSRRefH22_8x_0)</f>
        <v>400</v>
      </c>
      <c r="I115" s="1"/>
      <c r="J115" s="5">
        <f t="shared" si="45"/>
        <v>8.8204753221844002E-3</v>
      </c>
      <c r="K115" s="1"/>
      <c r="L115" s="1">
        <f t="shared" si="46"/>
        <v>-400</v>
      </c>
      <c r="M115" s="1"/>
      <c r="N115" s="5">
        <f t="shared" si="47"/>
        <v>-1</v>
      </c>
      <c r="O115" s="13"/>
      <c r="P115" s="1">
        <f>SUM(OSRRefP22_8x_0)</f>
        <v>0</v>
      </c>
      <c r="Q115" s="1"/>
      <c r="R115" s="5">
        <f t="shared" si="48"/>
        <v>0</v>
      </c>
      <c r="S115" s="1"/>
      <c r="T115" s="1">
        <f>SUM(OSRRefT22_8x_0)</f>
        <v>4000</v>
      </c>
      <c r="U115" s="1"/>
      <c r="V115" s="5">
        <f t="shared" si="49"/>
        <v>4.2988171417740872E-3</v>
      </c>
      <c r="W115" s="1"/>
      <c r="X115" s="1">
        <f t="shared" si="50"/>
        <v>-4000</v>
      </c>
      <c r="Y115" s="1"/>
      <c r="Z115" s="5">
        <f t="shared" si="51"/>
        <v>-1</v>
      </c>
    </row>
    <row r="116" spans="1:26" s="24" customFormat="1" hidden="1" outlineLevel="2" x14ac:dyDescent="0.25">
      <c r="A116" s="26"/>
      <c r="B116" s="11" t="str">
        <f>CONCATENATE("          ", "6408", " - ", "INVENTORY ADJUSTMENT")</f>
        <v xml:space="preserve">          6408 - INVENTORY ADJUSTMENT</v>
      </c>
      <c r="C116" s="11"/>
      <c r="D116" s="6"/>
      <c r="E116" s="2"/>
      <c r="F116" s="7">
        <f t="shared" si="44"/>
        <v>0</v>
      </c>
      <c r="G116" s="2"/>
      <c r="H116" s="6">
        <v>400</v>
      </c>
      <c r="I116" s="2"/>
      <c r="J116" s="7">
        <f t="shared" si="45"/>
        <v>8.8204753221844002E-3</v>
      </c>
      <c r="K116" s="2"/>
      <c r="L116" s="6">
        <f t="shared" si="46"/>
        <v>-400</v>
      </c>
      <c r="M116" s="2"/>
      <c r="N116" s="7">
        <f t="shared" si="47"/>
        <v>-1</v>
      </c>
      <c r="O116" s="11"/>
      <c r="P116" s="6"/>
      <c r="Q116" s="2"/>
      <c r="R116" s="7">
        <f t="shared" si="48"/>
        <v>0</v>
      </c>
      <c r="S116" s="2"/>
      <c r="T116" s="6">
        <v>4000</v>
      </c>
      <c r="U116" s="2"/>
      <c r="V116" s="7">
        <f t="shared" si="49"/>
        <v>4.2988171417740872E-3</v>
      </c>
      <c r="W116" s="2"/>
      <c r="X116" s="6">
        <f t="shared" si="50"/>
        <v>-4000</v>
      </c>
      <c r="Y116" s="2"/>
      <c r="Z116" s="7">
        <f t="shared" si="51"/>
        <v>-1</v>
      </c>
    </row>
    <row r="117" spans="1:26" s="27" customFormat="1" outlineLevel="1" collapsed="1" x14ac:dyDescent="0.25">
      <c r="A117" s="25"/>
      <c r="B117" s="13" t="str">
        <f>CONCATENATE("     ","Professional Services                             ")</f>
        <v xml:space="preserve">     Professional Services                             </v>
      </c>
      <c r="C117" s="13"/>
      <c r="D117" s="1">
        <f>SUM(OSRRefD22_9x_0)</f>
        <v>0</v>
      </c>
      <c r="E117" s="1"/>
      <c r="F117" s="5">
        <f t="shared" si="44"/>
        <v>0</v>
      </c>
      <c r="G117" s="1"/>
      <c r="H117" s="1">
        <f>SUM(OSRRefH22_9x_0)</f>
        <v>0</v>
      </c>
      <c r="I117" s="1"/>
      <c r="J117" s="5">
        <f t="shared" si="45"/>
        <v>0</v>
      </c>
      <c r="K117" s="1"/>
      <c r="L117" s="1">
        <f t="shared" si="46"/>
        <v>0</v>
      </c>
      <c r="M117" s="1"/>
      <c r="N117" s="5">
        <f t="shared" si="47"/>
        <v>0</v>
      </c>
      <c r="O117" s="13"/>
      <c r="P117" s="1">
        <f>SUM(OSRRefP22_9x_0)</f>
        <v>791.15</v>
      </c>
      <c r="Q117" s="1"/>
      <c r="R117" s="5">
        <f t="shared" si="48"/>
        <v>9.6284185008318134E-4</v>
      </c>
      <c r="S117" s="1"/>
      <c r="T117" s="1">
        <f>SUM(OSRRefT22_9x_0)</f>
        <v>750</v>
      </c>
      <c r="U117" s="1"/>
      <c r="V117" s="5">
        <f t="shared" si="49"/>
        <v>8.0602821408264135E-4</v>
      </c>
      <c r="W117" s="1"/>
      <c r="X117" s="1">
        <f t="shared" si="50"/>
        <v>41.149999999999977</v>
      </c>
      <c r="Y117" s="1"/>
      <c r="Z117" s="5">
        <f t="shared" si="51"/>
        <v>5.4866666666666633E-2</v>
      </c>
    </row>
    <row r="118" spans="1:26" s="24" customFormat="1" hidden="1" outlineLevel="2" x14ac:dyDescent="0.25">
      <c r="A118" s="26"/>
      <c r="B118" s="11" t="str">
        <f>CONCATENATE("          ", "6336", " - ", "PROFESSIONAL SERVICES")</f>
        <v xml:space="preserve">          6336 - PROFESSIONAL SERVICES</v>
      </c>
      <c r="C118" s="11"/>
      <c r="D118" s="6"/>
      <c r="E118" s="2"/>
      <c r="F118" s="7">
        <f t="shared" si="44"/>
        <v>0</v>
      </c>
      <c r="G118" s="2"/>
      <c r="H118" s="6"/>
      <c r="I118" s="2"/>
      <c r="J118" s="7">
        <f t="shared" si="45"/>
        <v>0</v>
      </c>
      <c r="K118" s="2"/>
      <c r="L118" s="6">
        <f t="shared" si="46"/>
        <v>0</v>
      </c>
      <c r="M118" s="2"/>
      <c r="N118" s="7">
        <f t="shared" si="47"/>
        <v>0</v>
      </c>
      <c r="O118" s="11"/>
      <c r="P118" s="6">
        <v>791.15</v>
      </c>
      <c r="Q118" s="2"/>
      <c r="R118" s="7">
        <f t="shared" si="48"/>
        <v>9.6284185008318134E-4</v>
      </c>
      <c r="S118" s="2"/>
      <c r="T118" s="6">
        <v>750</v>
      </c>
      <c r="U118" s="2"/>
      <c r="V118" s="7">
        <f t="shared" si="49"/>
        <v>8.0602821408264135E-4</v>
      </c>
      <c r="W118" s="2"/>
      <c r="X118" s="6">
        <f t="shared" si="50"/>
        <v>41.149999999999977</v>
      </c>
      <c r="Y118" s="2"/>
      <c r="Z118" s="7">
        <f t="shared" si="51"/>
        <v>5.4866666666666633E-2</v>
      </c>
    </row>
    <row r="119" spans="1:26" s="27" customFormat="1" outlineLevel="1" collapsed="1" x14ac:dyDescent="0.25">
      <c r="A119" s="25"/>
      <c r="B119" s="13" t="str">
        <f>CONCATENATE("     ","Rent                                              ")</f>
        <v xml:space="preserve">     Rent                                              </v>
      </c>
      <c r="C119" s="13"/>
      <c r="D119" s="1">
        <f>SUM(OSRRefD22_10x_0)</f>
        <v>0</v>
      </c>
      <c r="E119" s="1"/>
      <c r="F119" s="5">
        <f t="shared" si="44"/>
        <v>0</v>
      </c>
      <c r="G119" s="1"/>
      <c r="H119" s="1">
        <f>SUM(OSRRefH22_10x_0)</f>
        <v>0</v>
      </c>
      <c r="I119" s="1"/>
      <c r="J119" s="5">
        <f t="shared" si="45"/>
        <v>0</v>
      </c>
      <c r="K119" s="1"/>
      <c r="L119" s="1">
        <f t="shared" si="46"/>
        <v>0</v>
      </c>
      <c r="M119" s="1"/>
      <c r="N119" s="5">
        <f t="shared" si="47"/>
        <v>0</v>
      </c>
      <c r="O119" s="13"/>
      <c r="P119" s="1">
        <f>SUM(OSRRefP22_10x_0)</f>
        <v>0</v>
      </c>
      <c r="Q119" s="1"/>
      <c r="R119" s="5">
        <f t="shared" si="48"/>
        <v>0</v>
      </c>
      <c r="S119" s="1"/>
      <c r="T119" s="1">
        <f>SUM(OSRRefT22_10x_0)</f>
        <v>0</v>
      </c>
      <c r="U119" s="1"/>
      <c r="V119" s="5">
        <f t="shared" si="49"/>
        <v>0</v>
      </c>
      <c r="W119" s="1"/>
      <c r="X119" s="1">
        <f t="shared" si="50"/>
        <v>0</v>
      </c>
      <c r="Y119" s="1"/>
      <c r="Z119" s="5">
        <f t="shared" si="51"/>
        <v>0</v>
      </c>
    </row>
    <row r="120" spans="1:26" s="24" customFormat="1" hidden="1" outlineLevel="2" x14ac:dyDescent="0.25">
      <c r="A120" s="26"/>
      <c r="B120" s="11" t="str">
        <f>CONCATENATE("          ", "6273", " - ", "RENT")</f>
        <v xml:space="preserve">          6273 - RENT</v>
      </c>
      <c r="C120" s="11"/>
      <c r="D120" s="6"/>
      <c r="E120" s="2"/>
      <c r="F120" s="7">
        <f t="shared" si="44"/>
        <v>0</v>
      </c>
      <c r="G120" s="2"/>
      <c r="H120" s="6"/>
      <c r="I120" s="2"/>
      <c r="J120" s="7">
        <f t="shared" si="45"/>
        <v>0</v>
      </c>
      <c r="K120" s="2"/>
      <c r="L120" s="6">
        <f t="shared" si="46"/>
        <v>0</v>
      </c>
      <c r="M120" s="2"/>
      <c r="N120" s="7">
        <f t="shared" si="47"/>
        <v>0</v>
      </c>
      <c r="O120" s="11"/>
      <c r="P120" s="6"/>
      <c r="Q120" s="2"/>
      <c r="R120" s="7">
        <f t="shared" si="48"/>
        <v>0</v>
      </c>
      <c r="S120" s="2"/>
      <c r="T120" s="6">
        <v>0</v>
      </c>
      <c r="U120" s="2"/>
      <c r="V120" s="7">
        <f t="shared" si="49"/>
        <v>0</v>
      </c>
      <c r="W120" s="2"/>
      <c r="X120" s="6">
        <f t="shared" si="50"/>
        <v>0</v>
      </c>
      <c r="Y120" s="2"/>
      <c r="Z120" s="7">
        <f t="shared" si="51"/>
        <v>0</v>
      </c>
    </row>
    <row r="121" spans="1:26" s="27" customFormat="1" outlineLevel="1" collapsed="1" x14ac:dyDescent="0.25">
      <c r="A121" s="25"/>
      <c r="B121" s="13" t="str">
        <f>CONCATENATE("     ","Repair and Maintenance                            ")</f>
        <v xml:space="preserve">     Repair and Maintenance                            </v>
      </c>
      <c r="C121" s="13"/>
      <c r="D121" s="1">
        <f>SUM(OSRRefD22_11x_0)</f>
        <v>0</v>
      </c>
      <c r="E121" s="1"/>
      <c r="F121" s="5">
        <f t="shared" si="44"/>
        <v>0</v>
      </c>
      <c r="G121" s="1"/>
      <c r="H121" s="1">
        <f>SUM(OSRRefH22_11x_0)</f>
        <v>0</v>
      </c>
      <c r="I121" s="1"/>
      <c r="J121" s="5">
        <f t="shared" si="45"/>
        <v>0</v>
      </c>
      <c r="K121" s="1"/>
      <c r="L121" s="1">
        <f t="shared" si="46"/>
        <v>0</v>
      </c>
      <c r="M121" s="1"/>
      <c r="N121" s="5">
        <f t="shared" si="47"/>
        <v>0</v>
      </c>
      <c r="O121" s="13"/>
      <c r="P121" s="1">
        <f>SUM(OSRRefP22_11x_0)</f>
        <v>190.64000000000001</v>
      </c>
      <c r="Q121" s="1"/>
      <c r="R121" s="5">
        <f t="shared" si="48"/>
        <v>2.3201184389794313E-4</v>
      </c>
      <c r="S121" s="1"/>
      <c r="T121" s="1">
        <f>SUM(OSRRefT22_11x_0)</f>
        <v>1736.73</v>
      </c>
      <c r="U121" s="1"/>
      <c r="V121" s="5">
        <f t="shared" si="49"/>
        <v>1.8664711736583275E-3</v>
      </c>
      <c r="W121" s="1"/>
      <c r="X121" s="1">
        <f t="shared" si="50"/>
        <v>-1546.09</v>
      </c>
      <c r="Y121" s="1"/>
      <c r="Z121" s="5">
        <f t="shared" si="51"/>
        <v>-0.8902304906346985</v>
      </c>
    </row>
    <row r="122" spans="1:26" s="24" customFormat="1" hidden="1" outlineLevel="2" x14ac:dyDescent="0.25">
      <c r="A122" s="26"/>
      <c r="B122" s="11" t="str">
        <f>CONCATENATE("          ", "6373", " - ", "MAINTENANCE CONTRACTS")</f>
        <v xml:space="preserve">          6373 - MAINTENANCE CONTRACTS</v>
      </c>
      <c r="C122" s="11"/>
      <c r="D122" s="6"/>
      <c r="E122" s="2"/>
      <c r="F122" s="7">
        <f t="shared" si="44"/>
        <v>0</v>
      </c>
      <c r="G122" s="2"/>
      <c r="H122" s="6"/>
      <c r="I122" s="2"/>
      <c r="J122" s="7">
        <f t="shared" si="45"/>
        <v>0</v>
      </c>
      <c r="K122" s="2"/>
      <c r="L122" s="6">
        <f t="shared" si="46"/>
        <v>0</v>
      </c>
      <c r="M122" s="2"/>
      <c r="N122" s="7">
        <f t="shared" si="47"/>
        <v>0</v>
      </c>
      <c r="O122" s="11"/>
      <c r="P122" s="6">
        <v>180.84</v>
      </c>
      <c r="Q122" s="2"/>
      <c r="R122" s="7">
        <f t="shared" si="48"/>
        <v>2.2008509153642486E-4</v>
      </c>
      <c r="S122" s="2"/>
      <c r="T122" s="6">
        <v>157.86000000000001</v>
      </c>
      <c r="U122" s="2"/>
      <c r="V122" s="7">
        <f t="shared" si="49"/>
        <v>1.6965281850011435E-4</v>
      </c>
      <c r="W122" s="2"/>
      <c r="X122" s="6">
        <f t="shared" si="50"/>
        <v>22.97999999999999</v>
      </c>
      <c r="Y122" s="2"/>
      <c r="Z122" s="7">
        <f t="shared" si="51"/>
        <v>0.14557202584568599</v>
      </c>
    </row>
    <row r="123" spans="1:26" s="24" customFormat="1" hidden="1" outlineLevel="2" x14ac:dyDescent="0.25">
      <c r="A123" s="26"/>
      <c r="B123" s="11" t="str">
        <f>CONCATENATE("          ", "6375", " - ", "OUTSIDE REPAIRS &amp; MAINTENANCE")</f>
        <v xml:space="preserve">          6375 - OUTSIDE REPAIRS &amp; MAINTENANCE</v>
      </c>
      <c r="C123" s="11"/>
      <c r="D123" s="6"/>
      <c r="E123" s="2"/>
      <c r="F123" s="7">
        <f t="shared" si="44"/>
        <v>0</v>
      </c>
      <c r="G123" s="2"/>
      <c r="H123" s="6"/>
      <c r="I123" s="2"/>
      <c r="J123" s="7">
        <f t="shared" si="45"/>
        <v>0</v>
      </c>
      <c r="K123" s="2"/>
      <c r="L123" s="6">
        <f t="shared" si="46"/>
        <v>0</v>
      </c>
      <c r="M123" s="2"/>
      <c r="N123" s="7">
        <f t="shared" si="47"/>
        <v>0</v>
      </c>
      <c r="O123" s="11"/>
      <c r="P123" s="6">
        <v>9.8000000000000007</v>
      </c>
      <c r="Q123" s="2"/>
      <c r="R123" s="7">
        <f t="shared" si="48"/>
        <v>1.1926752361518269E-5</v>
      </c>
      <c r="S123" s="2"/>
      <c r="T123" s="6">
        <v>1578.87</v>
      </c>
      <c r="U123" s="2"/>
      <c r="V123" s="7">
        <f t="shared" si="49"/>
        <v>1.6968183551582131E-3</v>
      </c>
      <c r="W123" s="2"/>
      <c r="X123" s="6">
        <f t="shared" si="50"/>
        <v>-1569.07</v>
      </c>
      <c r="Y123" s="2"/>
      <c r="Z123" s="7">
        <f t="shared" si="51"/>
        <v>-0.99379302919176371</v>
      </c>
    </row>
    <row r="124" spans="1:26" s="27" customFormat="1" outlineLevel="1" collapsed="1" x14ac:dyDescent="0.25">
      <c r="A124" s="25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SUM(OSRRefD22_12x_0)</f>
        <v>78.75</v>
      </c>
      <c r="E124" s="1"/>
      <c r="F124" s="5">
        <f t="shared" ref="F124:F126" si="52">IF(D$12=0,0,D124/D$12)</f>
        <v>1.127863161196351E-2</v>
      </c>
      <c r="G124" s="1"/>
      <c r="H124" s="1">
        <f>SUM(OSRRefH22_12x_0)</f>
        <v>229.69</v>
      </c>
      <c r="I124" s="1"/>
      <c r="J124" s="5">
        <f t="shared" ref="J124:J126" si="53">IF(H$12=0,0,H124/H$12)</f>
        <v>5.0649374418813373E-3</v>
      </c>
      <c r="K124" s="1"/>
      <c r="L124" s="1">
        <f t="shared" ref="L124:L126" si="54">+D124-H124</f>
        <v>-150.94</v>
      </c>
      <c r="M124" s="1"/>
      <c r="N124" s="5">
        <f t="shared" ref="N124:N126" si="55">IF(H124=0,0,L124/H124)</f>
        <v>-0.65714658888066524</v>
      </c>
      <c r="O124" s="13"/>
      <c r="P124" s="1">
        <f>SUM(OSRRefP22_12x_0)</f>
        <v>2093.91</v>
      </c>
      <c r="Q124" s="1"/>
      <c r="R124" s="5">
        <f t="shared" ref="R124:R126" si="56">IF(P$12=0,0,P124/P$12)</f>
        <v>2.5483210242149708E-3</v>
      </c>
      <c r="S124" s="1"/>
      <c r="T124" s="1">
        <f>SUM(OSRRefT22_12x_0)</f>
        <v>2339.52</v>
      </c>
      <c r="U124" s="1"/>
      <c r="V124" s="5">
        <f t="shared" ref="V124:V126" si="57">IF(T$12=0,0,T124/T$12)</f>
        <v>2.5142921698808282E-3</v>
      </c>
      <c r="W124" s="1"/>
      <c r="X124" s="1">
        <f t="shared" ref="X124:X126" si="58">+P124-T124</f>
        <v>-245.61000000000013</v>
      </c>
      <c r="Y124" s="1"/>
      <c r="Z124" s="5">
        <f t="shared" ref="Z124:Z126" si="59">IF(T124=0,0,X124/T124)</f>
        <v>-0.10498307345096436</v>
      </c>
    </row>
    <row r="125" spans="1:26" s="24" customFormat="1" hidden="1" outlineLevel="2" x14ac:dyDescent="0.25">
      <c r="A125" s="26"/>
      <c r="B125" s="11" t="str">
        <f>CONCATENATE("          ", "6282", " - ", "JANITORIAL/EXTERMINATOR EXPENS")</f>
        <v xml:space="preserve">          6282 - JANITORIAL/EXTERMINATOR EXPENS</v>
      </c>
      <c r="C125" s="11"/>
      <c r="D125" s="6"/>
      <c r="E125" s="2"/>
      <c r="F125" s="7">
        <f t="shared" si="52"/>
        <v>0</v>
      </c>
      <c r="G125" s="2"/>
      <c r="H125" s="6">
        <v>41.5</v>
      </c>
      <c r="I125" s="2"/>
      <c r="J125" s="7">
        <f t="shared" si="53"/>
        <v>9.1512431467663145E-4</v>
      </c>
      <c r="K125" s="2"/>
      <c r="L125" s="6">
        <f t="shared" si="54"/>
        <v>-41.5</v>
      </c>
      <c r="M125" s="2"/>
      <c r="N125" s="7">
        <f t="shared" si="55"/>
        <v>-1</v>
      </c>
      <c r="O125" s="11"/>
      <c r="P125" s="6">
        <v>461.02</v>
      </c>
      <c r="Q125" s="2"/>
      <c r="R125" s="7">
        <f t="shared" si="56"/>
        <v>5.6106850752113792E-4</v>
      </c>
      <c r="S125" s="2"/>
      <c r="T125" s="6">
        <v>408.29</v>
      </c>
      <c r="U125" s="2"/>
      <c r="V125" s="7">
        <f t="shared" si="57"/>
        <v>4.3879101270373553E-4</v>
      </c>
      <c r="W125" s="2"/>
      <c r="X125" s="6">
        <f t="shared" si="58"/>
        <v>52.729999999999961</v>
      </c>
      <c r="Y125" s="2"/>
      <c r="Z125" s="7">
        <f t="shared" si="59"/>
        <v>0.12914839942197937</v>
      </c>
    </row>
    <row r="126" spans="1:26" s="24" customFormat="1" hidden="1" outlineLevel="2" x14ac:dyDescent="0.25">
      <c r="A126" s="26"/>
      <c r="B126" s="11" t="str">
        <f>CONCATENATE("          ", "6285", " - ", "JANITORIAL SERVICES")</f>
        <v xml:space="preserve">          6285 - JANITORIAL SERVICES</v>
      </c>
      <c r="C126" s="11"/>
      <c r="D126" s="6">
        <v>78.75</v>
      </c>
      <c r="E126" s="2"/>
      <c r="F126" s="7">
        <f t="shared" si="52"/>
        <v>1.127863161196351E-2</v>
      </c>
      <c r="G126" s="2"/>
      <c r="H126" s="6">
        <v>188.19</v>
      </c>
      <c r="I126" s="2"/>
      <c r="J126" s="7">
        <f t="shared" si="53"/>
        <v>4.1498131272047056E-3</v>
      </c>
      <c r="K126" s="2"/>
      <c r="L126" s="6">
        <f t="shared" si="54"/>
        <v>-109.44</v>
      </c>
      <c r="M126" s="2"/>
      <c r="N126" s="7">
        <f t="shared" si="55"/>
        <v>-0.58153993304638929</v>
      </c>
      <c r="O126" s="11"/>
      <c r="P126" s="6">
        <v>1632.89</v>
      </c>
      <c r="Q126" s="2"/>
      <c r="R126" s="7">
        <f t="shared" si="56"/>
        <v>1.9872525166938332E-3</v>
      </c>
      <c r="S126" s="2"/>
      <c r="T126" s="6">
        <v>1931.23</v>
      </c>
      <c r="U126" s="2"/>
      <c r="V126" s="7">
        <f t="shared" si="57"/>
        <v>2.0755011571770925E-3</v>
      </c>
      <c r="W126" s="2"/>
      <c r="X126" s="6">
        <f t="shared" si="58"/>
        <v>-298.33999999999992</v>
      </c>
      <c r="Y126" s="2"/>
      <c r="Z126" s="7">
        <f t="shared" si="59"/>
        <v>-0.15448185871180539</v>
      </c>
    </row>
    <row r="127" spans="1:26" s="27" customFormat="1" outlineLevel="1" collapsed="1" x14ac:dyDescent="0.25">
      <c r="A127" s="25"/>
      <c r="B127" s="13" t="str">
        <f>CONCATENATE("     ","Subscriptions &amp; Dues                              ")</f>
        <v xml:space="preserve">     Subscriptions &amp; Dues                              </v>
      </c>
      <c r="C127" s="13"/>
      <c r="D127" s="1">
        <f>SUM(OSRRefD22_13x_0)</f>
        <v>0</v>
      </c>
      <c r="E127" s="1"/>
      <c r="F127" s="5">
        <f t="shared" ref="F127:F132" si="60">IF(D$12=0,0,D127/D$12)</f>
        <v>0</v>
      </c>
      <c r="G127" s="1"/>
      <c r="H127" s="1">
        <f>SUM(OSRRefH22_13x_0)</f>
        <v>0</v>
      </c>
      <c r="I127" s="1"/>
      <c r="J127" s="5">
        <f t="shared" ref="J127:J132" si="61">IF(H$12=0,0,H127/H$12)</f>
        <v>0</v>
      </c>
      <c r="K127" s="1"/>
      <c r="L127" s="1">
        <f t="shared" ref="L127:L132" si="62">+D127-H127</f>
        <v>0</v>
      </c>
      <c r="M127" s="1"/>
      <c r="N127" s="5">
        <f t="shared" ref="N127:N132" si="63">IF(H127=0,0,L127/H127)</f>
        <v>0</v>
      </c>
      <c r="O127" s="13"/>
      <c r="P127" s="1">
        <f>SUM(OSRRefP22_13x_0)</f>
        <v>120</v>
      </c>
      <c r="Q127" s="1"/>
      <c r="R127" s="5">
        <f t="shared" ref="R127:R132" si="64">IF(P$12=0,0,P127/P$12)</f>
        <v>1.4604186565124409E-4</v>
      </c>
      <c r="S127" s="1"/>
      <c r="T127" s="1">
        <f>SUM(OSRRefT22_13x_0)</f>
        <v>172.34</v>
      </c>
      <c r="U127" s="1"/>
      <c r="V127" s="5">
        <f t="shared" ref="V127:V132" si="65">IF(T$12=0,0,T127/T$12)</f>
        <v>1.8521453655333654E-4</v>
      </c>
      <c r="W127" s="1"/>
      <c r="X127" s="1">
        <f t="shared" ref="X127:X132" si="66">+P127-T127</f>
        <v>-52.34</v>
      </c>
      <c r="Y127" s="1"/>
      <c r="Z127" s="5">
        <f t="shared" ref="Z127:Z132" si="67">IF(T127=0,0,X127/T127)</f>
        <v>-0.30370198444934432</v>
      </c>
    </row>
    <row r="128" spans="1:26" s="24" customFormat="1" hidden="1" outlineLevel="2" x14ac:dyDescent="0.25">
      <c r="A128" s="26"/>
      <c r="B128" s="11" t="str">
        <f>CONCATENATE("          ", "6258", " - ", "MEMBERSHIP DUES")</f>
        <v xml:space="preserve">          6258 - MEMBERSHIP DUES</v>
      </c>
      <c r="C128" s="11"/>
      <c r="D128" s="6"/>
      <c r="E128" s="2"/>
      <c r="F128" s="7">
        <f t="shared" si="60"/>
        <v>0</v>
      </c>
      <c r="G128" s="2"/>
      <c r="H128" s="6"/>
      <c r="I128" s="2"/>
      <c r="J128" s="7">
        <f t="shared" si="61"/>
        <v>0</v>
      </c>
      <c r="K128" s="2"/>
      <c r="L128" s="6">
        <f t="shared" si="62"/>
        <v>0</v>
      </c>
      <c r="M128" s="2"/>
      <c r="N128" s="7">
        <f t="shared" si="63"/>
        <v>0</v>
      </c>
      <c r="O128" s="11"/>
      <c r="P128" s="6">
        <v>120</v>
      </c>
      <c r="Q128" s="2"/>
      <c r="R128" s="7">
        <f t="shared" si="64"/>
        <v>1.4604186565124409E-4</v>
      </c>
      <c r="S128" s="2"/>
      <c r="T128" s="6">
        <v>172.34</v>
      </c>
      <c r="U128" s="2"/>
      <c r="V128" s="7">
        <f t="shared" si="65"/>
        <v>1.8521453655333654E-4</v>
      </c>
      <c r="W128" s="2"/>
      <c r="X128" s="6">
        <f t="shared" si="66"/>
        <v>-52.34</v>
      </c>
      <c r="Y128" s="2"/>
      <c r="Z128" s="7">
        <f t="shared" si="67"/>
        <v>-0.30370198444934432</v>
      </c>
    </row>
    <row r="129" spans="1:26" s="27" customFormat="1" outlineLevel="1" collapsed="1" x14ac:dyDescent="0.25">
      <c r="A129" s="25"/>
      <c r="B129" s="13" t="str">
        <f>CONCATENATE("     ","Supplies                                          ")</f>
        <v xml:space="preserve">     Supplies                                          </v>
      </c>
      <c r="C129" s="13"/>
      <c r="D129" s="1">
        <f>SUM(OSRRefD22_14x_0)</f>
        <v>0</v>
      </c>
      <c r="E129" s="1"/>
      <c r="F129" s="5">
        <f t="shared" si="60"/>
        <v>0</v>
      </c>
      <c r="G129" s="1"/>
      <c r="H129" s="1">
        <f>SUM(OSRRefH22_14x_0)</f>
        <v>173.92</v>
      </c>
      <c r="I129" s="1"/>
      <c r="J129" s="5">
        <f t="shared" si="61"/>
        <v>3.8351426700857769E-3</v>
      </c>
      <c r="K129" s="1"/>
      <c r="L129" s="1">
        <f t="shared" si="62"/>
        <v>-173.92</v>
      </c>
      <c r="M129" s="1"/>
      <c r="N129" s="5">
        <f t="shared" si="63"/>
        <v>-1</v>
      </c>
      <c r="O129" s="13"/>
      <c r="P129" s="1">
        <f>SUM(OSRRefP22_14x_0)</f>
        <v>1967.59</v>
      </c>
      <c r="Q129" s="1"/>
      <c r="R129" s="5">
        <f t="shared" si="64"/>
        <v>2.3945876203060948E-3</v>
      </c>
      <c r="S129" s="1"/>
      <c r="T129" s="1">
        <f>SUM(OSRRefT22_14x_0)</f>
        <v>1678.01</v>
      </c>
      <c r="U129" s="1"/>
      <c r="V129" s="5">
        <f t="shared" si="65"/>
        <v>1.803364538017084E-3</v>
      </c>
      <c r="W129" s="1"/>
      <c r="X129" s="1">
        <f t="shared" si="66"/>
        <v>289.57999999999993</v>
      </c>
      <c r="Y129" s="1"/>
      <c r="Z129" s="5">
        <f t="shared" si="67"/>
        <v>0.17257346499722881</v>
      </c>
    </row>
    <row r="130" spans="1:26" s="24" customFormat="1" hidden="1" outlineLevel="2" x14ac:dyDescent="0.25">
      <c r="A130" s="26"/>
      <c r="B130" s="11" t="str">
        <f>CONCATENATE("          ", "6241", " - ", "OFFICE EXPENSE")</f>
        <v xml:space="preserve">          6241 - OFFICE EXPENSE</v>
      </c>
      <c r="C130" s="11"/>
      <c r="D130" s="6"/>
      <c r="E130" s="2"/>
      <c r="F130" s="7">
        <f t="shared" si="60"/>
        <v>0</v>
      </c>
      <c r="G130" s="2"/>
      <c r="H130" s="6"/>
      <c r="I130" s="2"/>
      <c r="J130" s="7">
        <f t="shared" si="61"/>
        <v>0</v>
      </c>
      <c r="K130" s="2"/>
      <c r="L130" s="6">
        <f t="shared" si="62"/>
        <v>0</v>
      </c>
      <c r="M130" s="2"/>
      <c r="N130" s="7">
        <f t="shared" si="63"/>
        <v>0</v>
      </c>
      <c r="O130" s="11"/>
      <c r="P130" s="6">
        <v>1673.46</v>
      </c>
      <c r="Q130" s="2"/>
      <c r="R130" s="7">
        <f t="shared" si="64"/>
        <v>2.0366268374394244E-3</v>
      </c>
      <c r="S130" s="2"/>
      <c r="T130" s="6">
        <v>1502.16</v>
      </c>
      <c r="U130" s="2"/>
      <c r="V130" s="7">
        <f t="shared" si="65"/>
        <v>1.6143777894218408E-3</v>
      </c>
      <c r="W130" s="2"/>
      <c r="X130" s="6">
        <f t="shared" si="66"/>
        <v>171.29999999999995</v>
      </c>
      <c r="Y130" s="2"/>
      <c r="Z130" s="7">
        <f t="shared" si="67"/>
        <v>0.11403578846461092</v>
      </c>
    </row>
    <row r="131" spans="1:26" s="24" customFormat="1" hidden="1" outlineLevel="2" x14ac:dyDescent="0.25">
      <c r="A131" s="26"/>
      <c r="B131" s="11" t="str">
        <f>CONCATENATE("          ", "6245", " - ", "PRINTING")</f>
        <v xml:space="preserve">          6245 - PRINTING</v>
      </c>
      <c r="C131" s="11"/>
      <c r="D131" s="6"/>
      <c r="E131" s="2"/>
      <c r="F131" s="7">
        <f t="shared" si="60"/>
        <v>0</v>
      </c>
      <c r="G131" s="2"/>
      <c r="H131" s="6"/>
      <c r="I131" s="2"/>
      <c r="J131" s="7">
        <f t="shared" si="61"/>
        <v>0</v>
      </c>
      <c r="K131" s="2"/>
      <c r="L131" s="6">
        <f t="shared" si="62"/>
        <v>0</v>
      </c>
      <c r="M131" s="2"/>
      <c r="N131" s="7">
        <f t="shared" si="63"/>
        <v>0</v>
      </c>
      <c r="O131" s="11"/>
      <c r="P131" s="6">
        <v>22.05</v>
      </c>
      <c r="Q131" s="2"/>
      <c r="R131" s="7">
        <f t="shared" si="64"/>
        <v>2.6835192813416105E-5</v>
      </c>
      <c r="S131" s="2"/>
      <c r="T131" s="6">
        <v>3.53</v>
      </c>
      <c r="U131" s="2"/>
      <c r="V131" s="7">
        <f t="shared" si="65"/>
        <v>3.7937061276156317E-6</v>
      </c>
      <c r="W131" s="2"/>
      <c r="X131" s="6">
        <f t="shared" si="66"/>
        <v>18.52</v>
      </c>
      <c r="Y131" s="2"/>
      <c r="Z131" s="7">
        <f t="shared" si="67"/>
        <v>5.2464589235127477</v>
      </c>
    </row>
    <row r="132" spans="1:26" s="24" customFormat="1" hidden="1" outlineLevel="2" x14ac:dyDescent="0.25">
      <c r="A132" s="26"/>
      <c r="B132" s="11" t="str">
        <f>CONCATENATE("          ", "6247", " - ", "STORE SUPPLIES")</f>
        <v xml:space="preserve">          6247 - STORE SUPPLIES</v>
      </c>
      <c r="C132" s="11"/>
      <c r="D132" s="6"/>
      <c r="E132" s="2"/>
      <c r="F132" s="7">
        <f t="shared" si="60"/>
        <v>0</v>
      </c>
      <c r="G132" s="2"/>
      <c r="H132" s="6">
        <v>173.92</v>
      </c>
      <c r="I132" s="2"/>
      <c r="J132" s="7">
        <f t="shared" si="61"/>
        <v>3.8351426700857769E-3</v>
      </c>
      <c r="K132" s="2"/>
      <c r="L132" s="6">
        <f t="shared" si="62"/>
        <v>-173.92</v>
      </c>
      <c r="M132" s="2"/>
      <c r="N132" s="7">
        <f t="shared" si="63"/>
        <v>-1</v>
      </c>
      <c r="O132" s="11"/>
      <c r="P132" s="6">
        <v>272.08</v>
      </c>
      <c r="Q132" s="2"/>
      <c r="R132" s="7">
        <f t="shared" si="64"/>
        <v>3.3112559005325407E-4</v>
      </c>
      <c r="S132" s="2"/>
      <c r="T132" s="6">
        <v>172.32</v>
      </c>
      <c r="U132" s="2"/>
      <c r="V132" s="7">
        <f t="shared" si="65"/>
        <v>1.8519304246762767E-4</v>
      </c>
      <c r="W132" s="2"/>
      <c r="X132" s="6">
        <f t="shared" si="66"/>
        <v>99.759999999999991</v>
      </c>
      <c r="Y132" s="2"/>
      <c r="Z132" s="7">
        <f t="shared" si="67"/>
        <v>0.57892293407613737</v>
      </c>
    </row>
    <row r="133" spans="1:26" s="27" customFormat="1" outlineLevel="1" collapsed="1" x14ac:dyDescent="0.25">
      <c r="A133" s="25"/>
      <c r="B133" s="13" t="str">
        <f>CONCATENATE("     ","Telephone/Data Lines                              ")</f>
        <v xml:space="preserve">     Telephone/Data Lines                              </v>
      </c>
      <c r="C133" s="13"/>
      <c r="D133" s="1">
        <f>SUM(OSRRefD22_15x_0)</f>
        <v>103</v>
      </c>
      <c r="E133" s="1"/>
      <c r="F133" s="5">
        <f t="shared" ref="F133:F138" si="68">IF(D$12=0,0,D133/D$12)</f>
        <v>1.4751734044853863E-2</v>
      </c>
      <c r="G133" s="1"/>
      <c r="H133" s="1">
        <f>SUM(OSRRefH22_15x_0)</f>
        <v>103.1</v>
      </c>
      <c r="I133" s="1"/>
      <c r="J133" s="5">
        <f t="shared" ref="J133:J138" si="69">IF(H$12=0,0,H133/H$12)</f>
        <v>2.273477514293029E-3</v>
      </c>
      <c r="K133" s="1"/>
      <c r="L133" s="1">
        <f t="shared" ref="L133:L138" si="70">+D133-H133</f>
        <v>-9.9999999999994316E-2</v>
      </c>
      <c r="M133" s="1"/>
      <c r="N133" s="5">
        <f t="shared" ref="N133:N138" si="71">IF(H133=0,0,L133/H133)</f>
        <v>-9.6993210475261225E-4</v>
      </c>
      <c r="O133" s="13"/>
      <c r="P133" s="1">
        <f>SUM(OSRRefP22_15x_0)</f>
        <v>1093.3699999999999</v>
      </c>
      <c r="Q133" s="1"/>
      <c r="R133" s="5">
        <f t="shared" ref="R133:R138" si="72">IF(P$12=0,0,P133/P$12)</f>
        <v>1.3306482887258395E-3</v>
      </c>
      <c r="S133" s="1"/>
      <c r="T133" s="1">
        <f>SUM(OSRRefT22_15x_0)</f>
        <v>1420.48</v>
      </c>
      <c r="U133" s="1"/>
      <c r="V133" s="5">
        <f t="shared" ref="V133:V138" si="73">IF(T$12=0,0,T133/T$12)</f>
        <v>1.5265959433868137E-3</v>
      </c>
      <c r="W133" s="1"/>
      <c r="X133" s="1">
        <f t="shared" ref="X133:X138" si="74">+P133-T133</f>
        <v>-327.11000000000013</v>
      </c>
      <c r="Y133" s="1"/>
      <c r="Z133" s="5">
        <f t="shared" ref="Z133:Z138" si="75">IF(T133=0,0,X133/T133)</f>
        <v>-0.2302813133588647</v>
      </c>
    </row>
    <row r="134" spans="1:26" s="24" customFormat="1" hidden="1" outlineLevel="2" x14ac:dyDescent="0.25">
      <c r="A134" s="26"/>
      <c r="B134" s="11" t="str">
        <f>CONCATENATE("          ", "6309", " - ", "TELEPHONE")</f>
        <v xml:space="preserve">          6309 - TELEPHONE</v>
      </c>
      <c r="C134" s="11"/>
      <c r="D134" s="6">
        <v>103</v>
      </c>
      <c r="E134" s="2"/>
      <c r="F134" s="7">
        <f t="shared" si="68"/>
        <v>1.4751734044853863E-2</v>
      </c>
      <c r="G134" s="2"/>
      <c r="H134" s="6">
        <v>103.1</v>
      </c>
      <c r="I134" s="2"/>
      <c r="J134" s="7">
        <f t="shared" si="69"/>
        <v>2.273477514293029E-3</v>
      </c>
      <c r="K134" s="2"/>
      <c r="L134" s="6">
        <f t="shared" si="70"/>
        <v>-9.9999999999994316E-2</v>
      </c>
      <c r="M134" s="2"/>
      <c r="N134" s="7">
        <f t="shared" si="71"/>
        <v>-9.6993210475261225E-4</v>
      </c>
      <c r="O134" s="11"/>
      <c r="P134" s="6">
        <v>1093.3699999999999</v>
      </c>
      <c r="Q134" s="2"/>
      <c r="R134" s="7">
        <f t="shared" si="72"/>
        <v>1.3306482887258395E-3</v>
      </c>
      <c r="S134" s="2"/>
      <c r="T134" s="6">
        <v>1420.48</v>
      </c>
      <c r="U134" s="2"/>
      <c r="V134" s="7">
        <f t="shared" si="73"/>
        <v>1.5265959433868137E-3</v>
      </c>
      <c r="W134" s="2"/>
      <c r="X134" s="6">
        <f t="shared" si="74"/>
        <v>-327.11000000000013</v>
      </c>
      <c r="Y134" s="2"/>
      <c r="Z134" s="7">
        <f t="shared" si="75"/>
        <v>-0.2302813133588647</v>
      </c>
    </row>
    <row r="135" spans="1:26" s="27" customFormat="1" outlineLevel="1" collapsed="1" x14ac:dyDescent="0.25">
      <c r="A135" s="25"/>
      <c r="B135" s="13" t="str">
        <f>CONCATENATE("     ","Training                                          ")</f>
        <v xml:space="preserve">     Training                                          </v>
      </c>
      <c r="C135" s="13"/>
      <c r="D135" s="1">
        <f>SUM(OSRRefD22_16x_0)</f>
        <v>0</v>
      </c>
      <c r="E135" s="1"/>
      <c r="F135" s="5">
        <f t="shared" si="68"/>
        <v>0</v>
      </c>
      <c r="G135" s="1"/>
      <c r="H135" s="1">
        <f>SUM(OSRRefH22_16x_0)</f>
        <v>0</v>
      </c>
      <c r="I135" s="1"/>
      <c r="J135" s="5">
        <f t="shared" si="69"/>
        <v>0</v>
      </c>
      <c r="K135" s="1"/>
      <c r="L135" s="1">
        <f t="shared" si="70"/>
        <v>0</v>
      </c>
      <c r="M135" s="1"/>
      <c r="N135" s="5">
        <f t="shared" si="71"/>
        <v>0</v>
      </c>
      <c r="O135" s="13"/>
      <c r="P135" s="1">
        <f>SUM(OSRRefP22_16x_0)</f>
        <v>314.8</v>
      </c>
      <c r="Q135" s="1"/>
      <c r="R135" s="5">
        <f t="shared" si="72"/>
        <v>3.8311649422509701E-4</v>
      </c>
      <c r="S135" s="1"/>
      <c r="T135" s="1">
        <f>SUM(OSRRefT22_16x_0)</f>
        <v>0</v>
      </c>
      <c r="U135" s="1"/>
      <c r="V135" s="5">
        <f t="shared" si="73"/>
        <v>0</v>
      </c>
      <c r="W135" s="1"/>
      <c r="X135" s="1">
        <f t="shared" si="74"/>
        <v>314.8</v>
      </c>
      <c r="Y135" s="1"/>
      <c r="Z135" s="5">
        <f t="shared" si="75"/>
        <v>0</v>
      </c>
    </row>
    <row r="136" spans="1:26" s="24" customFormat="1" hidden="1" outlineLevel="2" x14ac:dyDescent="0.25">
      <c r="A136" s="26"/>
      <c r="B136" s="11" t="str">
        <f>CONCATENATE("          ", "6376", " - ", "TRAINING")</f>
        <v xml:space="preserve">          6376 - TRAINING</v>
      </c>
      <c r="C136" s="11"/>
      <c r="D136" s="6"/>
      <c r="E136" s="2"/>
      <c r="F136" s="7">
        <f t="shared" si="68"/>
        <v>0</v>
      </c>
      <c r="G136" s="2"/>
      <c r="H136" s="6"/>
      <c r="I136" s="2"/>
      <c r="J136" s="7">
        <f t="shared" si="69"/>
        <v>0</v>
      </c>
      <c r="K136" s="2"/>
      <c r="L136" s="6">
        <f t="shared" si="70"/>
        <v>0</v>
      </c>
      <c r="M136" s="2"/>
      <c r="N136" s="7">
        <f t="shared" si="71"/>
        <v>0</v>
      </c>
      <c r="O136" s="11"/>
      <c r="P136" s="6">
        <v>314.8</v>
      </c>
      <c r="Q136" s="2"/>
      <c r="R136" s="7">
        <f t="shared" si="72"/>
        <v>3.8311649422509701E-4</v>
      </c>
      <c r="S136" s="2"/>
      <c r="T136" s="6"/>
      <c r="U136" s="2"/>
      <c r="V136" s="7">
        <f t="shared" si="73"/>
        <v>0</v>
      </c>
      <c r="W136" s="2"/>
      <c r="X136" s="6">
        <f t="shared" si="74"/>
        <v>314.8</v>
      </c>
      <c r="Y136" s="2"/>
      <c r="Z136" s="7">
        <f t="shared" si="75"/>
        <v>0</v>
      </c>
    </row>
    <row r="137" spans="1:26" s="27" customFormat="1" outlineLevel="1" collapsed="1" x14ac:dyDescent="0.25">
      <c r="A137" s="25"/>
      <c r="B137" s="13" t="str">
        <f>CONCATENATE("     ","Travel                                            ")</f>
        <v xml:space="preserve">     Travel                                            </v>
      </c>
      <c r="C137" s="13"/>
      <c r="D137" s="1">
        <f>SUM(OSRRefD22_17x_0)</f>
        <v>0</v>
      </c>
      <c r="E137" s="1"/>
      <c r="F137" s="5">
        <f t="shared" si="68"/>
        <v>0</v>
      </c>
      <c r="G137" s="1"/>
      <c r="H137" s="1">
        <f>SUM(OSRRefH22_17x_0)</f>
        <v>0</v>
      </c>
      <c r="I137" s="1"/>
      <c r="J137" s="5">
        <f t="shared" si="69"/>
        <v>0</v>
      </c>
      <c r="K137" s="1"/>
      <c r="L137" s="1">
        <f t="shared" si="70"/>
        <v>0</v>
      </c>
      <c r="M137" s="1"/>
      <c r="N137" s="5">
        <f t="shared" si="71"/>
        <v>0</v>
      </c>
      <c r="O137" s="13"/>
      <c r="P137" s="1">
        <f>SUM(OSRRefP22_17x_0)</f>
        <v>-323.01</v>
      </c>
      <c r="Q137" s="1"/>
      <c r="R137" s="5">
        <f t="shared" si="72"/>
        <v>-3.9310819186673629E-4</v>
      </c>
      <c r="S137" s="1"/>
      <c r="T137" s="1">
        <f>SUM(OSRRefT22_17x_0)</f>
        <v>924.85</v>
      </c>
      <c r="U137" s="1"/>
      <c r="V137" s="5">
        <f t="shared" si="73"/>
        <v>9.9394025839244114E-4</v>
      </c>
      <c r="W137" s="1"/>
      <c r="X137" s="1">
        <f t="shared" si="74"/>
        <v>-1247.8600000000001</v>
      </c>
      <c r="Y137" s="1"/>
      <c r="Z137" s="5">
        <f t="shared" si="75"/>
        <v>-1.3492566362112777</v>
      </c>
    </row>
    <row r="138" spans="1:26" s="24" customFormat="1" hidden="1" outlineLevel="2" x14ac:dyDescent="0.25">
      <c r="A138" s="26"/>
      <c r="B138" s="11" t="str">
        <f>CONCATENATE("          ", "6292", " - ", "TRAVEL/CONFERENCE")</f>
        <v xml:space="preserve">          6292 - TRAVEL/CONFERENCE</v>
      </c>
      <c r="C138" s="11"/>
      <c r="D138" s="6"/>
      <c r="E138" s="2"/>
      <c r="F138" s="7">
        <f t="shared" si="68"/>
        <v>0</v>
      </c>
      <c r="G138" s="2"/>
      <c r="H138" s="6"/>
      <c r="I138" s="2"/>
      <c r="J138" s="7">
        <f t="shared" si="69"/>
        <v>0</v>
      </c>
      <c r="K138" s="2"/>
      <c r="L138" s="6">
        <f t="shared" si="70"/>
        <v>0</v>
      </c>
      <c r="M138" s="2"/>
      <c r="N138" s="7">
        <f t="shared" si="71"/>
        <v>0</v>
      </c>
      <c r="O138" s="11"/>
      <c r="P138" s="6">
        <v>-323.01</v>
      </c>
      <c r="Q138" s="2"/>
      <c r="R138" s="7">
        <f t="shared" si="72"/>
        <v>-3.9310819186673629E-4</v>
      </c>
      <c r="S138" s="2"/>
      <c r="T138" s="6">
        <v>924.85</v>
      </c>
      <c r="U138" s="2"/>
      <c r="V138" s="7">
        <f t="shared" si="73"/>
        <v>9.9394025839244114E-4</v>
      </c>
      <c r="W138" s="2"/>
      <c r="X138" s="6">
        <f t="shared" si="74"/>
        <v>-1247.8600000000001</v>
      </c>
      <c r="Y138" s="2"/>
      <c r="Z138" s="7">
        <f t="shared" si="75"/>
        <v>-1.3492566362112777</v>
      </c>
    </row>
    <row r="139" spans="1:26" s="58" customFormat="1" x14ac:dyDescent="0.25">
      <c r="A139" s="37"/>
      <c r="B139" s="37"/>
      <c r="C139" s="37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7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25">
      <c r="A140" s="10"/>
      <c r="B140" s="28" t="s">
        <v>0</v>
      </c>
      <c r="C140" s="10"/>
      <c r="D140" s="4">
        <f>SUM(OSRRefD25x_0)</f>
        <v>0</v>
      </c>
      <c r="E140" s="4"/>
      <c r="F140" s="12">
        <f t="shared" ref="F140:F141" si="76">IF(D$12=0,0,D140/D$12)</f>
        <v>0</v>
      </c>
      <c r="G140" s="4"/>
      <c r="H140" s="4">
        <f>SUM(OSRRefH25x_0)</f>
        <v>0</v>
      </c>
      <c r="I140" s="4"/>
      <c r="J140" s="12">
        <f t="shared" ref="J140:J141" si="77">IF(H$12=0,0,H140/H$12)</f>
        <v>0</v>
      </c>
      <c r="K140" s="4"/>
      <c r="L140" s="4">
        <f t="shared" ref="L140:L141" si="78">+D140-H140</f>
        <v>0</v>
      </c>
      <c r="M140" s="4"/>
      <c r="N140" s="12">
        <f t="shared" ref="N140:N141" si="79">IF(H140=0,0,L140/H140)</f>
        <v>0</v>
      </c>
      <c r="O140" s="10"/>
      <c r="P140" s="4">
        <f>SUM(OSRRefP25x_0)</f>
        <v>68.760000000000005</v>
      </c>
      <c r="Q140" s="4"/>
      <c r="R140" s="12">
        <f t="shared" ref="R140:R141" si="80">IF(P$12=0,0,P140/P$12)</f>
        <v>8.3681989018162873E-5</v>
      </c>
      <c r="S140" s="4"/>
      <c r="T140" s="4">
        <f>SUM(OSRRefT25x_0)</f>
        <v>0</v>
      </c>
      <c r="U140" s="4"/>
      <c r="V140" s="12">
        <f t="shared" ref="V140:V141" si="81">IF(T$12=0,0,T140/T$12)</f>
        <v>0</v>
      </c>
      <c r="W140" s="4"/>
      <c r="X140" s="4">
        <f t="shared" ref="X140:X141" si="82">+P140-T140</f>
        <v>68.760000000000005</v>
      </c>
      <c r="Y140" s="4"/>
      <c r="Z140" s="12">
        <f t="shared" ref="Z140:Z141" si="83">IF(T140=0,0,X140/T140)</f>
        <v>0</v>
      </c>
    </row>
    <row r="141" spans="1:26" s="24" customFormat="1" hidden="1" outlineLevel="1" x14ac:dyDescent="0.25">
      <c r="A141" s="44"/>
      <c r="B141" s="11" t="str">
        <f>CONCATENATE("          ", "9150", " - ", "MISC. INCOME")</f>
        <v xml:space="preserve">          9150 - MISC. INCOME</v>
      </c>
      <c r="C141" s="11"/>
      <c r="D141" s="2">
        <f>0</f>
        <v>0</v>
      </c>
      <c r="E141" s="2"/>
      <c r="F141" s="19">
        <f t="shared" si="76"/>
        <v>0</v>
      </c>
      <c r="G141" s="2"/>
      <c r="H141" s="2">
        <f>0</f>
        <v>0</v>
      </c>
      <c r="I141" s="2"/>
      <c r="J141" s="19">
        <f t="shared" si="77"/>
        <v>0</v>
      </c>
      <c r="K141" s="2"/>
      <c r="L141" s="2">
        <f t="shared" si="78"/>
        <v>0</v>
      </c>
      <c r="M141" s="2"/>
      <c r="N141" s="19">
        <f t="shared" si="79"/>
        <v>0</v>
      </c>
      <c r="O141" s="11"/>
      <c r="P141" s="2">
        <f>--68.76</f>
        <v>68.760000000000005</v>
      </c>
      <c r="Q141" s="2"/>
      <c r="R141" s="19">
        <f t="shared" si="80"/>
        <v>8.3681989018162873E-5</v>
      </c>
      <c r="S141" s="2"/>
      <c r="T141" s="2">
        <f>0</f>
        <v>0</v>
      </c>
      <c r="U141" s="2"/>
      <c r="V141" s="19">
        <f t="shared" si="81"/>
        <v>0</v>
      </c>
      <c r="W141" s="2"/>
      <c r="X141" s="2">
        <f t="shared" si="82"/>
        <v>68.760000000000005</v>
      </c>
      <c r="Y141" s="2"/>
      <c r="Z141" s="19">
        <f t="shared" si="83"/>
        <v>0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10"/>
      <c r="B143" s="29" t="s">
        <v>3</v>
      </c>
      <c r="C143" s="29"/>
      <c r="D143" s="21">
        <f>+D83-D85+D140</f>
        <v>-6318.1999999999989</v>
      </c>
      <c r="E143" s="14"/>
      <c r="F143" s="20">
        <f>IF(D$12=0,0,D143/D$12)</f>
        <v>-0.90489714604073446</v>
      </c>
      <c r="G143" s="14"/>
      <c r="H143" s="21">
        <f>+H83-H85+H140</f>
        <v>188.64000000000669</v>
      </c>
      <c r="I143" s="14"/>
      <c r="J143" s="20">
        <f>IF(H$12=0,0,H143/H$12)</f>
        <v>4.1597361619423109E-3</v>
      </c>
      <c r="K143" s="16"/>
      <c r="L143" s="21">
        <f>+D143-H143</f>
        <v>-6506.8400000000056</v>
      </c>
      <c r="M143" s="16"/>
      <c r="N143" s="20">
        <f>IF(H143=0,0,L143/H143)</f>
        <v>-34.493426632738412</v>
      </c>
      <c r="O143" s="28"/>
      <c r="P143" s="21">
        <f>+P83-P85+P140</f>
        <v>192375.69999999992</v>
      </c>
      <c r="Q143" s="14"/>
      <c r="R143" s="20">
        <f>IF(P$12=0,0,P143/P$12)</f>
        <v>0.23412421778303358</v>
      </c>
      <c r="S143" s="14"/>
      <c r="T143" s="21">
        <f>+T83-T85+T140</f>
        <v>212847.41999999981</v>
      </c>
      <c r="U143" s="14"/>
      <c r="V143" s="20">
        <f>IF(T$12=0,0,T143/T$12)</f>
        <v>0.22874803441959696</v>
      </c>
      <c r="W143" s="16"/>
      <c r="X143" s="21">
        <f>+P143-T143</f>
        <v>-20471.719999999885</v>
      </c>
      <c r="Y143" s="16"/>
      <c r="Z143" s="20">
        <f>IF(T143=0,0,X143/T143)</f>
        <v>-9.6180259079484742E-2</v>
      </c>
    </row>
    <row r="144" spans="1:26" x14ac:dyDescent="0.25">
      <c r="A144" s="9"/>
      <c r="B144" s="10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51"/>
      <c r="B145" s="10" t="s">
        <v>13</v>
      </c>
      <c r="C145" s="10"/>
      <c r="D145" s="4">
        <v>4796.66</v>
      </c>
      <c r="E145" s="4"/>
      <c r="F145" s="12">
        <f>IF(D$12=0,0,D145/D$12)</f>
        <v>0.68698109343290026</v>
      </c>
      <c r="G145" s="4"/>
      <c r="H145" s="4">
        <v>4766.55</v>
      </c>
      <c r="I145" s="4"/>
      <c r="J145" s="12">
        <f>IF(H$12=0,0,H145/H$12)</f>
        <v>0.10510809161739514</v>
      </c>
      <c r="K145" s="4"/>
      <c r="L145" s="4">
        <f>+D145-H145</f>
        <v>30.109999999999673</v>
      </c>
      <c r="M145" s="4"/>
      <c r="N145" s="12">
        <f>IF(H145=0,0,L145/H145)</f>
        <v>6.3169378271495467E-3</v>
      </c>
      <c r="O145" s="10"/>
      <c r="P145" s="4">
        <v>97300.01</v>
      </c>
      <c r="Q145" s="4"/>
      <c r="R145" s="12">
        <f>IF(P$12=0,0,P145/P$12)</f>
        <v>0.11841562490237255</v>
      </c>
      <c r="S145" s="4"/>
      <c r="T145" s="4">
        <v>96784.37000000001</v>
      </c>
      <c r="U145" s="4"/>
      <c r="V145" s="12">
        <f>IF(T$12=0,0,T145/T$12)</f>
        <v>0.10401457720295143</v>
      </c>
      <c r="W145" s="4"/>
      <c r="X145" s="4">
        <f>+P145-T145</f>
        <v>515.63999999998487</v>
      </c>
      <c r="Y145" s="4"/>
      <c r="Z145" s="12">
        <f>IF(T145=0,0,X145/T145)</f>
        <v>5.3277197547494997E-3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9" t="s">
        <v>4</v>
      </c>
      <c r="C147" s="29"/>
      <c r="D147" s="35">
        <f>+D143-D145</f>
        <v>-11114.859999999999</v>
      </c>
      <c r="E147" s="14"/>
      <c r="F147" s="32">
        <f>IF(D$12=0,0,D147/D$12)</f>
        <v>-1.5918782394736348</v>
      </c>
      <c r="G147" s="14"/>
      <c r="H147" s="35">
        <f>+H143-H145</f>
        <v>-4577.9099999999935</v>
      </c>
      <c r="I147" s="14"/>
      <c r="J147" s="32">
        <f>IF(H$12=0,0,H147/H$12)</f>
        <v>-0.10094835545545282</v>
      </c>
      <c r="K147" s="16"/>
      <c r="L147" s="35">
        <f>D147-H147</f>
        <v>-6536.9500000000053</v>
      </c>
      <c r="M147" s="16"/>
      <c r="N147" s="32">
        <f>IF(H147=0,0,L147/H147)</f>
        <v>1.4279332708594128</v>
      </c>
      <c r="O147" s="28"/>
      <c r="P147" s="35">
        <f>+P143-P145</f>
        <v>95075.68999999993</v>
      </c>
      <c r="Q147" s="14"/>
      <c r="R147" s="32">
        <f>IF(P$12=0,0,P147/P$12)</f>
        <v>0.11570859288066102</v>
      </c>
      <c r="S147" s="14"/>
      <c r="T147" s="35">
        <f>+T143-T145</f>
        <v>116063.0499999998</v>
      </c>
      <c r="U147" s="14"/>
      <c r="V147" s="32">
        <f>IF(T$12=0,0,T147/T$12)</f>
        <v>0.12473345721664553</v>
      </c>
      <c r="W147" s="16"/>
      <c r="X147" s="35">
        <f>P147-T147</f>
        <v>-20987.35999999987</v>
      </c>
      <c r="Y147" s="16"/>
      <c r="Z147" s="32">
        <f>IF(T147=0,0,X147/T147)</f>
        <v>-0.18082723140568774</v>
      </c>
    </row>
    <row r="148" spans="1:26" ht="15.75" thickTop="1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9" t="s">
        <v>5</v>
      </c>
      <c r="C150" s="29"/>
      <c r="D150" s="36">
        <f>SUM(D147:D149)</f>
        <v>-11114.859999999999</v>
      </c>
      <c r="E150" s="14"/>
      <c r="F150" s="33">
        <f>IF(D$12=0,0,D150/D$12)</f>
        <v>-1.5918782394736348</v>
      </c>
      <c r="G150" s="14"/>
      <c r="H150" s="36">
        <f>SUM(H147:H149)</f>
        <v>-4577.9099999999935</v>
      </c>
      <c r="I150" s="14"/>
      <c r="J150" s="33">
        <f>IF(H$12=0,0,H150/H$12)</f>
        <v>-0.10094835545545282</v>
      </c>
      <c r="K150" s="16"/>
      <c r="L150" s="36">
        <f>+D150-H150</f>
        <v>-6536.9500000000053</v>
      </c>
      <c r="M150" s="16"/>
      <c r="N150" s="33">
        <f>IF(H150=0,0,L150/H150)</f>
        <v>1.4279332708594128</v>
      </c>
      <c r="O150" s="28"/>
      <c r="P150" s="36">
        <f>SUM(P147:P149)</f>
        <v>95075.68999999993</v>
      </c>
      <c r="Q150" s="14"/>
      <c r="R150" s="33">
        <f>IF(P$12=0,0,P150/P$12)</f>
        <v>0.11570859288066102</v>
      </c>
      <c r="S150" s="14"/>
      <c r="T150" s="36">
        <f>SUM(T147:T149)</f>
        <v>116063.0499999998</v>
      </c>
      <c r="U150" s="14"/>
      <c r="V150" s="33">
        <f>IF(T$12=0,0,T150/T$12)</f>
        <v>0.12473345721664553</v>
      </c>
      <c r="W150" s="16"/>
      <c r="X150" s="36">
        <f>+P150-T150</f>
        <v>-20987.35999999987</v>
      </c>
      <c r="Y150" s="16"/>
      <c r="Z150" s="33">
        <f>IF(T150=0,0,X150/T150)</f>
        <v>-0.18082723140568774</v>
      </c>
    </row>
    <row r="151" spans="1:26" ht="15.75" thickTop="1" x14ac:dyDescent="0.25">
      <c r="A151" s="9"/>
      <c r="C151" s="9"/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A152" s="9"/>
      <c r="B152" s="55">
        <v>43992.37485497685</v>
      </c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A153" s="9"/>
      <c r="B153" s="62" t="s">
        <v>313</v>
      </c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53"/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1">
        <f t="shared" ref="F18:F27" si="0">IF(D$12=0,0,D18/D$12)</f>
        <v>0</v>
      </c>
      <c r="G18" s="22"/>
      <c r="H18" s="22">
        <f>SUM(OSRRefH22x_0)</f>
        <v>0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0</v>
      </c>
      <c r="M18" s="4"/>
      <c r="N18" s="31">
        <f t="shared" ref="N18:N27" si="3">IF(H18=0,0,L18/H18)</f>
        <v>0</v>
      </c>
      <c r="O18" s="10"/>
      <c r="P18" s="22">
        <f>SUM(OSRRefP22x_0)</f>
        <v>0</v>
      </c>
      <c r="Q18" s="22"/>
      <c r="R18" s="31">
        <f t="shared" ref="R18:R27" si="4">IF(P$12=0,0,P18/P$12)</f>
        <v>0</v>
      </c>
      <c r="S18" s="22"/>
      <c r="T18" s="22">
        <f>SUM(OSRRefT22x_0)</f>
        <v>51518.139999999992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-51518.139999999992</v>
      </c>
      <c r="Y18" s="4"/>
      <c r="Z18" s="31">
        <f t="shared" ref="Z18:Z27" si="7">IF(T18=0,0,X18/T18)</f>
        <v>-1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8138.74</v>
      </c>
      <c r="U19" s="1"/>
      <c r="V19" s="5">
        <f t="shared" si="5"/>
        <v>0</v>
      </c>
      <c r="W19" s="1"/>
      <c r="X19" s="1">
        <f t="shared" si="6"/>
        <v>-8138.74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2227.6799999999998</v>
      </c>
      <c r="U20" s="2"/>
      <c r="V20" s="7">
        <f t="shared" si="5"/>
        <v>0</v>
      </c>
      <c r="W20" s="2"/>
      <c r="X20" s="6">
        <f t="shared" si="6"/>
        <v>-2227.6799999999998</v>
      </c>
      <c r="Y20" s="2"/>
      <c r="Z20" s="7">
        <f t="shared" si="7"/>
        <v>-1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379.72</v>
      </c>
      <c r="U21" s="2"/>
      <c r="V21" s="7">
        <f t="shared" si="5"/>
        <v>0</v>
      </c>
      <c r="W21" s="2"/>
      <c r="X21" s="6">
        <f t="shared" si="6"/>
        <v>-379.72</v>
      </c>
      <c r="Y21" s="2"/>
      <c r="Z21" s="7">
        <f t="shared" si="7"/>
        <v>-1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2103.9</v>
      </c>
      <c r="U22" s="2"/>
      <c r="V22" s="7">
        <f t="shared" si="5"/>
        <v>0</v>
      </c>
      <c r="W22" s="2"/>
      <c r="X22" s="6">
        <f t="shared" si="6"/>
        <v>-2103.9</v>
      </c>
      <c r="Y22" s="2"/>
      <c r="Z22" s="7">
        <f t="shared" si="7"/>
        <v>-1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82.97</v>
      </c>
      <c r="U23" s="2"/>
      <c r="V23" s="7">
        <f t="shared" si="5"/>
        <v>0</v>
      </c>
      <c r="W23" s="2"/>
      <c r="X23" s="6">
        <f t="shared" si="6"/>
        <v>-82.97</v>
      </c>
      <c r="Y23" s="2"/>
      <c r="Z23" s="7">
        <f t="shared" si="7"/>
        <v>-1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1123.3800000000001</v>
      </c>
      <c r="U24" s="2"/>
      <c r="V24" s="7">
        <f t="shared" si="5"/>
        <v>0</v>
      </c>
      <c r="W24" s="2"/>
      <c r="X24" s="6">
        <f t="shared" si="6"/>
        <v>-1123.3800000000001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703.58</v>
      </c>
      <c r="U25" s="2"/>
      <c r="V25" s="7">
        <f t="shared" si="5"/>
        <v>0</v>
      </c>
      <c r="W25" s="2"/>
      <c r="X25" s="6">
        <f t="shared" si="6"/>
        <v>-703.58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918.77</v>
      </c>
      <c r="U26" s="2"/>
      <c r="V26" s="7">
        <f t="shared" si="5"/>
        <v>0</v>
      </c>
      <c r="W26" s="2"/>
      <c r="X26" s="6">
        <f t="shared" si="6"/>
        <v>-918.77</v>
      </c>
      <c r="Y26" s="2"/>
      <c r="Z26" s="7">
        <f t="shared" si="7"/>
        <v>-1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/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598.74</v>
      </c>
      <c r="U27" s="2"/>
      <c r="V27" s="7">
        <f t="shared" si="5"/>
        <v>0</v>
      </c>
      <c r="W27" s="2"/>
      <c r="X27" s="6">
        <f t="shared" si="6"/>
        <v>-598.74</v>
      </c>
      <c r="Y27" s="2"/>
      <c r="Z27" s="7">
        <f t="shared" si="7"/>
        <v>-1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8">IF(D$12=0,0,D28/D$12)</f>
        <v>0</v>
      </c>
      <c r="G28" s="1"/>
      <c r="H28" s="1">
        <f>SUM(OSRRefH22_1x_0)</f>
        <v>0</v>
      </c>
      <c r="I28" s="1"/>
      <c r="J28" s="5">
        <f t="shared" ref="J28:J31" si="9">IF(H$12=0,0,H28/H$12)</f>
        <v>0</v>
      </c>
      <c r="K28" s="1"/>
      <c r="L28" s="1">
        <f t="shared" ref="L28:L31" si="10">+D28-H28</f>
        <v>0</v>
      </c>
      <c r="M28" s="1"/>
      <c r="N28" s="5">
        <f t="shared" ref="N28:N31" si="11">IF(H28=0,0,L28/H28)</f>
        <v>0</v>
      </c>
      <c r="O28" s="13"/>
      <c r="P28" s="1">
        <f>SUM(OSRRefP22_1x_0)</f>
        <v>0</v>
      </c>
      <c r="Q28" s="1"/>
      <c r="R28" s="5">
        <f t="shared" ref="R28:R31" si="12">IF(P$12=0,0,P28/P$12)</f>
        <v>0</v>
      </c>
      <c r="S28" s="1"/>
      <c r="T28" s="1">
        <f>SUM(OSRRefT22_1x_0)</f>
        <v>33303.68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-33303.68</v>
      </c>
      <c r="Y28" s="1"/>
      <c r="Z28" s="5">
        <f t="shared" ref="Z28:Z31" si="15">IF(T28=0,0,X28/T28)</f>
        <v>-1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/>
      <c r="Q29" s="2"/>
      <c r="R29" s="7">
        <f t="shared" si="12"/>
        <v>0</v>
      </c>
      <c r="S29" s="2"/>
      <c r="T29" s="6">
        <v>15534.28</v>
      </c>
      <c r="U29" s="2"/>
      <c r="V29" s="7">
        <f t="shared" si="13"/>
        <v>0</v>
      </c>
      <c r="W29" s="2"/>
      <c r="X29" s="6">
        <f t="shared" si="14"/>
        <v>-15534.28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3434.75</v>
      </c>
      <c r="U30" s="2"/>
      <c r="V30" s="7">
        <f t="shared" si="13"/>
        <v>0</v>
      </c>
      <c r="W30" s="2"/>
      <c r="X30" s="6">
        <f t="shared" si="14"/>
        <v>-3434.75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14334.65</v>
      </c>
      <c r="U31" s="2"/>
      <c r="V31" s="7">
        <f t="shared" si="13"/>
        <v>0</v>
      </c>
      <c r="W31" s="2"/>
      <c r="X31" s="6">
        <f t="shared" si="14"/>
        <v>-14334.65</v>
      </c>
      <c r="Y31" s="2"/>
      <c r="Z31" s="7">
        <f t="shared" si="15"/>
        <v>-1</v>
      </c>
    </row>
    <row r="32" spans="1:26" s="27" customFormat="1" outlineLevel="1" collapsed="1" x14ac:dyDescent="0.25">
      <c r="A32" s="25"/>
      <c r="B32" s="13" t="str">
        <f>CONCATENATE("     ","Bad Debts/Over/Short                              ")</f>
        <v xml:space="preserve">     Bad Debts/Over/Short                              </v>
      </c>
      <c r="C32" s="13"/>
      <c r="D32" s="1">
        <f>SUM(OSRRefD22_2x_0)</f>
        <v>0</v>
      </c>
      <c r="E32" s="1"/>
      <c r="F32" s="5">
        <f t="shared" ref="F32:F36" si="16">IF(D$12=0,0,D32/D$12)</f>
        <v>0</v>
      </c>
      <c r="G32" s="1"/>
      <c r="H32" s="1">
        <f>SUM(OSRRefH22_2x_0)</f>
        <v>0</v>
      </c>
      <c r="I32" s="1"/>
      <c r="J32" s="5">
        <f t="shared" ref="J32:J36" si="17">IF(H$12=0,0,H32/H$12)</f>
        <v>0</v>
      </c>
      <c r="K32" s="1"/>
      <c r="L32" s="1">
        <f t="shared" ref="L32:L36" si="18">+D32-H32</f>
        <v>0</v>
      </c>
      <c r="M32" s="1"/>
      <c r="N32" s="5">
        <f t="shared" ref="N32:N36" si="19">IF(H32=0,0,L32/H32)</f>
        <v>0</v>
      </c>
      <c r="O32" s="13"/>
      <c r="P32" s="1">
        <f>SUM(OSRRefP22_2x_0)</f>
        <v>0</v>
      </c>
      <c r="Q32" s="1"/>
      <c r="R32" s="5">
        <f t="shared" ref="R32:R36" si="20">IF(P$12=0,0,P32/P$12)</f>
        <v>0</v>
      </c>
      <c r="S32" s="1"/>
      <c r="T32" s="1">
        <f>SUM(OSRRefT22_2x_0)</f>
        <v>-2.36</v>
      </c>
      <c r="U32" s="1"/>
      <c r="V32" s="5">
        <f t="shared" ref="V32:V36" si="21">IF(T$12=0,0,T32/T$12)</f>
        <v>0</v>
      </c>
      <c r="W32" s="1"/>
      <c r="X32" s="1">
        <f t="shared" ref="X32:X36" si="22">+P32-T32</f>
        <v>2.36</v>
      </c>
      <c r="Y32" s="1"/>
      <c r="Z32" s="5">
        <f t="shared" ref="Z32:Z36" si="23">IF(T32=0,0,X32/T32)</f>
        <v>-1</v>
      </c>
    </row>
    <row r="33" spans="1:26" s="24" customFormat="1" hidden="1" outlineLevel="2" x14ac:dyDescent="0.25">
      <c r="A33" s="26"/>
      <c r="B33" s="11" t="str">
        <f>CONCATENATE("          ", "6272", " - ", "CASH (OVER/SHORT)")</f>
        <v xml:space="preserve">          6272 - CASH (OVER/SHORT)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-2.36</v>
      </c>
      <c r="U33" s="2"/>
      <c r="V33" s="7">
        <f t="shared" si="21"/>
        <v>0</v>
      </c>
      <c r="W33" s="2"/>
      <c r="X33" s="6">
        <f t="shared" si="22"/>
        <v>2.36</v>
      </c>
      <c r="Y33" s="2"/>
      <c r="Z33" s="7">
        <f t="shared" si="23"/>
        <v>-1</v>
      </c>
    </row>
    <row r="34" spans="1:26" s="27" customFormat="1" outlineLevel="1" collapsed="1" x14ac:dyDescent="0.25">
      <c r="A34" s="25"/>
      <c r="B34" s="13" t="str">
        <f>CONCATENATE("     ","Discounts and Markdowns                           ")</f>
        <v xml:space="preserve">     Discounts and Markdowns                           </v>
      </c>
      <c r="C34" s="13"/>
      <c r="D34" s="1">
        <f>SUM(OSRRefD22_3x_0)</f>
        <v>0</v>
      </c>
      <c r="E34" s="1"/>
      <c r="F34" s="5">
        <f t="shared" si="16"/>
        <v>0</v>
      </c>
      <c r="G34" s="1"/>
      <c r="H34" s="1">
        <f>SUM(OSRRefH22_3x_0)</f>
        <v>0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3"/>
      <c r="P34" s="1">
        <f>SUM(OSRRefP22_3x_0)</f>
        <v>0</v>
      </c>
      <c r="Q34" s="1"/>
      <c r="R34" s="5">
        <f t="shared" si="20"/>
        <v>0</v>
      </c>
      <c r="S34" s="1"/>
      <c r="T34" s="1">
        <f>SUM(OSRRefT22_3x_0)</f>
        <v>4708.63</v>
      </c>
      <c r="U34" s="1"/>
      <c r="V34" s="5">
        <f t="shared" si="21"/>
        <v>0</v>
      </c>
      <c r="W34" s="1"/>
      <c r="X34" s="1">
        <f t="shared" si="22"/>
        <v>-4708.63</v>
      </c>
      <c r="Y34" s="1"/>
      <c r="Z34" s="5">
        <f t="shared" si="23"/>
        <v>-1</v>
      </c>
    </row>
    <row r="35" spans="1:26" s="24" customFormat="1" hidden="1" outlineLevel="2" x14ac:dyDescent="0.25">
      <c r="A35" s="26"/>
      <c r="B35" s="11" t="str">
        <f>CONCATENATE("          ", "6382", " - ", "DISCOUNTS/MARK DOWNS")</f>
        <v xml:space="preserve">          6382 - DISCOUNTS/MARK DOWNS</v>
      </c>
      <c r="C35" s="11"/>
      <c r="D35" s="6"/>
      <c r="E35" s="2"/>
      <c r="F35" s="7">
        <f t="shared" si="16"/>
        <v>0</v>
      </c>
      <c r="G35" s="2"/>
      <c r="H35" s="6"/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4777.59</v>
      </c>
      <c r="U35" s="2"/>
      <c r="V35" s="7">
        <f t="shared" si="21"/>
        <v>0</v>
      </c>
      <c r="W35" s="2"/>
      <c r="X35" s="6">
        <f t="shared" si="22"/>
        <v>-4777.59</v>
      </c>
      <c r="Y35" s="2"/>
      <c r="Z35" s="7">
        <f t="shared" si="23"/>
        <v>-1</v>
      </c>
    </row>
    <row r="36" spans="1:26" s="24" customFormat="1" hidden="1" outlineLevel="2" x14ac:dyDescent="0.25">
      <c r="A36" s="26"/>
      <c r="B36" s="11" t="str">
        <f>CONCATENATE("          ", "9175", " - ", "EARNED DISCOUNTS")</f>
        <v xml:space="preserve">          9175 - EARNED DISCOUNTS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-68.959999999999994</v>
      </c>
      <c r="U36" s="2"/>
      <c r="V36" s="7">
        <f t="shared" si="21"/>
        <v>0</v>
      </c>
      <c r="W36" s="2"/>
      <c r="X36" s="6">
        <f t="shared" si="22"/>
        <v>68.959999999999994</v>
      </c>
      <c r="Y36" s="2"/>
      <c r="Z36" s="7">
        <f t="shared" si="23"/>
        <v>-1</v>
      </c>
    </row>
    <row r="37" spans="1:26" s="27" customFormat="1" outlineLevel="1" collapsed="1" x14ac:dyDescent="0.25">
      <c r="A37" s="25"/>
      <c r="B37" s="13" t="str">
        <f>CONCATENATE("     ","General                                           ")</f>
        <v xml:space="preserve">     General                                           </v>
      </c>
      <c r="C37" s="13"/>
      <c r="D37" s="1">
        <f>SUM(OSRRefD22_4x_0)</f>
        <v>0</v>
      </c>
      <c r="E37" s="1"/>
      <c r="F37" s="5">
        <f t="shared" ref="F37:F49" si="24">IF(D$12=0,0,D37/D$12)</f>
        <v>0</v>
      </c>
      <c r="G37" s="1"/>
      <c r="H37" s="1">
        <f>SUM(OSRRefH22_4x_0)</f>
        <v>0</v>
      </c>
      <c r="I37" s="1"/>
      <c r="J37" s="5">
        <f t="shared" ref="J37:J49" si="25">IF(H$12=0,0,H37/H$12)</f>
        <v>0</v>
      </c>
      <c r="K37" s="1"/>
      <c r="L37" s="1">
        <f t="shared" ref="L37:L49" si="26">+D37-H37</f>
        <v>0</v>
      </c>
      <c r="M37" s="1"/>
      <c r="N37" s="5">
        <f t="shared" ref="N37:N49" si="27">IF(H37=0,0,L37/H37)</f>
        <v>0</v>
      </c>
      <c r="O37" s="13"/>
      <c r="P37" s="1">
        <f>SUM(OSRRefP22_4x_0)</f>
        <v>0</v>
      </c>
      <c r="Q37" s="1"/>
      <c r="R37" s="5">
        <f t="shared" ref="R37:R49" si="28">IF(P$12=0,0,P37/P$12)</f>
        <v>0</v>
      </c>
      <c r="S37" s="1"/>
      <c r="T37" s="1">
        <f>SUM(OSRRefT22_4x_0)</f>
        <v>669.2</v>
      </c>
      <c r="U37" s="1"/>
      <c r="V37" s="5">
        <f t="shared" ref="V37:V49" si="29">IF(T$12=0,0,T37/T$12)</f>
        <v>0</v>
      </c>
      <c r="W37" s="1"/>
      <c r="X37" s="1">
        <f t="shared" ref="X37:X49" si="30">+P37-T37</f>
        <v>-669.2</v>
      </c>
      <c r="Y37" s="1"/>
      <c r="Z37" s="5">
        <f t="shared" ref="Z37:Z49" si="31">IF(T37=0,0,X37/T37)</f>
        <v>-1</v>
      </c>
    </row>
    <row r="38" spans="1:26" s="24" customFormat="1" hidden="1" outlineLevel="2" x14ac:dyDescent="0.25">
      <c r="A38" s="26"/>
      <c r="B38" s="11" t="str">
        <f>CONCATENATE("          ", "6279", " - ", "GENERAL EXPENSE")</f>
        <v xml:space="preserve">          6279 - GENERAL EXPENSE</v>
      </c>
      <c r="C38" s="11"/>
      <c r="D38" s="6"/>
      <c r="E38" s="2"/>
      <c r="F38" s="7">
        <f t="shared" si="24"/>
        <v>0</v>
      </c>
      <c r="G38" s="2"/>
      <c r="H38" s="6"/>
      <c r="I38" s="2"/>
      <c r="J38" s="7">
        <f t="shared" si="25"/>
        <v>0</v>
      </c>
      <c r="K38" s="2"/>
      <c r="L38" s="6">
        <f t="shared" si="26"/>
        <v>0</v>
      </c>
      <c r="M38" s="2"/>
      <c r="N38" s="7">
        <f t="shared" si="27"/>
        <v>0</v>
      </c>
      <c r="O38" s="11"/>
      <c r="P38" s="6"/>
      <c r="Q38" s="2"/>
      <c r="R38" s="7">
        <f t="shared" si="28"/>
        <v>0</v>
      </c>
      <c r="S38" s="2"/>
      <c r="T38" s="6">
        <v>669.2</v>
      </c>
      <c r="U38" s="2"/>
      <c r="V38" s="7">
        <f t="shared" si="29"/>
        <v>0</v>
      </c>
      <c r="W38" s="2"/>
      <c r="X38" s="6">
        <f t="shared" si="30"/>
        <v>-669.2</v>
      </c>
      <c r="Y38" s="2"/>
      <c r="Z38" s="7">
        <f t="shared" si="31"/>
        <v>-1</v>
      </c>
    </row>
    <row r="39" spans="1:26" s="27" customFormat="1" outlineLevel="1" collapsed="1" x14ac:dyDescent="0.25">
      <c r="A39" s="25"/>
      <c r="B39" s="13" t="str">
        <f>CONCATENATE("     ","Inventory Adjustment                              ")</f>
        <v xml:space="preserve">     Inventory Adjustment                              </v>
      </c>
      <c r="C39" s="13"/>
      <c r="D39" s="1">
        <f>SUM(OSRRefD22_5x_0)</f>
        <v>0</v>
      </c>
      <c r="E39" s="1"/>
      <c r="F39" s="5">
        <f t="shared" si="24"/>
        <v>0</v>
      </c>
      <c r="G39" s="1"/>
      <c r="H39" s="1">
        <f>SUM(OSRRefH22_5x_0)</f>
        <v>0</v>
      </c>
      <c r="I39" s="1"/>
      <c r="J39" s="5">
        <f t="shared" si="25"/>
        <v>0</v>
      </c>
      <c r="K39" s="1"/>
      <c r="L39" s="1">
        <f t="shared" si="26"/>
        <v>0</v>
      </c>
      <c r="M39" s="1"/>
      <c r="N39" s="5">
        <f t="shared" si="27"/>
        <v>0</v>
      </c>
      <c r="O39" s="13"/>
      <c r="P39" s="1">
        <f>SUM(OSRRefP22_5x_0)</f>
        <v>0</v>
      </c>
      <c r="Q39" s="1"/>
      <c r="R39" s="5">
        <f t="shared" si="28"/>
        <v>0</v>
      </c>
      <c r="S39" s="1"/>
      <c r="T39" s="1">
        <f>SUM(OSRRefT22_5x_0)</f>
        <v>2000</v>
      </c>
      <c r="U39" s="1"/>
      <c r="V39" s="5">
        <f t="shared" si="29"/>
        <v>0</v>
      </c>
      <c r="W39" s="1"/>
      <c r="X39" s="1">
        <f t="shared" si="30"/>
        <v>-2000</v>
      </c>
      <c r="Y39" s="1"/>
      <c r="Z39" s="5">
        <f t="shared" si="31"/>
        <v>-1</v>
      </c>
    </row>
    <row r="40" spans="1:26" s="24" customFormat="1" hidden="1" outlineLevel="2" x14ac:dyDescent="0.25">
      <c r="A40" s="26"/>
      <c r="B40" s="11" t="str">
        <f>CONCATENATE("          ", "6408", " - ", "INVENTORY ADJUSTMENT")</f>
        <v xml:space="preserve">          6408 - INVENTORY ADJUSTMENT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/>
      <c r="Q40" s="2"/>
      <c r="R40" s="7">
        <f t="shared" si="28"/>
        <v>0</v>
      </c>
      <c r="S40" s="2"/>
      <c r="T40" s="6">
        <v>2000</v>
      </c>
      <c r="U40" s="2"/>
      <c r="V40" s="7">
        <f t="shared" si="29"/>
        <v>0</v>
      </c>
      <c r="W40" s="2"/>
      <c r="X40" s="6">
        <f t="shared" si="30"/>
        <v>-2000</v>
      </c>
      <c r="Y40" s="2"/>
      <c r="Z40" s="7">
        <f t="shared" si="31"/>
        <v>-1</v>
      </c>
    </row>
    <row r="41" spans="1:26" s="27" customFormat="1" outlineLevel="1" collapsed="1" x14ac:dyDescent="0.25">
      <c r="A41" s="25"/>
      <c r="B41" s="13" t="str">
        <f>CONCATENATE("     ","Professional Services                             ")</f>
        <v xml:space="preserve">     Professional Services                             </v>
      </c>
      <c r="C41" s="13"/>
      <c r="D41" s="1">
        <f>SUM(OSRRefD22_6x_0)</f>
        <v>0</v>
      </c>
      <c r="E41" s="1"/>
      <c r="F41" s="5">
        <f t="shared" si="24"/>
        <v>0</v>
      </c>
      <c r="G41" s="1"/>
      <c r="H41" s="1">
        <f>SUM(OSRRefH22_6x_0)</f>
        <v>0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3"/>
      <c r="P41" s="1">
        <f>SUM(OSRRefP22_6x_0)</f>
        <v>0</v>
      </c>
      <c r="Q41" s="1"/>
      <c r="R41" s="5">
        <f t="shared" si="28"/>
        <v>0</v>
      </c>
      <c r="S41" s="1"/>
      <c r="T41" s="1">
        <f>SUM(OSRRefT22_6x_0)</f>
        <v>750</v>
      </c>
      <c r="U41" s="1"/>
      <c r="V41" s="5">
        <f t="shared" si="29"/>
        <v>0</v>
      </c>
      <c r="W41" s="1"/>
      <c r="X41" s="1">
        <f t="shared" si="30"/>
        <v>-750</v>
      </c>
      <c r="Y41" s="1"/>
      <c r="Z41" s="5">
        <f t="shared" si="31"/>
        <v>-1</v>
      </c>
    </row>
    <row r="42" spans="1:26" s="24" customFormat="1" hidden="1" outlineLevel="2" x14ac:dyDescent="0.25">
      <c r="A42" s="26"/>
      <c r="B42" s="11" t="str">
        <f>CONCATENATE("          ", "6336", " - ", "PROFESSIONAL SERVICES")</f>
        <v xml:space="preserve">          6336 - PROFESSIONAL SERVICES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/>
      <c r="Q42" s="2"/>
      <c r="R42" s="7">
        <f t="shared" si="28"/>
        <v>0</v>
      </c>
      <c r="S42" s="2"/>
      <c r="T42" s="6">
        <v>750</v>
      </c>
      <c r="U42" s="2"/>
      <c r="V42" s="7">
        <f t="shared" si="29"/>
        <v>0</v>
      </c>
      <c r="W42" s="2"/>
      <c r="X42" s="6">
        <f t="shared" si="30"/>
        <v>-750</v>
      </c>
      <c r="Y42" s="2"/>
      <c r="Z42" s="7">
        <f t="shared" si="31"/>
        <v>-1</v>
      </c>
    </row>
    <row r="43" spans="1:26" s="27" customFormat="1" outlineLevel="1" collapsed="1" x14ac:dyDescent="0.25">
      <c r="A43" s="25"/>
      <c r="B43" s="13" t="str">
        <f>CONCATENATE("     ","Rent                                              ")</f>
        <v xml:space="preserve">     Rent                                              </v>
      </c>
      <c r="C43" s="13"/>
      <c r="D43" s="1">
        <f>SUM(OSRRefD22_7x_0)</f>
        <v>0</v>
      </c>
      <c r="E43" s="1"/>
      <c r="F43" s="5">
        <f t="shared" si="24"/>
        <v>0</v>
      </c>
      <c r="G43" s="1"/>
      <c r="H43" s="1">
        <f>SUM(OSRRefH22_7x_0)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SUM(OSRRefP22_7x_0)</f>
        <v>0</v>
      </c>
      <c r="Q43" s="1"/>
      <c r="R43" s="5">
        <f t="shared" si="28"/>
        <v>0</v>
      </c>
      <c r="S43" s="1"/>
      <c r="T43" s="1">
        <f>SUM(OSRRefT22_7x_0)</f>
        <v>-0.23</v>
      </c>
      <c r="U43" s="1"/>
      <c r="V43" s="5">
        <f t="shared" si="29"/>
        <v>0</v>
      </c>
      <c r="W43" s="1"/>
      <c r="X43" s="1">
        <f t="shared" si="30"/>
        <v>0.23</v>
      </c>
      <c r="Y43" s="1"/>
      <c r="Z43" s="5">
        <f t="shared" si="31"/>
        <v>-1</v>
      </c>
    </row>
    <row r="44" spans="1:26" s="24" customFormat="1" hidden="1" outlineLevel="2" x14ac:dyDescent="0.25">
      <c r="A44" s="26"/>
      <c r="B44" s="11" t="str">
        <f>CONCATENATE("          ", "6273", " - ", "RENT")</f>
        <v xml:space="preserve">          6273 - RENT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-0.23</v>
      </c>
      <c r="U44" s="2"/>
      <c r="V44" s="7">
        <f t="shared" si="29"/>
        <v>0</v>
      </c>
      <c r="W44" s="2"/>
      <c r="X44" s="6">
        <f t="shared" si="30"/>
        <v>0.23</v>
      </c>
      <c r="Y44" s="2"/>
      <c r="Z44" s="7">
        <f t="shared" si="31"/>
        <v>-1</v>
      </c>
    </row>
    <row r="45" spans="1:26" s="27" customFormat="1" outlineLevel="1" collapsed="1" x14ac:dyDescent="0.25">
      <c r="A45" s="25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49.62</v>
      </c>
      <c r="U45" s="1"/>
      <c r="V45" s="5">
        <f t="shared" si="29"/>
        <v>0</v>
      </c>
      <c r="W45" s="1"/>
      <c r="X45" s="1">
        <f t="shared" si="30"/>
        <v>-49.62</v>
      </c>
      <c r="Y45" s="1"/>
      <c r="Z45" s="5">
        <f t="shared" si="31"/>
        <v>-1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/>
      <c r="Q46" s="2"/>
      <c r="R46" s="7">
        <f t="shared" si="28"/>
        <v>0</v>
      </c>
      <c r="S46" s="2"/>
      <c r="T46" s="6">
        <v>49.62</v>
      </c>
      <c r="U46" s="2"/>
      <c r="V46" s="7">
        <f t="shared" si="29"/>
        <v>0</v>
      </c>
      <c r="W46" s="2"/>
      <c r="X46" s="6">
        <f t="shared" si="30"/>
        <v>-49.62</v>
      </c>
      <c r="Y46" s="2"/>
      <c r="Z46" s="7">
        <f t="shared" si="31"/>
        <v>-1</v>
      </c>
    </row>
    <row r="47" spans="1:26" s="27" customFormat="1" outlineLevel="1" collapsed="1" x14ac:dyDescent="0.25">
      <c r="A47" s="25"/>
      <c r="B47" s="13" t="str">
        <f>CONCATENATE("     ","Services                                          ")</f>
        <v xml:space="preserve">     Services                                          </v>
      </c>
      <c r="C47" s="13"/>
      <c r="D47" s="1">
        <f>SUM(OSRRefD22_9x_0)</f>
        <v>0</v>
      </c>
      <c r="E47" s="1"/>
      <c r="F47" s="5">
        <f t="shared" si="24"/>
        <v>0</v>
      </c>
      <c r="G47" s="1"/>
      <c r="H47" s="1">
        <f>SUM(OSRRefH22_9x_0)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3"/>
      <c r="P47" s="1">
        <f>SUM(OSRRefP22_9x_0)</f>
        <v>0</v>
      </c>
      <c r="Q47" s="1"/>
      <c r="R47" s="5">
        <f t="shared" si="28"/>
        <v>0</v>
      </c>
      <c r="S47" s="1"/>
      <c r="T47" s="1">
        <f>SUM(OSRRefT22_9x_0)</f>
        <v>942.49</v>
      </c>
      <c r="U47" s="1"/>
      <c r="V47" s="5">
        <f t="shared" si="29"/>
        <v>0</v>
      </c>
      <c r="W47" s="1"/>
      <c r="X47" s="1">
        <f t="shared" si="30"/>
        <v>-942.49</v>
      </c>
      <c r="Y47" s="1"/>
      <c r="Z47" s="5">
        <f t="shared" si="31"/>
        <v>-1</v>
      </c>
    </row>
    <row r="48" spans="1:26" s="24" customFormat="1" hidden="1" outlineLevel="2" x14ac:dyDescent="0.25">
      <c r="A48" s="26"/>
      <c r="B48" s="11" t="str">
        <f>CONCATENATE("          ", "6282", " - ", "JANITORIAL/EXTERMINATOR EXPENS")</f>
        <v xml:space="preserve">          6282 - JANITORIAL/EXTERMINATOR EXPENS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124.5</v>
      </c>
      <c r="U48" s="2"/>
      <c r="V48" s="7">
        <f t="shared" si="29"/>
        <v>0</v>
      </c>
      <c r="W48" s="2"/>
      <c r="X48" s="6">
        <f t="shared" si="30"/>
        <v>-124.5</v>
      </c>
      <c r="Y48" s="2"/>
      <c r="Z48" s="7">
        <f t="shared" si="31"/>
        <v>-1</v>
      </c>
    </row>
    <row r="49" spans="1:26" s="24" customFormat="1" hidden="1" outlineLevel="2" x14ac:dyDescent="0.25">
      <c r="A49" s="26"/>
      <c r="B49" s="11" t="str">
        <f>CONCATENATE("          ", "6285", " - ", "JANITORIAL SERVICES")</f>
        <v xml:space="preserve">          6285 - JANITORIAL SERVICES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817.99</v>
      </c>
      <c r="U49" s="2"/>
      <c r="V49" s="7">
        <f t="shared" si="29"/>
        <v>0</v>
      </c>
      <c r="W49" s="2"/>
      <c r="X49" s="6">
        <f t="shared" si="30"/>
        <v>-817.99</v>
      </c>
      <c r="Y49" s="2"/>
      <c r="Z49" s="7">
        <f t="shared" si="31"/>
        <v>-1</v>
      </c>
    </row>
    <row r="50" spans="1:26" s="27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SUM(OSRRefD22_10x_0)</f>
        <v>0</v>
      </c>
      <c r="E50" s="1"/>
      <c r="F50" s="5">
        <f t="shared" ref="F50:F52" si="32">IF(D$12=0,0,D50/D$12)</f>
        <v>0</v>
      </c>
      <c r="G50" s="1"/>
      <c r="H50" s="1">
        <f>SUM(OSRRefH22_10x_0)</f>
        <v>0</v>
      </c>
      <c r="I50" s="1"/>
      <c r="J50" s="5">
        <f t="shared" ref="J50:J52" si="33">IF(H$12=0,0,H50/H$12)</f>
        <v>0</v>
      </c>
      <c r="K50" s="1"/>
      <c r="L50" s="1">
        <f t="shared" ref="L50:L52" si="34">+D50-H50</f>
        <v>0</v>
      </c>
      <c r="M50" s="1"/>
      <c r="N50" s="5">
        <f t="shared" ref="N50:N52" si="35">IF(H50=0,0,L50/H50)</f>
        <v>0</v>
      </c>
      <c r="O50" s="13"/>
      <c r="P50" s="1">
        <f>SUM(OSRRefP22_10x_0)</f>
        <v>0</v>
      </c>
      <c r="Q50" s="1"/>
      <c r="R50" s="5">
        <f t="shared" ref="R50:R52" si="36">IF(P$12=0,0,P50/P$12)</f>
        <v>0</v>
      </c>
      <c r="S50" s="1"/>
      <c r="T50" s="1">
        <f>SUM(OSRRefT22_10x_0)</f>
        <v>509.62</v>
      </c>
      <c r="U50" s="1"/>
      <c r="V50" s="5">
        <f t="shared" ref="V50:V52" si="37">IF(T$12=0,0,T50/T$12)</f>
        <v>0</v>
      </c>
      <c r="W50" s="1"/>
      <c r="X50" s="1">
        <f t="shared" ref="X50:X52" si="38">+P50-T50</f>
        <v>-509.62</v>
      </c>
      <c r="Y50" s="1"/>
      <c r="Z50" s="5">
        <f t="shared" ref="Z50:Z52" si="39">IF(T50=0,0,X50/T50)</f>
        <v>-1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32"/>
        <v>0</v>
      </c>
      <c r="G51" s="2"/>
      <c r="H51" s="6"/>
      <c r="I51" s="2"/>
      <c r="J51" s="7">
        <f t="shared" si="33"/>
        <v>0</v>
      </c>
      <c r="K51" s="2"/>
      <c r="L51" s="6">
        <f t="shared" si="34"/>
        <v>0</v>
      </c>
      <c r="M51" s="2"/>
      <c r="N51" s="7">
        <f t="shared" si="35"/>
        <v>0</v>
      </c>
      <c r="O51" s="11"/>
      <c r="P51" s="6"/>
      <c r="Q51" s="2"/>
      <c r="R51" s="7">
        <f t="shared" si="36"/>
        <v>0</v>
      </c>
      <c r="S51" s="2"/>
      <c r="T51" s="6">
        <v>510.22</v>
      </c>
      <c r="U51" s="2"/>
      <c r="V51" s="7">
        <f t="shared" si="37"/>
        <v>0</v>
      </c>
      <c r="W51" s="2"/>
      <c r="X51" s="6">
        <f t="shared" si="38"/>
        <v>-510.22</v>
      </c>
      <c r="Y51" s="2"/>
      <c r="Z51" s="7">
        <f t="shared" si="39"/>
        <v>-1</v>
      </c>
    </row>
    <row r="52" spans="1:26" s="24" customFormat="1" hidden="1" outlineLevel="2" x14ac:dyDescent="0.25">
      <c r="A52" s="26"/>
      <c r="B52" s="11" t="str">
        <f>CONCATENATE("          ", "6247", " - ", "STORE SUPPLIES")</f>
        <v xml:space="preserve">          6247 - STORE SUPPLIES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/>
      <c r="Q52" s="2"/>
      <c r="R52" s="7">
        <f t="shared" si="36"/>
        <v>0</v>
      </c>
      <c r="S52" s="2"/>
      <c r="T52" s="6">
        <v>-0.6</v>
      </c>
      <c r="U52" s="2"/>
      <c r="V52" s="7">
        <f t="shared" si="37"/>
        <v>0</v>
      </c>
      <c r="W52" s="2"/>
      <c r="X52" s="6">
        <f t="shared" si="38"/>
        <v>0.6</v>
      </c>
      <c r="Y52" s="2"/>
      <c r="Z52" s="7">
        <f t="shared" si="39"/>
        <v>-1</v>
      </c>
    </row>
    <row r="53" spans="1:26" s="27" customFormat="1" outlineLevel="1" collapsed="1" x14ac:dyDescent="0.25">
      <c r="A53" s="25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SUM(OSRRefD22_11x_0)</f>
        <v>0</v>
      </c>
      <c r="E53" s="1"/>
      <c r="F53" s="5">
        <f t="shared" ref="F53:F54" si="40">IF(D$12=0,0,D53/D$12)</f>
        <v>0</v>
      </c>
      <c r="G53" s="1"/>
      <c r="H53" s="1">
        <f>SUM(OSRRefH22_11x_0)</f>
        <v>0</v>
      </c>
      <c r="I53" s="1"/>
      <c r="J53" s="5">
        <f t="shared" ref="J53:J54" si="41">IF(H$12=0,0,H53/H$12)</f>
        <v>0</v>
      </c>
      <c r="K53" s="1"/>
      <c r="L53" s="1">
        <f t="shared" ref="L53:L54" si="42">+D53-H53</f>
        <v>0</v>
      </c>
      <c r="M53" s="1"/>
      <c r="N53" s="5">
        <f t="shared" ref="N53:N54" si="43">IF(H53=0,0,L53/H53)</f>
        <v>0</v>
      </c>
      <c r="O53" s="13"/>
      <c r="P53" s="1">
        <f>SUM(OSRRefP22_11x_0)</f>
        <v>0</v>
      </c>
      <c r="Q53" s="1"/>
      <c r="R53" s="5">
        <f t="shared" ref="R53:R54" si="44">IF(P$12=0,0,P53/P$12)</f>
        <v>0</v>
      </c>
      <c r="S53" s="1"/>
      <c r="T53" s="1">
        <f>SUM(OSRRefT22_11x_0)</f>
        <v>448.75</v>
      </c>
      <c r="U53" s="1"/>
      <c r="V53" s="5">
        <f t="shared" ref="V53:V54" si="45">IF(T$12=0,0,T53/T$12)</f>
        <v>0</v>
      </c>
      <c r="W53" s="1"/>
      <c r="X53" s="1">
        <f t="shared" ref="X53:X54" si="46">+P53-T53</f>
        <v>-448.75</v>
      </c>
      <c r="Y53" s="1"/>
      <c r="Z53" s="5">
        <f t="shared" ref="Z53:Z54" si="47">IF(T53=0,0,X53/T53)</f>
        <v>-1</v>
      </c>
    </row>
    <row r="54" spans="1:26" s="24" customFormat="1" hidden="1" outlineLevel="2" x14ac:dyDescent="0.25">
      <c r="A54" s="26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0</v>
      </c>
      <c r="M54" s="2"/>
      <c r="N54" s="7">
        <f t="shared" si="43"/>
        <v>0</v>
      </c>
      <c r="O54" s="11"/>
      <c r="P54" s="6"/>
      <c r="Q54" s="2"/>
      <c r="R54" s="7">
        <f t="shared" si="44"/>
        <v>0</v>
      </c>
      <c r="S54" s="2"/>
      <c r="T54" s="6">
        <v>448.75</v>
      </c>
      <c r="U54" s="2"/>
      <c r="V54" s="7">
        <f t="shared" si="45"/>
        <v>0</v>
      </c>
      <c r="W54" s="2"/>
      <c r="X54" s="6">
        <f t="shared" si="46"/>
        <v>-448.75</v>
      </c>
      <c r="Y54" s="2"/>
      <c r="Z54" s="7">
        <f t="shared" si="47"/>
        <v>-1</v>
      </c>
    </row>
    <row r="55" spans="1:26" s="58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3</v>
      </c>
      <c r="C58" s="29"/>
      <c r="D58" s="21">
        <f>+D16-D18+D56</f>
        <v>0</v>
      </c>
      <c r="E58" s="14"/>
      <c r="F58" s="20">
        <f>IF(D$12=0,0,D58/D$12)</f>
        <v>0</v>
      </c>
      <c r="G58" s="14"/>
      <c r="H58" s="21">
        <f>+H16-H18+H56</f>
        <v>0</v>
      </c>
      <c r="I58" s="14"/>
      <c r="J58" s="20">
        <f>IF(H$12=0,0,H58/H$12)</f>
        <v>0</v>
      </c>
      <c r="K58" s="16"/>
      <c r="L58" s="21">
        <f>+D58-H58</f>
        <v>0</v>
      </c>
      <c r="M58" s="16"/>
      <c r="N58" s="20">
        <f>IF(H58=0,0,L58/H58)</f>
        <v>0</v>
      </c>
      <c r="O58" s="28"/>
      <c r="P58" s="21">
        <f>+P16-P18+P56</f>
        <v>0</v>
      </c>
      <c r="Q58" s="14"/>
      <c r="R58" s="20">
        <f>IF(P$12=0,0,P58/P$12)</f>
        <v>0</v>
      </c>
      <c r="S58" s="14"/>
      <c r="T58" s="21">
        <f>+T16-T18+T56</f>
        <v>-51518.139999999992</v>
      </c>
      <c r="U58" s="14"/>
      <c r="V58" s="20">
        <f>IF(T$12=0,0,T58/T$12)</f>
        <v>0</v>
      </c>
      <c r="W58" s="16"/>
      <c r="X58" s="21">
        <f>+P58-T58</f>
        <v>51518.139999999992</v>
      </c>
      <c r="Y58" s="16"/>
      <c r="Z58" s="20">
        <f>IF(T58=0,0,X58/T58)</f>
        <v>-1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4</v>
      </c>
      <c r="C62" s="29"/>
      <c r="D62" s="35">
        <f>+D58-D60</f>
        <v>0</v>
      </c>
      <c r="E62" s="14"/>
      <c r="F62" s="32">
        <f>IF(D$12=0,0,D62/D$12)</f>
        <v>0</v>
      </c>
      <c r="G62" s="14"/>
      <c r="H62" s="35">
        <f>+H58-H60</f>
        <v>0</v>
      </c>
      <c r="I62" s="14"/>
      <c r="J62" s="32">
        <f>IF(H$12=0,0,H62/H$12)</f>
        <v>0</v>
      </c>
      <c r="K62" s="16"/>
      <c r="L62" s="35">
        <f>D62-H62</f>
        <v>0</v>
      </c>
      <c r="M62" s="16"/>
      <c r="N62" s="32">
        <f>IF(H62=0,0,L62/H62)</f>
        <v>0</v>
      </c>
      <c r="O62" s="28"/>
      <c r="P62" s="35">
        <f>+P58-P60</f>
        <v>0</v>
      </c>
      <c r="Q62" s="14"/>
      <c r="R62" s="32">
        <f>IF(P$12=0,0,P62/P$12)</f>
        <v>0</v>
      </c>
      <c r="S62" s="14"/>
      <c r="T62" s="35">
        <f>+T58-T60</f>
        <v>-51518.139999999992</v>
      </c>
      <c r="U62" s="14"/>
      <c r="V62" s="32">
        <f>IF(T$12=0,0,T62/T$12)</f>
        <v>0</v>
      </c>
      <c r="W62" s="16"/>
      <c r="X62" s="35">
        <f>P62-T62</f>
        <v>51518.139999999992</v>
      </c>
      <c r="Y62" s="16"/>
      <c r="Z62" s="32">
        <f>IF(T62=0,0,X62/T62)</f>
        <v>-1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5</v>
      </c>
      <c r="C65" s="29"/>
      <c r="D65" s="36">
        <f>SUM(D62:D64)</f>
        <v>0</v>
      </c>
      <c r="E65" s="14"/>
      <c r="F65" s="33">
        <f>IF(D$12=0,0,D65/D$12)</f>
        <v>0</v>
      </c>
      <c r="G65" s="14"/>
      <c r="H65" s="36">
        <f>SUM(H62:H64)</f>
        <v>0</v>
      </c>
      <c r="I65" s="14"/>
      <c r="J65" s="33">
        <f>IF(H$12=0,0,H65/H$12)</f>
        <v>0</v>
      </c>
      <c r="K65" s="16"/>
      <c r="L65" s="36">
        <f>+D65-H65</f>
        <v>0</v>
      </c>
      <c r="M65" s="16"/>
      <c r="N65" s="33">
        <f>IF(H65=0,0,L65/H65)</f>
        <v>0</v>
      </c>
      <c r="O65" s="28"/>
      <c r="P65" s="36">
        <f>SUM(P62:P64)</f>
        <v>0</v>
      </c>
      <c r="Q65" s="14"/>
      <c r="R65" s="33">
        <f>IF(P$12=0,0,P65/P$12)</f>
        <v>0</v>
      </c>
      <c r="S65" s="14"/>
      <c r="T65" s="36">
        <f>SUM(T62:T64)</f>
        <v>-51518.139999999992</v>
      </c>
      <c r="U65" s="14"/>
      <c r="V65" s="33">
        <f>IF(T$12=0,0,T65/T$12)</f>
        <v>0</v>
      </c>
      <c r="W65" s="16"/>
      <c r="X65" s="36">
        <f>+P65-T65</f>
        <v>51518.139999999992</v>
      </c>
      <c r="Y65" s="16"/>
      <c r="Z65" s="33">
        <f>IF(T65=0,0,X65/T65)</f>
        <v>-1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25">
      <c r="A67" s="9"/>
      <c r="B67" s="55">
        <v>43992.375429976855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62" t="s">
        <v>313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3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","314", " - ", "Tech/Supplies")</f>
        <v>Department 314 - Tech/Supplies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6982.2300000000014</v>
      </c>
      <c r="E12" s="4"/>
      <c r="F12" s="12"/>
      <c r="G12" s="4"/>
      <c r="H12" s="4">
        <f>SUM(OSRRefH13x_0)</f>
        <v>28953.58</v>
      </c>
      <c r="I12" s="4"/>
      <c r="J12" s="12"/>
      <c r="K12" s="4"/>
      <c r="L12" s="4">
        <f t="shared" ref="L12:L33" si="0">+D12-H12</f>
        <v>-21971.35</v>
      </c>
      <c r="M12" s="4"/>
      <c r="N12" s="12">
        <f t="shared" ref="N12:N33" si="1">IF(H12=0,0,L12/H12)</f>
        <v>-0.75884743786433306</v>
      </c>
      <c r="O12" s="10"/>
      <c r="P12" s="4">
        <f>SUM(OSRRefP13x_0)</f>
        <v>411132.75000000006</v>
      </c>
      <c r="Q12" s="4"/>
      <c r="R12" s="12"/>
      <c r="S12" s="4"/>
      <c r="T12" s="4">
        <f>SUM(OSRRefT13x_0)</f>
        <v>451625.60999999993</v>
      </c>
      <c r="U12" s="4"/>
      <c r="V12" s="12"/>
      <c r="W12" s="4"/>
      <c r="X12" s="4">
        <f t="shared" ref="X12:X33" si="2">+P12-T12</f>
        <v>-40492.85999999987</v>
      </c>
      <c r="Y12" s="4"/>
      <c r="Z12" s="12">
        <f t="shared" ref="Z12:Z33" si="3">IF(T12=0,0,X12/T12)</f>
        <v>-8.9660238709669007E-2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14" si="4">0</f>
        <v>0</v>
      </c>
      <c r="E13" s="2"/>
      <c r="F13" s="19"/>
      <c r="G13" s="2"/>
      <c r="H13" s="2">
        <f>--44.93</f>
        <v>44.93</v>
      </c>
      <c r="I13" s="2"/>
      <c r="J13" s="19"/>
      <c r="K13" s="2"/>
      <c r="L13" s="2">
        <f t="shared" si="0"/>
        <v>-44.93</v>
      </c>
      <c r="M13" s="2"/>
      <c r="N13" s="19">
        <f t="shared" si="1"/>
        <v>-1</v>
      </c>
      <c r="O13" s="11"/>
      <c r="P13" s="2">
        <f>--276.15</f>
        <v>276.14999999999998</v>
      </c>
      <c r="Q13" s="2"/>
      <c r="R13" s="19"/>
      <c r="S13" s="2"/>
      <c r="T13" s="2">
        <f>--762.54</f>
        <v>762.54</v>
      </c>
      <c r="U13" s="2"/>
      <c r="V13" s="19"/>
      <c r="W13" s="2"/>
      <c r="X13" s="2">
        <f t="shared" si="2"/>
        <v>-486.39</v>
      </c>
      <c r="Y13" s="2"/>
      <c r="Z13" s="19">
        <f t="shared" si="3"/>
        <v>-0.63785506334093955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--14.95</f>
        <v>14.95</v>
      </c>
      <c r="I14" s="2"/>
      <c r="J14" s="19"/>
      <c r="K14" s="2"/>
      <c r="L14" s="2">
        <f t="shared" si="0"/>
        <v>-14.95</v>
      </c>
      <c r="M14" s="2"/>
      <c r="N14" s="19">
        <f t="shared" si="1"/>
        <v>-1</v>
      </c>
      <c r="O14" s="11"/>
      <c r="P14" s="2">
        <f>--42.85</f>
        <v>42.85</v>
      </c>
      <c r="Q14" s="2"/>
      <c r="R14" s="19"/>
      <c r="S14" s="2"/>
      <c r="T14" s="2">
        <f>--35.5</f>
        <v>35.5</v>
      </c>
      <c r="U14" s="2"/>
      <c r="V14" s="19"/>
      <c r="W14" s="2"/>
      <c r="X14" s="2">
        <f t="shared" si="2"/>
        <v>7.3500000000000014</v>
      </c>
      <c r="Y14" s="2"/>
      <c r="Z14" s="19">
        <f t="shared" si="3"/>
        <v>0.20704225352112679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--17.25</f>
        <v>17.25</v>
      </c>
      <c r="E15" s="2"/>
      <c r="F15" s="19"/>
      <c r="G15" s="2"/>
      <c r="H15" s="2">
        <f>--3263.92</f>
        <v>3263.92</v>
      </c>
      <c r="I15" s="2"/>
      <c r="J15" s="19"/>
      <c r="K15" s="2"/>
      <c r="L15" s="2">
        <f t="shared" si="0"/>
        <v>-3246.67</v>
      </c>
      <c r="M15" s="2"/>
      <c r="N15" s="19">
        <f t="shared" si="1"/>
        <v>-0.99471494399372529</v>
      </c>
      <c r="O15" s="11"/>
      <c r="P15" s="2">
        <f>--52443.55</f>
        <v>52443.55</v>
      </c>
      <c r="Q15" s="2"/>
      <c r="R15" s="19"/>
      <c r="S15" s="2"/>
      <c r="T15" s="2">
        <f>--57266.04</f>
        <v>57266.04</v>
      </c>
      <c r="U15" s="2"/>
      <c r="V15" s="19"/>
      <c r="W15" s="2"/>
      <c r="X15" s="2">
        <f t="shared" si="2"/>
        <v>-4822.489999999998</v>
      </c>
      <c r="Y15" s="2"/>
      <c r="Z15" s="19">
        <f t="shared" si="3"/>
        <v>-8.4212039107296369E-2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--859.78</f>
        <v>859.78</v>
      </c>
      <c r="E16" s="2"/>
      <c r="F16" s="19"/>
      <c r="G16" s="2"/>
      <c r="H16" s="2">
        <f>--6251.81</f>
        <v>6251.81</v>
      </c>
      <c r="I16" s="2"/>
      <c r="J16" s="19"/>
      <c r="K16" s="2"/>
      <c r="L16" s="2">
        <f t="shared" si="0"/>
        <v>-5392.0300000000007</v>
      </c>
      <c r="M16" s="2"/>
      <c r="N16" s="19">
        <f t="shared" si="1"/>
        <v>-0.86247502723211367</v>
      </c>
      <c r="O16" s="11"/>
      <c r="P16" s="2">
        <f>--73916.6</f>
        <v>73916.600000000006</v>
      </c>
      <c r="Q16" s="2"/>
      <c r="R16" s="19"/>
      <c r="S16" s="2"/>
      <c r="T16" s="2">
        <f>--74826.22</f>
        <v>74826.22</v>
      </c>
      <c r="U16" s="2"/>
      <c r="V16" s="19"/>
      <c r="W16" s="2"/>
      <c r="X16" s="2">
        <f t="shared" si="2"/>
        <v>-909.61999999999534</v>
      </c>
      <c r="Y16" s="2"/>
      <c r="Z16" s="19">
        <f t="shared" si="3"/>
        <v>-1.2156433934521821E-2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--5530.51</f>
        <v>5530.51</v>
      </c>
      <c r="E17" s="2"/>
      <c r="F17" s="19"/>
      <c r="G17" s="2"/>
      <c r="H17" s="2">
        <f>--14538.43</f>
        <v>14538.43</v>
      </c>
      <c r="I17" s="2"/>
      <c r="J17" s="19"/>
      <c r="K17" s="2"/>
      <c r="L17" s="2">
        <f t="shared" si="0"/>
        <v>-9007.92</v>
      </c>
      <c r="M17" s="2"/>
      <c r="N17" s="19">
        <f t="shared" si="1"/>
        <v>-0.61959372504458876</v>
      </c>
      <c r="O17" s="11"/>
      <c r="P17" s="2">
        <f>--267384.35</f>
        <v>267384.34999999998</v>
      </c>
      <c r="Q17" s="2"/>
      <c r="R17" s="19"/>
      <c r="S17" s="2"/>
      <c r="T17" s="2">
        <f>--284751.86</f>
        <v>284751.86</v>
      </c>
      <c r="U17" s="2"/>
      <c r="V17" s="19"/>
      <c r="W17" s="2"/>
      <c r="X17" s="2">
        <f t="shared" si="2"/>
        <v>-17367.510000000009</v>
      </c>
      <c r="Y17" s="2"/>
      <c r="Z17" s="19">
        <f t="shared" si="3"/>
        <v>-6.0991735049597255E-2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--425.18</f>
        <v>425.18</v>
      </c>
      <c r="E18" s="2"/>
      <c r="F18" s="19"/>
      <c r="G18" s="2"/>
      <c r="H18" s="2">
        <f>--1745.83</f>
        <v>1745.83</v>
      </c>
      <c r="I18" s="2"/>
      <c r="J18" s="19"/>
      <c r="K18" s="2"/>
      <c r="L18" s="2">
        <f t="shared" si="0"/>
        <v>-1320.6499999999999</v>
      </c>
      <c r="M18" s="2"/>
      <c r="N18" s="19">
        <f t="shared" si="1"/>
        <v>-0.75645967820463611</v>
      </c>
      <c r="O18" s="11"/>
      <c r="P18" s="2">
        <f>--12697.33</f>
        <v>12697.33</v>
      </c>
      <c r="Q18" s="2"/>
      <c r="R18" s="19"/>
      <c r="S18" s="2"/>
      <c r="T18" s="2">
        <f>--16050.6</f>
        <v>16050.6</v>
      </c>
      <c r="U18" s="2"/>
      <c r="V18" s="19"/>
      <c r="W18" s="2"/>
      <c r="X18" s="2">
        <f t="shared" si="2"/>
        <v>-3353.2700000000004</v>
      </c>
      <c r="Y18" s="2"/>
      <c r="Z18" s="19">
        <f t="shared" si="3"/>
        <v>-0.20891866970705147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ref="D19:D20" si="5">0</f>
        <v>0</v>
      </c>
      <c r="E19" s="2"/>
      <c r="F19" s="19"/>
      <c r="G19" s="2"/>
      <c r="H19" s="2">
        <f>--7.89</f>
        <v>7.89</v>
      </c>
      <c r="I19" s="2"/>
      <c r="J19" s="19"/>
      <c r="K19" s="2"/>
      <c r="L19" s="2">
        <f t="shared" si="0"/>
        <v>-7.89</v>
      </c>
      <c r="M19" s="2"/>
      <c r="N19" s="19">
        <f t="shared" si="1"/>
        <v>-1</v>
      </c>
      <c r="O19" s="11"/>
      <c r="P19" s="2">
        <f>--20.15</f>
        <v>20.149999999999999</v>
      </c>
      <c r="Q19" s="2"/>
      <c r="R19" s="19"/>
      <c r="S19" s="2"/>
      <c r="T19" s="2">
        <f>--423.22</f>
        <v>423.22</v>
      </c>
      <c r="U19" s="2"/>
      <c r="V19" s="19"/>
      <c r="W19" s="2"/>
      <c r="X19" s="2">
        <f t="shared" si="2"/>
        <v>-403.07000000000005</v>
      </c>
      <c r="Y19" s="2"/>
      <c r="Z19" s="19">
        <f t="shared" si="3"/>
        <v>-0.95238882850526918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5"/>
        <v>0</v>
      </c>
      <c r="E20" s="2"/>
      <c r="F20" s="19"/>
      <c r="G20" s="2"/>
      <c r="H20" s="2">
        <f>--13.02</f>
        <v>13.02</v>
      </c>
      <c r="I20" s="2"/>
      <c r="J20" s="19"/>
      <c r="K20" s="2"/>
      <c r="L20" s="2">
        <f t="shared" si="0"/>
        <v>-13.02</v>
      </c>
      <c r="M20" s="2"/>
      <c r="N20" s="19">
        <f t="shared" si="1"/>
        <v>-1</v>
      </c>
      <c r="O20" s="11"/>
      <c r="P20" s="2">
        <f>--267.61</f>
        <v>267.61</v>
      </c>
      <c r="Q20" s="2"/>
      <c r="R20" s="19"/>
      <c r="S20" s="2"/>
      <c r="T20" s="2">
        <f>--318.21</f>
        <v>318.20999999999998</v>
      </c>
      <c r="U20" s="2"/>
      <c r="V20" s="19"/>
      <c r="W20" s="2"/>
      <c r="X20" s="2">
        <f t="shared" si="2"/>
        <v>-50.599999999999966</v>
      </c>
      <c r="Y20" s="2"/>
      <c r="Z20" s="19">
        <f t="shared" si="3"/>
        <v>-0.15901448728826867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--110.56</f>
        <v>110.56</v>
      </c>
      <c r="E21" s="2"/>
      <c r="F21" s="19"/>
      <c r="G21" s="2"/>
      <c r="H21" s="2">
        <f>--352.38</f>
        <v>352.38</v>
      </c>
      <c r="I21" s="2"/>
      <c r="J21" s="19"/>
      <c r="K21" s="2"/>
      <c r="L21" s="2">
        <f t="shared" si="0"/>
        <v>-241.82</v>
      </c>
      <c r="M21" s="2"/>
      <c r="N21" s="19">
        <f t="shared" si="1"/>
        <v>-0.68624780066973157</v>
      </c>
      <c r="O21" s="11"/>
      <c r="P21" s="2">
        <f>--3130.93</f>
        <v>3130.93</v>
      </c>
      <c r="Q21" s="2"/>
      <c r="R21" s="19"/>
      <c r="S21" s="2"/>
      <c r="T21" s="2">
        <f>--4002.96</f>
        <v>4002.96</v>
      </c>
      <c r="U21" s="2"/>
      <c r="V21" s="19"/>
      <c r="W21" s="2"/>
      <c r="X21" s="2">
        <f t="shared" si="2"/>
        <v>-872.0300000000002</v>
      </c>
      <c r="Y21" s="2"/>
      <c r="Z21" s="19">
        <f t="shared" si="3"/>
        <v>-0.21784629374263051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--226.84</f>
        <v>226.84</v>
      </c>
      <c r="E22" s="2"/>
      <c r="F22" s="19"/>
      <c r="G22" s="2"/>
      <c r="H22" s="2">
        <f>--213.9</f>
        <v>213.9</v>
      </c>
      <c r="I22" s="2"/>
      <c r="J22" s="19"/>
      <c r="K22" s="2"/>
      <c r="L22" s="2">
        <f t="shared" si="0"/>
        <v>12.939999999999998</v>
      </c>
      <c r="M22" s="2"/>
      <c r="N22" s="19">
        <f t="shared" si="1"/>
        <v>6.0495558672276753E-2</v>
      </c>
      <c r="O22" s="11"/>
      <c r="P22" s="2">
        <f>--6357.26</f>
        <v>6357.26</v>
      </c>
      <c r="Q22" s="2"/>
      <c r="R22" s="19"/>
      <c r="S22" s="2"/>
      <c r="T22" s="2">
        <f>--12518.66</f>
        <v>12518.66</v>
      </c>
      <c r="U22" s="2"/>
      <c r="V22" s="19"/>
      <c r="W22" s="2"/>
      <c r="X22" s="2">
        <f t="shared" si="2"/>
        <v>-6161.4</v>
      </c>
      <c r="Y22" s="2"/>
      <c r="Z22" s="19">
        <f t="shared" si="3"/>
        <v>-0.49217727775976022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0</f>
        <v>0</v>
      </c>
      <c r="E23" s="2"/>
      <c r="F23" s="19"/>
      <c r="G23" s="2"/>
      <c r="H23" s="2">
        <f>--25.14</f>
        <v>25.14</v>
      </c>
      <c r="I23" s="2"/>
      <c r="J23" s="19"/>
      <c r="K23" s="2"/>
      <c r="L23" s="2">
        <f t="shared" si="0"/>
        <v>-25.14</v>
      </c>
      <c r="M23" s="2"/>
      <c r="N23" s="19">
        <f t="shared" si="1"/>
        <v>-1</v>
      </c>
      <c r="O23" s="11"/>
      <c r="P23" s="2">
        <f>--488.53</f>
        <v>488.53</v>
      </c>
      <c r="Q23" s="2"/>
      <c r="R23" s="19"/>
      <c r="S23" s="2"/>
      <c r="T23" s="2">
        <f>--566.1</f>
        <v>566.1</v>
      </c>
      <c r="U23" s="2"/>
      <c r="V23" s="19"/>
      <c r="W23" s="2"/>
      <c r="X23" s="2">
        <f t="shared" si="2"/>
        <v>-77.57000000000005</v>
      </c>
      <c r="Y23" s="2"/>
      <c r="Z23" s="19">
        <f t="shared" si="3"/>
        <v>-0.1370252605546724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--6.16</f>
        <v>6.16</v>
      </c>
      <c r="E24" s="2"/>
      <c r="F24" s="19"/>
      <c r="G24" s="2"/>
      <c r="H24" s="2">
        <f>--142.73</f>
        <v>142.72999999999999</v>
      </c>
      <c r="I24" s="2"/>
      <c r="J24" s="19"/>
      <c r="K24" s="2"/>
      <c r="L24" s="2">
        <f t="shared" si="0"/>
        <v>-136.57</v>
      </c>
      <c r="M24" s="2"/>
      <c r="N24" s="19">
        <f t="shared" si="1"/>
        <v>-0.95684158901422267</v>
      </c>
      <c r="O24" s="11"/>
      <c r="P24" s="2">
        <f>--1583.56</f>
        <v>1583.56</v>
      </c>
      <c r="Q24" s="2"/>
      <c r="R24" s="19"/>
      <c r="S24" s="2"/>
      <c r="T24" s="2">
        <f>--1790.07</f>
        <v>1790.07</v>
      </c>
      <c r="U24" s="2"/>
      <c r="V24" s="19"/>
      <c r="W24" s="2"/>
      <c r="X24" s="2">
        <f t="shared" si="2"/>
        <v>-206.51</v>
      </c>
      <c r="Y24" s="2"/>
      <c r="Z24" s="19">
        <f t="shared" si="3"/>
        <v>-0.11536420363449473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--48.27</f>
        <v>48.27</v>
      </c>
      <c r="E25" s="2"/>
      <c r="F25" s="19"/>
      <c r="G25" s="2"/>
      <c r="H25" s="2">
        <f>--2711.34</f>
        <v>2711.34</v>
      </c>
      <c r="I25" s="2"/>
      <c r="J25" s="19"/>
      <c r="K25" s="2"/>
      <c r="L25" s="2">
        <f t="shared" si="0"/>
        <v>-2663.07</v>
      </c>
      <c r="M25" s="2"/>
      <c r="N25" s="19">
        <f t="shared" si="1"/>
        <v>-0.9821969948438779</v>
      </c>
      <c r="O25" s="11"/>
      <c r="P25" s="2">
        <f>--2312.89</f>
        <v>2312.89</v>
      </c>
      <c r="Q25" s="2"/>
      <c r="R25" s="19"/>
      <c r="S25" s="2"/>
      <c r="T25" s="2">
        <f>--5832.48</f>
        <v>5832.48</v>
      </c>
      <c r="U25" s="2"/>
      <c r="V25" s="19"/>
      <c r="W25" s="2"/>
      <c r="X25" s="2">
        <f t="shared" si="2"/>
        <v>-3519.5899999999997</v>
      </c>
      <c r="Y25" s="2"/>
      <c r="Z25" s="19">
        <f t="shared" si="3"/>
        <v>-0.60344656132554242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6">0</f>
        <v>0</v>
      </c>
      <c r="E26" s="2"/>
      <c r="F26" s="19"/>
      <c r="G26" s="2"/>
      <c r="H26" s="2">
        <f>--3.59</f>
        <v>3.59</v>
      </c>
      <c r="I26" s="2"/>
      <c r="J26" s="19"/>
      <c r="K26" s="2"/>
      <c r="L26" s="2">
        <f t="shared" si="0"/>
        <v>-3.59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--200.42</f>
        <v>200.42</v>
      </c>
      <c r="U26" s="2"/>
      <c r="V26" s="19"/>
      <c r="W26" s="2"/>
      <c r="X26" s="2">
        <f t="shared" si="2"/>
        <v>-150.26</v>
      </c>
      <c r="Y26" s="2"/>
      <c r="Z26" s="19">
        <f t="shared" si="3"/>
        <v>-0.74972557628979142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6"/>
        <v>0</v>
      </c>
      <c r="E27" s="2"/>
      <c r="F27" s="19"/>
      <c r="G27" s="2"/>
      <c r="H27" s="2">
        <f>-1.49</f>
        <v>-1.49</v>
      </c>
      <c r="I27" s="2"/>
      <c r="J27" s="19"/>
      <c r="K27" s="2"/>
      <c r="L27" s="2">
        <f t="shared" si="0"/>
        <v>1.49</v>
      </c>
      <c r="M27" s="2"/>
      <c r="N27" s="19">
        <f t="shared" si="1"/>
        <v>-1</v>
      </c>
      <c r="O27" s="11"/>
      <c r="P27" s="2">
        <f>-2.98</f>
        <v>-2.98</v>
      </c>
      <c r="Q27" s="2"/>
      <c r="R27" s="19"/>
      <c r="S27" s="2"/>
      <c r="T27" s="2">
        <f>-2.99</f>
        <v>-2.99</v>
      </c>
      <c r="U27" s="2"/>
      <c r="V27" s="19"/>
      <c r="W27" s="2"/>
      <c r="X27" s="2">
        <f t="shared" si="2"/>
        <v>1.0000000000000231E-2</v>
      </c>
      <c r="Y27" s="2"/>
      <c r="Z27" s="19">
        <f t="shared" si="3"/>
        <v>-3.3444816053512477E-3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-29.5</f>
        <v>-29.5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-29.5</v>
      </c>
      <c r="M28" s="2"/>
      <c r="N28" s="19">
        <f t="shared" si="1"/>
        <v>0</v>
      </c>
      <c r="O28" s="11"/>
      <c r="P28" s="2">
        <f>-170.78</f>
        <v>-170.78</v>
      </c>
      <c r="Q28" s="2"/>
      <c r="R28" s="19"/>
      <c r="S28" s="2"/>
      <c r="T28" s="2">
        <f>-187.82</f>
        <v>-187.82</v>
      </c>
      <c r="U28" s="2"/>
      <c r="V28" s="19"/>
      <c r="W28" s="2"/>
      <c r="X28" s="2">
        <f t="shared" si="2"/>
        <v>17.039999999999992</v>
      </c>
      <c r="Y28" s="2"/>
      <c r="Z28" s="19">
        <f t="shared" si="3"/>
        <v>-9.0725162389521843E-2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-159.4</f>
        <v>-159.4</v>
      </c>
      <c r="E29" s="2"/>
      <c r="F29" s="19"/>
      <c r="G29" s="2"/>
      <c r="H29" s="2">
        <f>-51.46</f>
        <v>-51.46</v>
      </c>
      <c r="I29" s="2"/>
      <c r="J29" s="19"/>
      <c r="K29" s="2"/>
      <c r="L29" s="2">
        <f t="shared" si="0"/>
        <v>-107.94</v>
      </c>
      <c r="M29" s="2"/>
      <c r="N29" s="19">
        <f t="shared" si="1"/>
        <v>2.0975514963078119</v>
      </c>
      <c r="O29" s="11"/>
      <c r="P29" s="2">
        <f>-778.59</f>
        <v>-778.59</v>
      </c>
      <c r="Q29" s="2"/>
      <c r="R29" s="19"/>
      <c r="S29" s="2"/>
      <c r="T29" s="2">
        <f>-643.63</f>
        <v>-643.63</v>
      </c>
      <c r="U29" s="2"/>
      <c r="V29" s="19"/>
      <c r="W29" s="2"/>
      <c r="X29" s="2">
        <f t="shared" si="2"/>
        <v>-134.96000000000004</v>
      </c>
      <c r="Y29" s="2"/>
      <c r="Z29" s="19">
        <f t="shared" si="3"/>
        <v>0.20968568898280074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-53.42</f>
        <v>-53.42</v>
      </c>
      <c r="E30" s="2"/>
      <c r="F30" s="19"/>
      <c r="G30" s="2"/>
      <c r="H30" s="2">
        <f>-313.65</f>
        <v>-313.64999999999998</v>
      </c>
      <c r="I30" s="2"/>
      <c r="J30" s="19"/>
      <c r="K30" s="2"/>
      <c r="L30" s="2">
        <f t="shared" si="0"/>
        <v>260.22999999999996</v>
      </c>
      <c r="M30" s="2"/>
      <c r="N30" s="19">
        <f t="shared" si="1"/>
        <v>-0.82968276741590941</v>
      </c>
      <c r="O30" s="11"/>
      <c r="P30" s="2">
        <f>-8604.97</f>
        <v>-8604.9699999999993</v>
      </c>
      <c r="Q30" s="2"/>
      <c r="R30" s="19"/>
      <c r="S30" s="2"/>
      <c r="T30" s="2">
        <f>-6734.32</f>
        <v>-6734.32</v>
      </c>
      <c r="U30" s="2"/>
      <c r="V30" s="19"/>
      <c r="W30" s="2"/>
      <c r="X30" s="2">
        <f t="shared" si="2"/>
        <v>-1870.6499999999996</v>
      </c>
      <c r="Y30" s="2"/>
      <c r="Z30" s="19">
        <f t="shared" si="3"/>
        <v>0.27777860273940053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ref="D31:D33" si="7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-259.98</f>
        <v>-259.98</v>
      </c>
      <c r="Q31" s="2"/>
      <c r="R31" s="19"/>
      <c r="S31" s="2"/>
      <c r="T31" s="2">
        <f>-117.29</f>
        <v>-117.29</v>
      </c>
      <c r="U31" s="2"/>
      <c r="V31" s="19"/>
      <c r="W31" s="2"/>
      <c r="X31" s="2">
        <f t="shared" si="2"/>
        <v>-142.69</v>
      </c>
      <c r="Y31" s="2"/>
      <c r="Z31" s="19">
        <f t="shared" si="3"/>
        <v>1.2165572512575666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si="7"/>
        <v>0</v>
      </c>
      <c r="E32" s="2"/>
      <c r="F32" s="19"/>
      <c r="G32" s="2"/>
      <c r="H32" s="2">
        <f>-9.68</f>
        <v>-9.68</v>
      </c>
      <c r="I32" s="2"/>
      <c r="J32" s="19"/>
      <c r="K32" s="2"/>
      <c r="L32" s="2">
        <f t="shared" si="0"/>
        <v>9.68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-28.23</f>
        <v>-28.23</v>
      </c>
      <c r="U32" s="2"/>
      <c r="V32" s="19"/>
      <c r="W32" s="2"/>
      <c r="X32" s="2">
        <f t="shared" si="2"/>
        <v>28.23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7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-4.99</f>
        <v>-4.99</v>
      </c>
      <c r="U33" s="2"/>
      <c r="V33" s="19"/>
      <c r="W33" s="2"/>
      <c r="X33" s="2">
        <f t="shared" si="2"/>
        <v>-16.880000000000003</v>
      </c>
      <c r="Y33" s="2"/>
      <c r="Z33" s="19">
        <f t="shared" si="3"/>
        <v>3.3827655310621245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6103.1799999999994</v>
      </c>
      <c r="E35" s="4"/>
      <c r="F35" s="12">
        <f t="shared" ref="F35:F50" si="8">IF(D$12=0,0,D35/D$12)</f>
        <v>0.87410182706671047</v>
      </c>
      <c r="G35" s="4"/>
      <c r="H35" s="4">
        <f>SUM(OSRRefH16x_0)</f>
        <v>14730.529999999997</v>
      </c>
      <c r="I35" s="4"/>
      <c r="J35" s="12">
        <f t="shared" ref="J35:J50" si="9">IF(H$12=0,0,H35/H$12)</f>
        <v>0.50876368310930797</v>
      </c>
      <c r="K35" s="4"/>
      <c r="L35" s="4">
        <f t="shared" ref="L35:L50" si="10">+D35-H35</f>
        <v>-8627.3499999999985</v>
      </c>
      <c r="M35" s="4"/>
      <c r="N35" s="12">
        <f t="shared" ref="N35:N50" si="11">IF(H35=0,0,L35/H35)</f>
        <v>-0.58567817994328786</v>
      </c>
      <c r="O35" s="10"/>
      <c r="P35" s="4">
        <f>SUM(OSRRefP16x_0)</f>
        <v>198323.69</v>
      </c>
      <c r="Q35" s="4"/>
      <c r="R35" s="12">
        <f t="shared" ref="R35:R50" si="12">IF(P$12=0,0,P35/P$12)</f>
        <v>0.48238358535047371</v>
      </c>
      <c r="S35" s="4"/>
      <c r="T35" s="4">
        <f>SUM(OSRRefT16x_0)</f>
        <v>227404.36999999997</v>
      </c>
      <c r="U35" s="4"/>
      <c r="V35" s="12">
        <f t="shared" ref="V35:V50" si="13">IF(T$12=0,0,T35/T$12)</f>
        <v>0.50352408048781827</v>
      </c>
      <c r="W35" s="4"/>
      <c r="X35" s="4">
        <f t="shared" ref="X35:X50" si="14">+P35-T35</f>
        <v>-29080.679999999964</v>
      </c>
      <c r="Y35" s="4"/>
      <c r="Z35" s="12">
        <f t="shared" ref="Z35:Z50" si="15">IF(T35=0,0,X35/T35)</f>
        <v>-0.12788091979059141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8"/>
        <v>0</v>
      </c>
      <c r="G36" s="2"/>
      <c r="H36" s="2"/>
      <c r="I36" s="2"/>
      <c r="J36" s="19">
        <f t="shared" si="9"/>
        <v>0</v>
      </c>
      <c r="K36" s="2"/>
      <c r="L36" s="2">
        <f t="shared" si="10"/>
        <v>0</v>
      </c>
      <c r="M36" s="2"/>
      <c r="N36" s="19">
        <f t="shared" si="11"/>
        <v>0</v>
      </c>
      <c r="O36" s="11"/>
      <c r="P36" s="2">
        <v>14.46</v>
      </c>
      <c r="Q36" s="2"/>
      <c r="R36" s="19">
        <f t="shared" si="12"/>
        <v>3.5171121736227529E-5</v>
      </c>
      <c r="S36" s="2"/>
      <c r="T36" s="2">
        <v>239.9</v>
      </c>
      <c r="U36" s="2"/>
      <c r="V36" s="19">
        <f t="shared" si="13"/>
        <v>5.3119219700583416E-4</v>
      </c>
      <c r="W36" s="2"/>
      <c r="X36" s="2">
        <f t="shared" si="14"/>
        <v>-225.44</v>
      </c>
      <c r="Y36" s="2"/>
      <c r="Z36" s="19">
        <f t="shared" si="15"/>
        <v>-0.93972488536890364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8"/>
        <v>0</v>
      </c>
      <c r="G37" s="2"/>
      <c r="H37" s="2">
        <v>1711.75</v>
      </c>
      <c r="I37" s="2"/>
      <c r="J37" s="19">
        <f t="shared" si="9"/>
        <v>5.9120495634736703E-2</v>
      </c>
      <c r="K37" s="2"/>
      <c r="L37" s="2">
        <f t="shared" si="10"/>
        <v>-1711.75</v>
      </c>
      <c r="M37" s="2"/>
      <c r="N37" s="19">
        <f t="shared" si="11"/>
        <v>-1</v>
      </c>
      <c r="O37" s="11"/>
      <c r="P37" s="2">
        <v>25706.15</v>
      </c>
      <c r="Q37" s="2"/>
      <c r="R37" s="19">
        <f t="shared" si="12"/>
        <v>6.2525181951571598E-2</v>
      </c>
      <c r="S37" s="2"/>
      <c r="T37" s="2">
        <v>20166.57</v>
      </c>
      <c r="U37" s="2"/>
      <c r="V37" s="19">
        <f t="shared" si="13"/>
        <v>4.4653291472996855E-2</v>
      </c>
      <c r="W37" s="2"/>
      <c r="X37" s="2">
        <f t="shared" si="14"/>
        <v>5539.5800000000017</v>
      </c>
      <c r="Y37" s="2"/>
      <c r="Z37" s="19">
        <f t="shared" si="15"/>
        <v>0.27469123405715506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-6087.14</v>
      </c>
      <c r="E38" s="2"/>
      <c r="F38" s="19">
        <f t="shared" si="8"/>
        <v>-0.87180456673584217</v>
      </c>
      <c r="G38" s="2"/>
      <c r="H38" s="2">
        <v>4405.21</v>
      </c>
      <c r="I38" s="2"/>
      <c r="J38" s="19">
        <f t="shared" si="9"/>
        <v>0.15214733376667064</v>
      </c>
      <c r="K38" s="2"/>
      <c r="L38" s="2">
        <f t="shared" si="10"/>
        <v>-10492.35</v>
      </c>
      <c r="M38" s="2"/>
      <c r="N38" s="19">
        <f t="shared" si="11"/>
        <v>-2.3818047266759135</v>
      </c>
      <c r="O38" s="11"/>
      <c r="P38" s="2">
        <v>39626.85</v>
      </c>
      <c r="Q38" s="2"/>
      <c r="R38" s="19">
        <f t="shared" si="12"/>
        <v>9.6384561920693487E-2</v>
      </c>
      <c r="S38" s="2"/>
      <c r="T38" s="2">
        <v>50684.07</v>
      </c>
      <c r="U38" s="2"/>
      <c r="V38" s="19">
        <f t="shared" si="13"/>
        <v>0.11222585450811792</v>
      </c>
      <c r="W38" s="2"/>
      <c r="X38" s="2">
        <f t="shared" si="14"/>
        <v>-11057.220000000001</v>
      </c>
      <c r="Y38" s="2"/>
      <c r="Z38" s="19">
        <f t="shared" si="15"/>
        <v>-0.21815967028693634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-2165.11</v>
      </c>
      <c r="E39" s="2"/>
      <c r="F39" s="19">
        <f t="shared" si="8"/>
        <v>-0.3100886106587723</v>
      </c>
      <c r="G39" s="2"/>
      <c r="H39" s="2">
        <v>1033.99</v>
      </c>
      <c r="I39" s="2"/>
      <c r="J39" s="19">
        <f t="shared" si="9"/>
        <v>3.5711991401408738E-2</v>
      </c>
      <c r="K39" s="2"/>
      <c r="L39" s="2">
        <f t="shared" si="10"/>
        <v>-3199.1000000000004</v>
      </c>
      <c r="M39" s="2"/>
      <c r="N39" s="19">
        <f t="shared" si="11"/>
        <v>-3.0939370786951521</v>
      </c>
      <c r="O39" s="11"/>
      <c r="P39" s="2">
        <v>137053.04</v>
      </c>
      <c r="Q39" s="2"/>
      <c r="R39" s="19">
        <f t="shared" si="12"/>
        <v>0.33335471328907751</v>
      </c>
      <c r="S39" s="2"/>
      <c r="T39" s="2">
        <v>140381.72999999998</v>
      </c>
      <c r="U39" s="2"/>
      <c r="V39" s="19">
        <f t="shared" si="13"/>
        <v>0.31083651345635605</v>
      </c>
      <c r="W39" s="2"/>
      <c r="X39" s="2">
        <f t="shared" si="14"/>
        <v>-3328.6899999999732</v>
      </c>
      <c r="Y39" s="2"/>
      <c r="Z39" s="19">
        <f t="shared" si="15"/>
        <v>-2.3711703795073431E-2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12.49</v>
      </c>
      <c r="E40" s="2"/>
      <c r="F40" s="19">
        <f t="shared" si="8"/>
        <v>1.7888267788371333E-3</v>
      </c>
      <c r="G40" s="2"/>
      <c r="H40" s="2">
        <v>440.32</v>
      </c>
      <c r="I40" s="2"/>
      <c r="J40" s="19">
        <f t="shared" si="9"/>
        <v>1.520779122996189E-2</v>
      </c>
      <c r="K40" s="2"/>
      <c r="L40" s="2">
        <f t="shared" si="10"/>
        <v>-427.83</v>
      </c>
      <c r="M40" s="2"/>
      <c r="N40" s="19">
        <f t="shared" si="11"/>
        <v>-0.9716342659883721</v>
      </c>
      <c r="O40" s="11"/>
      <c r="P40" s="2">
        <v>7662.01</v>
      </c>
      <c r="Q40" s="2"/>
      <c r="R40" s="19">
        <f t="shared" si="12"/>
        <v>1.8636340695310699E-2</v>
      </c>
      <c r="S40" s="2"/>
      <c r="T40" s="2">
        <v>5902.22</v>
      </c>
      <c r="U40" s="2"/>
      <c r="V40" s="19">
        <f t="shared" si="13"/>
        <v>1.3068833718265005E-2</v>
      </c>
      <c r="W40" s="2"/>
      <c r="X40" s="2">
        <f t="shared" si="14"/>
        <v>1759.79</v>
      </c>
      <c r="Y40" s="2"/>
      <c r="Z40" s="19">
        <f t="shared" si="15"/>
        <v>0.29815730352308112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/>
      <c r="E41" s="2"/>
      <c r="F41" s="19">
        <f t="shared" si="8"/>
        <v>0</v>
      </c>
      <c r="G41" s="2"/>
      <c r="H41" s="2">
        <v>277.87</v>
      </c>
      <c r="I41" s="2"/>
      <c r="J41" s="19">
        <f t="shared" si="9"/>
        <v>9.5970860943620784E-3</v>
      </c>
      <c r="K41" s="2"/>
      <c r="L41" s="2">
        <f t="shared" si="10"/>
        <v>-277.87</v>
      </c>
      <c r="M41" s="2"/>
      <c r="N41" s="19">
        <f t="shared" si="11"/>
        <v>-1</v>
      </c>
      <c r="O41" s="11"/>
      <c r="P41" s="2">
        <v>780.53</v>
      </c>
      <c r="Q41" s="2"/>
      <c r="R41" s="19">
        <f t="shared" si="12"/>
        <v>1.8984865593898803E-3</v>
      </c>
      <c r="S41" s="2"/>
      <c r="T41" s="2">
        <v>2140.2199999999998</v>
      </c>
      <c r="U41" s="2"/>
      <c r="V41" s="19">
        <f t="shared" si="13"/>
        <v>4.7389252349971916E-3</v>
      </c>
      <c r="W41" s="2"/>
      <c r="X41" s="2">
        <f t="shared" si="14"/>
        <v>-1359.6899999999998</v>
      </c>
      <c r="Y41" s="2"/>
      <c r="Z41" s="19">
        <f t="shared" si="15"/>
        <v>-0.63530384726803779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/>
      <c r="E42" s="2"/>
      <c r="F42" s="19">
        <f t="shared" si="8"/>
        <v>0</v>
      </c>
      <c r="G42" s="2"/>
      <c r="H42" s="2">
        <v>-3.13</v>
      </c>
      <c r="I42" s="2"/>
      <c r="J42" s="19">
        <f t="shared" si="9"/>
        <v>-1.0810407555818657E-4</v>
      </c>
      <c r="K42" s="2"/>
      <c r="L42" s="2">
        <f t="shared" si="10"/>
        <v>3.13</v>
      </c>
      <c r="M42" s="2"/>
      <c r="N42" s="19">
        <f t="shared" si="11"/>
        <v>-1</v>
      </c>
      <c r="O42" s="11"/>
      <c r="P42" s="2">
        <v>1119.08</v>
      </c>
      <c r="Q42" s="2"/>
      <c r="R42" s="19">
        <f t="shared" si="12"/>
        <v>2.7219432166374481E-3</v>
      </c>
      <c r="S42" s="2"/>
      <c r="T42" s="2">
        <v>812.06</v>
      </c>
      <c r="U42" s="2"/>
      <c r="V42" s="19">
        <f t="shared" si="13"/>
        <v>1.7980822655296277E-3</v>
      </c>
      <c r="W42" s="2"/>
      <c r="X42" s="2">
        <f t="shared" si="14"/>
        <v>307.02</v>
      </c>
      <c r="Y42" s="2"/>
      <c r="Z42" s="19">
        <f t="shared" si="15"/>
        <v>0.37807551166169989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36.25</v>
      </c>
      <c r="Q43" s="2"/>
      <c r="R43" s="19">
        <f t="shared" si="12"/>
        <v>8.8171034781344939E-5</v>
      </c>
      <c r="S43" s="2"/>
      <c r="T43" s="2">
        <v>78.180000000000007</v>
      </c>
      <c r="U43" s="2"/>
      <c r="V43" s="19">
        <f t="shared" si="13"/>
        <v>1.7310798650235982E-4</v>
      </c>
      <c r="W43" s="2"/>
      <c r="X43" s="2">
        <f t="shared" si="14"/>
        <v>-41.930000000000007</v>
      </c>
      <c r="Y43" s="2"/>
      <c r="Z43" s="19">
        <f t="shared" si="15"/>
        <v>-0.53632642619595805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8031</v>
      </c>
      <c r="E44" s="2"/>
      <c r="F44" s="19">
        <f t="shared" si="8"/>
        <v>1.150205593341955</v>
      </c>
      <c r="G44" s="2"/>
      <c r="H44" s="2">
        <v>-8096</v>
      </c>
      <c r="I44" s="2"/>
      <c r="J44" s="19">
        <f t="shared" si="9"/>
        <v>-0.27961999863229348</v>
      </c>
      <c r="K44" s="2"/>
      <c r="L44" s="2">
        <f t="shared" si="10"/>
        <v>16127</v>
      </c>
      <c r="M44" s="2"/>
      <c r="N44" s="19">
        <f t="shared" si="11"/>
        <v>-1.9919713438735178</v>
      </c>
      <c r="O44" s="11"/>
      <c r="P44" s="2">
        <v>-215427</v>
      </c>
      <c r="Q44" s="2"/>
      <c r="R44" s="19">
        <f t="shared" si="12"/>
        <v>-0.52398404165078061</v>
      </c>
      <c r="S44" s="2"/>
      <c r="T44" s="2">
        <v>-222878</v>
      </c>
      <c r="U44" s="2"/>
      <c r="V44" s="19">
        <f t="shared" si="13"/>
        <v>-0.49350168605363198</v>
      </c>
      <c r="W44" s="2"/>
      <c r="X44" s="2">
        <f t="shared" si="14"/>
        <v>7451</v>
      </c>
      <c r="Y44" s="2"/>
      <c r="Z44" s="19">
        <f t="shared" si="15"/>
        <v>-3.3430845574709031E-2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6103</v>
      </c>
      <c r="E45" s="2"/>
      <c r="F45" s="19">
        <f t="shared" si="8"/>
        <v>0.87407604733731181</v>
      </c>
      <c r="G45" s="2"/>
      <c r="H45" s="2">
        <v>14730</v>
      </c>
      <c r="I45" s="2"/>
      <c r="J45" s="19">
        <f t="shared" si="9"/>
        <v>0.5087453779463541</v>
      </c>
      <c r="K45" s="2"/>
      <c r="L45" s="2">
        <f t="shared" si="10"/>
        <v>-8627</v>
      </c>
      <c r="M45" s="2"/>
      <c r="N45" s="19">
        <f t="shared" si="11"/>
        <v>-0.58567549219280379</v>
      </c>
      <c r="O45" s="11"/>
      <c r="P45" s="2">
        <v>198318</v>
      </c>
      <c r="Q45" s="2"/>
      <c r="R45" s="19">
        <f t="shared" si="12"/>
        <v>0.48236974553839357</v>
      </c>
      <c r="S45" s="2"/>
      <c r="T45" s="2">
        <v>227407</v>
      </c>
      <c r="U45" s="2"/>
      <c r="V45" s="19">
        <f t="shared" si="13"/>
        <v>0.50352990389539698</v>
      </c>
      <c r="W45" s="2"/>
      <c r="X45" s="2">
        <f t="shared" si="14"/>
        <v>-29089</v>
      </c>
      <c r="Y45" s="2"/>
      <c r="Z45" s="19">
        <f t="shared" si="15"/>
        <v>-0.12791602721112366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</v>
      </c>
      <c r="Q46" s="2"/>
      <c r="R46" s="19">
        <f t="shared" si="12"/>
        <v>1.4593826446567439E-5</v>
      </c>
      <c r="S46" s="2"/>
      <c r="T46" s="2"/>
      <c r="U46" s="2"/>
      <c r="V46" s="19">
        <f t="shared" si="13"/>
        <v>0</v>
      </c>
      <c r="W46" s="2"/>
      <c r="X46" s="2">
        <f t="shared" si="14"/>
        <v>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377.1</v>
      </c>
      <c r="E47" s="2"/>
      <c r="F47" s="19">
        <f t="shared" si="8"/>
        <v>5.4008533090430987E-2</v>
      </c>
      <c r="G47" s="2"/>
      <c r="H47" s="2">
        <v>55.71</v>
      </c>
      <c r="I47" s="2"/>
      <c r="J47" s="19">
        <f t="shared" si="9"/>
        <v>1.9241143927624838E-3</v>
      </c>
      <c r="K47" s="2"/>
      <c r="L47" s="2">
        <f t="shared" si="10"/>
        <v>321.39000000000004</v>
      </c>
      <c r="M47" s="2"/>
      <c r="N47" s="19">
        <f t="shared" si="11"/>
        <v>5.7689822294022628</v>
      </c>
      <c r="O47" s="11"/>
      <c r="P47" s="2">
        <v>1614.32</v>
      </c>
      <c r="Q47" s="2"/>
      <c r="R47" s="19">
        <f t="shared" si="12"/>
        <v>3.9265176515371246E-3</v>
      </c>
      <c r="S47" s="2"/>
      <c r="T47" s="2">
        <v>390.96</v>
      </c>
      <c r="U47" s="2"/>
      <c r="V47" s="19">
        <f t="shared" si="13"/>
        <v>8.6567278591663575E-4</v>
      </c>
      <c r="W47" s="2"/>
      <c r="X47" s="2">
        <f t="shared" si="14"/>
        <v>1223.3599999999999</v>
      </c>
      <c r="Y47" s="2"/>
      <c r="Z47" s="19">
        <f t="shared" si="15"/>
        <v>3.1291180683445874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>
        <v>14.15</v>
      </c>
      <c r="E48" s="2"/>
      <c r="F48" s="19">
        <f t="shared" si="8"/>
        <v>2.0265731721813801E-3</v>
      </c>
      <c r="G48" s="2"/>
      <c r="H48" s="2">
        <v>24.01</v>
      </c>
      <c r="I48" s="2"/>
      <c r="J48" s="19">
        <f t="shared" si="9"/>
        <v>8.2925841985688812E-4</v>
      </c>
      <c r="K48" s="2"/>
      <c r="L48" s="2">
        <f t="shared" si="10"/>
        <v>-9.8600000000000012</v>
      </c>
      <c r="M48" s="2"/>
      <c r="N48" s="19">
        <f t="shared" si="11"/>
        <v>-0.41066222407330283</v>
      </c>
      <c r="O48" s="11"/>
      <c r="P48" s="2">
        <v>274.5</v>
      </c>
      <c r="Q48" s="2"/>
      <c r="R48" s="19">
        <f t="shared" si="12"/>
        <v>6.6766755993046033E-4</v>
      </c>
      <c r="S48" s="2"/>
      <c r="T48" s="2">
        <v>256.12</v>
      </c>
      <c r="U48" s="2"/>
      <c r="V48" s="19">
        <f t="shared" si="13"/>
        <v>5.6710690078005108E-4</v>
      </c>
      <c r="W48" s="2"/>
      <c r="X48" s="2">
        <f t="shared" si="14"/>
        <v>18.379999999999995</v>
      </c>
      <c r="Y48" s="2"/>
      <c r="Z48" s="19">
        <f t="shared" si="15"/>
        <v>7.1763235983132889E-2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-155.31</v>
      </c>
      <c r="E49" s="2"/>
      <c r="F49" s="19">
        <f t="shared" si="8"/>
        <v>-2.2243609849575276E-2</v>
      </c>
      <c r="G49" s="2"/>
      <c r="H49" s="2">
        <v>150.80000000000001</v>
      </c>
      <c r="I49" s="2"/>
      <c r="J49" s="19">
        <f t="shared" si="9"/>
        <v>5.2083369310461786E-3</v>
      </c>
      <c r="K49" s="2"/>
      <c r="L49" s="2">
        <f t="shared" si="10"/>
        <v>-306.11</v>
      </c>
      <c r="M49" s="2"/>
      <c r="N49" s="19">
        <f t="shared" si="11"/>
        <v>-2.0299071618037137</v>
      </c>
      <c r="O49" s="11"/>
      <c r="P49" s="2">
        <v>1438.72</v>
      </c>
      <c r="Q49" s="2"/>
      <c r="R49" s="19">
        <f t="shared" si="12"/>
        <v>3.4994049975342512E-3</v>
      </c>
      <c r="S49" s="2"/>
      <c r="T49" s="2">
        <v>1795.82</v>
      </c>
      <c r="U49" s="2"/>
      <c r="V49" s="19">
        <f t="shared" si="13"/>
        <v>3.9763466912339186E-3</v>
      </c>
      <c r="W49" s="2"/>
      <c r="X49" s="2">
        <f t="shared" si="14"/>
        <v>-357.09999999999991</v>
      </c>
      <c r="Y49" s="2"/>
      <c r="Z49" s="19">
        <f t="shared" si="15"/>
        <v>-0.19885066432047752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>
        <v>-27</v>
      </c>
      <c r="E50" s="2"/>
      <c r="F50" s="19">
        <f t="shared" si="8"/>
        <v>-3.866959409816061E-3</v>
      </c>
      <c r="G50" s="2"/>
      <c r="H50" s="2"/>
      <c r="I50" s="2"/>
      <c r="J50" s="19">
        <f t="shared" si="9"/>
        <v>0</v>
      </c>
      <c r="K50" s="2"/>
      <c r="L50" s="2">
        <f t="shared" si="10"/>
        <v>-27</v>
      </c>
      <c r="M50" s="2"/>
      <c r="N50" s="19">
        <f t="shared" si="11"/>
        <v>0</v>
      </c>
      <c r="O50" s="11"/>
      <c r="P50" s="2">
        <v>100.78</v>
      </c>
      <c r="Q50" s="2"/>
      <c r="R50" s="19">
        <f t="shared" si="12"/>
        <v>2.4512763821417773E-4</v>
      </c>
      <c r="S50" s="2"/>
      <c r="T50" s="2">
        <v>27.52</v>
      </c>
      <c r="U50" s="2"/>
      <c r="V50" s="19">
        <f t="shared" si="13"/>
        <v>6.0935428351815578E-5</v>
      </c>
      <c r="W50" s="2"/>
      <c r="X50" s="2">
        <f t="shared" si="14"/>
        <v>73.260000000000005</v>
      </c>
      <c r="Y50" s="2"/>
      <c r="Z50" s="19">
        <f t="shared" si="15"/>
        <v>2.6620639534883721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1">
        <f>D12-D35</f>
        <v>879.050000000002</v>
      </c>
      <c r="E52" s="14"/>
      <c r="F52" s="20">
        <f>IF(D$12=0,0,D52/D$12)</f>
        <v>0.12589817293328948</v>
      </c>
      <c r="G52" s="14"/>
      <c r="H52" s="21">
        <f>H12-H35</f>
        <v>14223.050000000005</v>
      </c>
      <c r="I52" s="14"/>
      <c r="J52" s="20">
        <f>IF(H$12=0,0,H52/H$12)</f>
        <v>0.49123631689069208</v>
      </c>
      <c r="K52" s="16"/>
      <c r="L52" s="21">
        <f>+D52-H52</f>
        <v>-13344.000000000004</v>
      </c>
      <c r="M52" s="16"/>
      <c r="N52" s="20">
        <f>IF(H52=0,0,L52/H52)</f>
        <v>-0.93819539409620289</v>
      </c>
      <c r="O52" s="28"/>
      <c r="P52" s="21">
        <f>P12-P35</f>
        <v>212809.06000000006</v>
      </c>
      <c r="Q52" s="14"/>
      <c r="R52" s="20">
        <f>IF(P$12=0,0,P52/P$12)</f>
        <v>0.51761641464952624</v>
      </c>
      <c r="S52" s="14"/>
      <c r="T52" s="21">
        <f>T12-T35</f>
        <v>224221.23999999996</v>
      </c>
      <c r="U52" s="14"/>
      <c r="V52" s="20">
        <f>IF(T$12=0,0,T52/T$12)</f>
        <v>0.49647591951218178</v>
      </c>
      <c r="W52" s="16"/>
      <c r="X52" s="21">
        <f>+P52-T52</f>
        <v>-11412.179999999906</v>
      </c>
      <c r="Y52" s="16"/>
      <c r="Z52" s="20">
        <f>IF(T52=0,0,X52/T52)</f>
        <v>-5.0896962303838424E-2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2">
        <f>SUM(OSRRefD22x_0)</f>
        <v>8541.9599999999991</v>
      </c>
      <c r="E54" s="22"/>
      <c r="F54" s="31">
        <f t="shared" ref="F54:F64" si="16">IF(D$12=0,0,D54/D$12)</f>
        <v>1.2233856518619406</v>
      </c>
      <c r="G54" s="22"/>
      <c r="H54" s="22">
        <f>SUM(OSRRefH22x_0)</f>
        <v>11245.859999999999</v>
      </c>
      <c r="I54" s="22"/>
      <c r="J54" s="31">
        <f t="shared" ref="J54:J64" si="17">IF(H$12=0,0,H54/H$12)</f>
        <v>0.38840999973060319</v>
      </c>
      <c r="K54" s="4"/>
      <c r="L54" s="22">
        <f t="shared" ref="L54:L64" si="18">+D54-H54</f>
        <v>-2703.8999999999996</v>
      </c>
      <c r="M54" s="4"/>
      <c r="N54" s="31">
        <f t="shared" ref="N54:N64" si="19">IF(H54=0,0,L54/H54)</f>
        <v>-0.24043514680068931</v>
      </c>
      <c r="O54" s="10"/>
      <c r="P54" s="22">
        <f>SUM(OSRRefP22x_0)</f>
        <v>108242.78999999998</v>
      </c>
      <c r="Q54" s="22"/>
      <c r="R54" s="31">
        <f t="shared" ref="R54:R64" si="20">IF(P$12=0,0,P54/P$12)</f>
        <v>0.26327941522537418</v>
      </c>
      <c r="S54" s="22"/>
      <c r="T54" s="22">
        <f>SUM(OSRRefT22x_0)</f>
        <v>110614.56999999999</v>
      </c>
      <c r="U54" s="22"/>
      <c r="V54" s="31">
        <f t="shared" ref="V54:V64" si="21">IF(T$12=0,0,T54/T$12)</f>
        <v>0.24492537081765584</v>
      </c>
      <c r="W54" s="4"/>
      <c r="X54" s="22">
        <f t="shared" ref="X54:X64" si="22">+P54-T54</f>
        <v>-2371.7800000000134</v>
      </c>
      <c r="Y54" s="4"/>
      <c r="Z54" s="31">
        <f t="shared" ref="Z54:Z64" si="23">IF(T54=0,0,X54/T54)</f>
        <v>-2.1441840799091959E-2</v>
      </c>
    </row>
    <row r="55" spans="1:26" s="27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2869.59</v>
      </c>
      <c r="E55" s="1"/>
      <c r="F55" s="5">
        <f t="shared" si="16"/>
        <v>0.41098474269681745</v>
      </c>
      <c r="G55" s="1"/>
      <c r="H55" s="1">
        <f>SUM(OSRRefH22_0x_0)</f>
        <v>2020.3000000000002</v>
      </c>
      <c r="I55" s="1"/>
      <c r="J55" s="5">
        <f t="shared" si="17"/>
        <v>6.9777208897828874E-2</v>
      </c>
      <c r="K55" s="1"/>
      <c r="L55" s="1">
        <f t="shared" si="18"/>
        <v>849.29</v>
      </c>
      <c r="M55" s="1"/>
      <c r="N55" s="5">
        <f t="shared" si="19"/>
        <v>0.42037816165915948</v>
      </c>
      <c r="O55" s="13"/>
      <c r="P55" s="1">
        <f>SUM(OSRRefP22_0x_0)</f>
        <v>15927.260000000002</v>
      </c>
      <c r="Q55" s="1"/>
      <c r="R55" s="5">
        <f t="shared" si="20"/>
        <v>3.8739944701559288E-2</v>
      </c>
      <c r="S55" s="1"/>
      <c r="T55" s="1">
        <f>SUM(OSRRefT22_0x_0)</f>
        <v>19387.310000000001</v>
      </c>
      <c r="U55" s="1"/>
      <c r="V55" s="5">
        <f t="shared" si="21"/>
        <v>4.2927835735444682E-2</v>
      </c>
      <c r="W55" s="1"/>
      <c r="X55" s="1">
        <f t="shared" si="22"/>
        <v>-3460.0499999999993</v>
      </c>
      <c r="Y55" s="1"/>
      <c r="Z55" s="5">
        <f t="shared" si="23"/>
        <v>-0.17846983413377096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6">
        <v>318.24</v>
      </c>
      <c r="E56" s="2"/>
      <c r="F56" s="7">
        <f t="shared" si="16"/>
        <v>4.5578561577031974E-2</v>
      </c>
      <c r="G56" s="2"/>
      <c r="H56" s="6">
        <v>431.48</v>
      </c>
      <c r="I56" s="2"/>
      <c r="J56" s="7">
        <f t="shared" si="17"/>
        <v>1.4902474927107459E-2</v>
      </c>
      <c r="K56" s="2"/>
      <c r="L56" s="6">
        <f t="shared" si="18"/>
        <v>-113.24000000000001</v>
      </c>
      <c r="M56" s="2"/>
      <c r="N56" s="7">
        <f t="shared" si="19"/>
        <v>-0.26244553629368683</v>
      </c>
      <c r="O56" s="11"/>
      <c r="P56" s="6">
        <v>3575.9</v>
      </c>
      <c r="Q56" s="2"/>
      <c r="R56" s="7">
        <f t="shared" si="20"/>
        <v>8.697677331713418E-3</v>
      </c>
      <c r="S56" s="2"/>
      <c r="T56" s="6">
        <v>2790.52</v>
      </c>
      <c r="U56" s="2"/>
      <c r="V56" s="7">
        <f t="shared" si="21"/>
        <v>6.1788347210867877E-3</v>
      </c>
      <c r="W56" s="2"/>
      <c r="X56" s="6">
        <f t="shared" si="22"/>
        <v>785.38000000000011</v>
      </c>
      <c r="Y56" s="2"/>
      <c r="Z56" s="7">
        <f t="shared" si="23"/>
        <v>0.28144575204621364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6">
        <v>118.56</v>
      </c>
      <c r="E57" s="2"/>
      <c r="F57" s="7">
        <f t="shared" si="16"/>
        <v>1.698024843065897E-2</v>
      </c>
      <c r="G57" s="2"/>
      <c r="H57" s="6">
        <v>76.680000000000007</v>
      </c>
      <c r="I57" s="2"/>
      <c r="J57" s="7">
        <f t="shared" si="17"/>
        <v>2.6483771609590247E-3</v>
      </c>
      <c r="K57" s="2"/>
      <c r="L57" s="6">
        <f t="shared" si="18"/>
        <v>41.879999999999995</v>
      </c>
      <c r="M57" s="2"/>
      <c r="N57" s="7">
        <f t="shared" si="19"/>
        <v>0.5461658841940531</v>
      </c>
      <c r="O57" s="11"/>
      <c r="P57" s="6">
        <v>1429.37</v>
      </c>
      <c r="Q57" s="2"/>
      <c r="R57" s="7">
        <f t="shared" si="20"/>
        <v>3.476662951321683E-3</v>
      </c>
      <c r="S57" s="2"/>
      <c r="T57" s="6">
        <v>806.16</v>
      </c>
      <c r="U57" s="2"/>
      <c r="V57" s="7">
        <f t="shared" si="21"/>
        <v>1.7850183473873417E-3</v>
      </c>
      <c r="W57" s="2"/>
      <c r="X57" s="6">
        <f t="shared" si="22"/>
        <v>623.20999999999992</v>
      </c>
      <c r="Y57" s="2"/>
      <c r="Z57" s="7">
        <f t="shared" si="23"/>
        <v>0.7730599384737521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6">
        <v>1367.58</v>
      </c>
      <c r="E58" s="2"/>
      <c r="F58" s="7">
        <f t="shared" si="16"/>
        <v>0.19586579072874993</v>
      </c>
      <c r="G58" s="2"/>
      <c r="H58" s="6">
        <v>924.25</v>
      </c>
      <c r="I58" s="2"/>
      <c r="J58" s="7">
        <f t="shared" si="17"/>
        <v>3.1921786528643435E-2</v>
      </c>
      <c r="K58" s="2"/>
      <c r="L58" s="6">
        <f t="shared" si="18"/>
        <v>443.32999999999993</v>
      </c>
      <c r="M58" s="2"/>
      <c r="N58" s="7">
        <f t="shared" si="19"/>
        <v>0.47966459291317276</v>
      </c>
      <c r="O58" s="11"/>
      <c r="P58" s="6">
        <v>11397.86</v>
      </c>
      <c r="Q58" s="2"/>
      <c r="R58" s="7">
        <f t="shared" si="20"/>
        <v>2.7723065117045528E-2</v>
      </c>
      <c r="S58" s="2"/>
      <c r="T58" s="6">
        <v>9917.25</v>
      </c>
      <c r="U58" s="2"/>
      <c r="V58" s="7">
        <f t="shared" si="21"/>
        <v>2.1959007151963774E-2</v>
      </c>
      <c r="W58" s="2"/>
      <c r="X58" s="6">
        <f t="shared" si="22"/>
        <v>1480.6100000000006</v>
      </c>
      <c r="Y58" s="2"/>
      <c r="Z58" s="7">
        <f t="shared" si="23"/>
        <v>0.14929642794121359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16.22</v>
      </c>
      <c r="E59" s="2"/>
      <c r="F59" s="7">
        <f t="shared" si="16"/>
        <v>2.3230400602672779E-3</v>
      </c>
      <c r="G59" s="2"/>
      <c r="H59" s="6">
        <v>16.75</v>
      </c>
      <c r="I59" s="2"/>
      <c r="J59" s="7">
        <f t="shared" si="17"/>
        <v>5.785122254311902E-4</v>
      </c>
      <c r="K59" s="2"/>
      <c r="L59" s="6">
        <f t="shared" si="18"/>
        <v>-0.53000000000000114</v>
      </c>
      <c r="M59" s="2"/>
      <c r="N59" s="7">
        <f t="shared" si="19"/>
        <v>-3.1641791044776185E-2</v>
      </c>
      <c r="O59" s="11"/>
      <c r="P59" s="6">
        <v>215.17</v>
      </c>
      <c r="Q59" s="2"/>
      <c r="R59" s="7">
        <f t="shared" si="20"/>
        <v>5.2335893941798592E-4</v>
      </c>
      <c r="S59" s="2"/>
      <c r="T59" s="6">
        <v>185.43</v>
      </c>
      <c r="U59" s="2"/>
      <c r="V59" s="7">
        <f t="shared" si="21"/>
        <v>4.1058344764815271E-4</v>
      </c>
      <c r="W59" s="2"/>
      <c r="X59" s="6">
        <f t="shared" si="22"/>
        <v>29.739999999999981</v>
      </c>
      <c r="Y59" s="2"/>
      <c r="Z59" s="7">
        <f t="shared" si="23"/>
        <v>0.1603839723885023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6">
        <v>425.19</v>
      </c>
      <c r="E60" s="2"/>
      <c r="F60" s="7">
        <f t="shared" si="16"/>
        <v>6.0896017461470033E-2</v>
      </c>
      <c r="G60" s="2"/>
      <c r="H60" s="6">
        <v>174.42</v>
      </c>
      <c r="I60" s="2"/>
      <c r="J60" s="7">
        <f t="shared" si="17"/>
        <v>6.0241255140124289E-3</v>
      </c>
      <c r="K60" s="2"/>
      <c r="L60" s="6">
        <f t="shared" si="18"/>
        <v>250.77</v>
      </c>
      <c r="M60" s="2"/>
      <c r="N60" s="7">
        <f t="shared" si="19"/>
        <v>1.4377364981080154</v>
      </c>
      <c r="O60" s="11"/>
      <c r="P60" s="6">
        <v>2838.73</v>
      </c>
      <c r="Q60" s="2"/>
      <c r="R60" s="7">
        <f t="shared" si="20"/>
        <v>6.9046554914440643E-3</v>
      </c>
      <c r="S60" s="2"/>
      <c r="T60" s="6">
        <v>2090.4899999999998</v>
      </c>
      <c r="U60" s="2"/>
      <c r="V60" s="7">
        <f t="shared" si="21"/>
        <v>4.6288119046216181E-3</v>
      </c>
      <c r="W60" s="2"/>
      <c r="X60" s="6">
        <f t="shared" si="22"/>
        <v>748.24000000000024</v>
      </c>
      <c r="Y60" s="2"/>
      <c r="Z60" s="7">
        <f t="shared" si="23"/>
        <v>0.3579256537940867</v>
      </c>
    </row>
    <row r="61" spans="1:26" s="24" customFormat="1" hidden="1" outlineLevel="2" x14ac:dyDescent="0.25">
      <c r="A61" s="26"/>
      <c r="B61" s="11" t="str">
        <f>CONCATENATE("          ", "6117", " - ", "RETIREMENT STAFF HOURLY")</f>
        <v xml:space="preserve">          6117 - RETIREMENT STAFF HOURLY</v>
      </c>
      <c r="C61" s="11"/>
      <c r="D61" s="6"/>
      <c r="E61" s="2"/>
      <c r="F61" s="7">
        <f t="shared" si="16"/>
        <v>0</v>
      </c>
      <c r="G61" s="2"/>
      <c r="H61" s="6"/>
      <c r="I61" s="2"/>
      <c r="J61" s="7">
        <f t="shared" si="17"/>
        <v>0</v>
      </c>
      <c r="K61" s="2"/>
      <c r="L61" s="6">
        <f t="shared" si="18"/>
        <v>0</v>
      </c>
      <c r="M61" s="2"/>
      <c r="N61" s="7">
        <f t="shared" si="19"/>
        <v>0</v>
      </c>
      <c r="O61" s="11"/>
      <c r="P61" s="6">
        <v>46.65</v>
      </c>
      <c r="Q61" s="2"/>
      <c r="R61" s="7">
        <f t="shared" si="20"/>
        <v>1.1346700062206183E-4</v>
      </c>
      <c r="S61" s="2"/>
      <c r="T61" s="6"/>
      <c r="U61" s="2"/>
      <c r="V61" s="7">
        <f t="shared" si="21"/>
        <v>0</v>
      </c>
      <c r="W61" s="2"/>
      <c r="X61" s="6">
        <f t="shared" si="22"/>
        <v>46.65</v>
      </c>
      <c r="Y61" s="2"/>
      <c r="Z61" s="7">
        <f t="shared" si="23"/>
        <v>0</v>
      </c>
    </row>
    <row r="62" spans="1:26" s="24" customFormat="1" hidden="1" outlineLevel="2" x14ac:dyDescent="0.25">
      <c r="A62" s="26"/>
      <c r="B62" s="11" t="str">
        <f>CONCATENATE("          ", "6118", " - ", "VACATION")</f>
        <v xml:space="preserve">          6118 - VACATION</v>
      </c>
      <c r="C62" s="11"/>
      <c r="D62" s="6">
        <v>335.92</v>
      </c>
      <c r="E62" s="2"/>
      <c r="F62" s="7">
        <f t="shared" si="16"/>
        <v>4.8110703886867084E-2</v>
      </c>
      <c r="G62" s="2"/>
      <c r="H62" s="6">
        <v>220.35</v>
      </c>
      <c r="I62" s="2"/>
      <c r="J62" s="7">
        <f t="shared" si="17"/>
        <v>7.6104578432097166E-3</v>
      </c>
      <c r="K62" s="2"/>
      <c r="L62" s="6">
        <f t="shared" si="18"/>
        <v>115.57000000000002</v>
      </c>
      <c r="M62" s="2"/>
      <c r="N62" s="7">
        <f t="shared" si="19"/>
        <v>0.52448377581120953</v>
      </c>
      <c r="O62" s="11"/>
      <c r="P62" s="6">
        <v>2413.56</v>
      </c>
      <c r="Q62" s="2"/>
      <c r="R62" s="7">
        <f t="shared" si="20"/>
        <v>5.8705126263962175E-3</v>
      </c>
      <c r="S62" s="2"/>
      <c r="T62" s="6">
        <v>2018.42</v>
      </c>
      <c r="U62" s="2"/>
      <c r="V62" s="7">
        <f t="shared" si="21"/>
        <v>4.4692328231784742E-3</v>
      </c>
      <c r="W62" s="2"/>
      <c r="X62" s="6">
        <f t="shared" si="22"/>
        <v>395.13999999999987</v>
      </c>
      <c r="Y62" s="2"/>
      <c r="Z62" s="7">
        <f t="shared" si="23"/>
        <v>0.19576698605840204</v>
      </c>
    </row>
    <row r="63" spans="1:26" s="24" customFormat="1" hidden="1" outlineLevel="2" x14ac:dyDescent="0.25">
      <c r="A63" s="26"/>
      <c r="B63" s="11" t="str">
        <f>CONCATENATE("          ", "6119", " - ", "SICK LEAVE")</f>
        <v xml:space="preserve">          6119 - SICK LEAVE</v>
      </c>
      <c r="C63" s="11"/>
      <c r="D63" s="6">
        <v>191.88</v>
      </c>
      <c r="E63" s="2"/>
      <c r="F63" s="7">
        <f t="shared" si="16"/>
        <v>2.7481191539092804E-2</v>
      </c>
      <c r="G63" s="2"/>
      <c r="H63" s="6">
        <v>176.37</v>
      </c>
      <c r="I63" s="2"/>
      <c r="J63" s="7">
        <f t="shared" si="17"/>
        <v>6.091474698465613E-3</v>
      </c>
      <c r="K63" s="2"/>
      <c r="L63" s="6">
        <f t="shared" si="18"/>
        <v>15.509999999999991</v>
      </c>
      <c r="M63" s="2"/>
      <c r="N63" s="7">
        <f t="shared" si="19"/>
        <v>8.7940125871746835E-2</v>
      </c>
      <c r="O63" s="11"/>
      <c r="P63" s="6">
        <v>-6474.83</v>
      </c>
      <c r="Q63" s="2"/>
      <c r="R63" s="7">
        <f t="shared" si="20"/>
        <v>-1.5748757548504709E-2</v>
      </c>
      <c r="S63" s="2"/>
      <c r="T63" s="6">
        <v>1579.04</v>
      </c>
      <c r="U63" s="2"/>
      <c r="V63" s="7">
        <f t="shared" si="21"/>
        <v>3.4963473395585344E-3</v>
      </c>
      <c r="W63" s="2"/>
      <c r="X63" s="6">
        <f t="shared" si="22"/>
        <v>-8053.87</v>
      </c>
      <c r="Y63" s="2"/>
      <c r="Z63" s="7">
        <f t="shared" si="23"/>
        <v>-5.1004851048738473</v>
      </c>
    </row>
    <row r="64" spans="1:26" s="24" customFormat="1" hidden="1" outlineLevel="2" x14ac:dyDescent="0.25">
      <c r="A64" s="26"/>
      <c r="B64" s="11" t="str">
        <f>CONCATENATE("          ", "6156", " - ", "EMPLOYEE MEALS")</f>
        <v xml:space="preserve">          6156 - EMPLOYEE MEALS</v>
      </c>
      <c r="C64" s="11"/>
      <c r="D64" s="6">
        <v>96</v>
      </c>
      <c r="E64" s="2"/>
      <c r="F64" s="7">
        <f t="shared" si="16"/>
        <v>1.3749189012679328E-2</v>
      </c>
      <c r="G64" s="2"/>
      <c r="H64" s="6"/>
      <c r="I64" s="2"/>
      <c r="J64" s="7">
        <f t="shared" si="17"/>
        <v>0</v>
      </c>
      <c r="K64" s="2"/>
      <c r="L64" s="6">
        <f t="shared" si="18"/>
        <v>96</v>
      </c>
      <c r="M64" s="2"/>
      <c r="N64" s="7">
        <f t="shared" si="19"/>
        <v>0</v>
      </c>
      <c r="O64" s="11"/>
      <c r="P64" s="6">
        <v>484.85</v>
      </c>
      <c r="Q64" s="2"/>
      <c r="R64" s="7">
        <f t="shared" si="20"/>
        <v>1.1793027921030372E-3</v>
      </c>
      <c r="S64" s="2"/>
      <c r="T64" s="6"/>
      <c r="U64" s="2"/>
      <c r="V64" s="7">
        <f t="shared" si="21"/>
        <v>0</v>
      </c>
      <c r="W64" s="2"/>
      <c r="X64" s="6">
        <f t="shared" si="22"/>
        <v>484.85</v>
      </c>
      <c r="Y64" s="2"/>
      <c r="Z64" s="7">
        <f t="shared" si="23"/>
        <v>0</v>
      </c>
    </row>
    <row r="65" spans="1:26" s="27" customFormat="1" outlineLevel="1" collapsed="1" x14ac:dyDescent="0.25">
      <c r="A65" s="25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3952</v>
      </c>
      <c r="E65" s="1"/>
      <c r="F65" s="5">
        <f t="shared" ref="F65:F69" si="24">IF(D$12=0,0,D65/D$12)</f>
        <v>0.56600828102196565</v>
      </c>
      <c r="G65" s="1"/>
      <c r="H65" s="1">
        <f>SUM(OSRRefH22_1x_0)</f>
        <v>7650.66</v>
      </c>
      <c r="I65" s="1"/>
      <c r="J65" s="5">
        <f t="shared" ref="J65:J69" si="25">IF(H$12=0,0,H65/H$12)</f>
        <v>0.26423882642491875</v>
      </c>
      <c r="K65" s="1"/>
      <c r="L65" s="1">
        <f t="shared" ref="L65:L69" si="26">+D65-H65</f>
        <v>-3698.66</v>
      </c>
      <c r="M65" s="1"/>
      <c r="N65" s="5">
        <f t="shared" ref="N65:N69" si="27">IF(H65=0,0,L65/H65)</f>
        <v>-0.48344325849011716</v>
      </c>
      <c r="O65" s="13"/>
      <c r="P65" s="1">
        <f>SUM(OSRRefP22_1x_0)</f>
        <v>78978.859999999986</v>
      </c>
      <c r="Q65" s="1"/>
      <c r="R65" s="5">
        <f t="shared" ref="R65:R69" si="28">IF(P$12=0,0,P65/P$12)</f>
        <v>0.19210062929795785</v>
      </c>
      <c r="S65" s="1"/>
      <c r="T65" s="1">
        <f>SUM(OSRRefT22_1x_0)</f>
        <v>64905.71</v>
      </c>
      <c r="U65" s="1"/>
      <c r="V65" s="5">
        <f t="shared" ref="V65:V69" si="29">IF(T$12=0,0,T65/T$12)</f>
        <v>0.14371574278084009</v>
      </c>
      <c r="W65" s="1"/>
      <c r="X65" s="1">
        <f t="shared" ref="X65:X69" si="30">+P65-T65</f>
        <v>14073.149999999987</v>
      </c>
      <c r="Y65" s="1"/>
      <c r="Z65" s="5">
        <f t="shared" ref="Z65:Z69" si="31">IF(T65=0,0,X65/T65)</f>
        <v>0.21682452899752561</v>
      </c>
    </row>
    <row r="66" spans="1:26" s="24" customFormat="1" hidden="1" outlineLevel="2" x14ac:dyDescent="0.25">
      <c r="A66" s="26"/>
      <c r="B66" s="11" t="str">
        <f>CONCATENATE("          ", "6002", " - ", "STAFF SALARIES")</f>
        <v xml:space="preserve">          6002 - STAFF SALARIES</v>
      </c>
      <c r="C66" s="11"/>
      <c r="D66" s="6">
        <v>3952</v>
      </c>
      <c r="E66" s="2"/>
      <c r="F66" s="7">
        <f t="shared" si="24"/>
        <v>0.56600828102196565</v>
      </c>
      <c r="G66" s="2"/>
      <c r="H66" s="6">
        <v>3058.37</v>
      </c>
      <c r="I66" s="2"/>
      <c r="J66" s="7">
        <f t="shared" si="25"/>
        <v>0.10563011551593965</v>
      </c>
      <c r="K66" s="2"/>
      <c r="L66" s="6">
        <f t="shared" si="26"/>
        <v>893.63000000000011</v>
      </c>
      <c r="M66" s="2"/>
      <c r="N66" s="7">
        <f t="shared" si="27"/>
        <v>0.29219159225338992</v>
      </c>
      <c r="O66" s="11"/>
      <c r="P66" s="6">
        <v>34777.009999999995</v>
      </c>
      <c r="Q66" s="2"/>
      <c r="R66" s="7">
        <f t="shared" si="28"/>
        <v>8.45882747117567E-2</v>
      </c>
      <c r="S66" s="2"/>
      <c r="T66" s="6">
        <v>29188.57</v>
      </c>
      <c r="U66" s="2"/>
      <c r="V66" s="7">
        <f t="shared" si="29"/>
        <v>6.4630015113624761E-2</v>
      </c>
      <c r="W66" s="2"/>
      <c r="X66" s="6">
        <f t="shared" si="30"/>
        <v>5588.4399999999951</v>
      </c>
      <c r="Y66" s="2"/>
      <c r="Z66" s="7">
        <f t="shared" si="31"/>
        <v>0.19145987624607835</v>
      </c>
    </row>
    <row r="67" spans="1:26" s="24" customFormat="1" hidden="1" outlineLevel="2" x14ac:dyDescent="0.25">
      <c r="A67" s="26"/>
      <c r="B67" s="11" t="str">
        <f>CONCATENATE("          ", "6004", " - ", "STAFF HOURLY")</f>
        <v xml:space="preserve">          6004 - STAFF HOURLY</v>
      </c>
      <c r="C67" s="11"/>
      <c r="D67" s="6"/>
      <c r="E67" s="2"/>
      <c r="F67" s="7">
        <f t="shared" si="24"/>
        <v>0</v>
      </c>
      <c r="G67" s="2"/>
      <c r="H67" s="6"/>
      <c r="I67" s="2"/>
      <c r="J67" s="7">
        <f t="shared" si="25"/>
        <v>0</v>
      </c>
      <c r="K67" s="2"/>
      <c r="L67" s="6">
        <f t="shared" si="26"/>
        <v>0</v>
      </c>
      <c r="M67" s="2"/>
      <c r="N67" s="7">
        <f t="shared" si="27"/>
        <v>0</v>
      </c>
      <c r="O67" s="11"/>
      <c r="P67" s="6">
        <v>-48</v>
      </c>
      <c r="Q67" s="2"/>
      <c r="R67" s="7">
        <f t="shared" si="28"/>
        <v>-1.1675061157253951E-4</v>
      </c>
      <c r="S67" s="2"/>
      <c r="T67" s="6"/>
      <c r="U67" s="2"/>
      <c r="V67" s="7">
        <f t="shared" si="29"/>
        <v>0</v>
      </c>
      <c r="W67" s="2"/>
      <c r="X67" s="6">
        <f t="shared" si="30"/>
        <v>-48</v>
      </c>
      <c r="Y67" s="2"/>
      <c r="Z67" s="7">
        <f t="shared" si="31"/>
        <v>0</v>
      </c>
    </row>
    <row r="68" spans="1:26" s="24" customFormat="1" hidden="1" outlineLevel="2" x14ac:dyDescent="0.25">
      <c r="A68" s="26"/>
      <c r="B68" s="11" t="str">
        <f>CONCATENATE("          ", "6006", " - ", "TEMPORARY PART TIME")</f>
        <v xml:space="preserve">          6006 - TEMPORARY PART TIME</v>
      </c>
      <c r="C68" s="11"/>
      <c r="D68" s="6"/>
      <c r="E68" s="2"/>
      <c r="F68" s="7">
        <f t="shared" si="24"/>
        <v>0</v>
      </c>
      <c r="G68" s="2"/>
      <c r="H68" s="6"/>
      <c r="I68" s="2"/>
      <c r="J68" s="7">
        <f t="shared" si="25"/>
        <v>0</v>
      </c>
      <c r="K68" s="2"/>
      <c r="L68" s="6">
        <f t="shared" si="26"/>
        <v>0</v>
      </c>
      <c r="M68" s="2"/>
      <c r="N68" s="7">
        <f t="shared" si="27"/>
        <v>0</v>
      </c>
      <c r="O68" s="11"/>
      <c r="P68" s="6"/>
      <c r="Q68" s="2"/>
      <c r="R68" s="7">
        <f t="shared" si="28"/>
        <v>0</v>
      </c>
      <c r="S68" s="2"/>
      <c r="T68" s="6">
        <v>58.75</v>
      </c>
      <c r="U68" s="2"/>
      <c r="V68" s="7">
        <f t="shared" si="29"/>
        <v>1.3008562556937373E-4</v>
      </c>
      <c r="W68" s="2"/>
      <c r="X68" s="6">
        <f t="shared" si="30"/>
        <v>-58.75</v>
      </c>
      <c r="Y68" s="2"/>
      <c r="Z68" s="7">
        <f t="shared" si="31"/>
        <v>-1</v>
      </c>
    </row>
    <row r="69" spans="1:26" s="24" customFormat="1" hidden="1" outlineLevel="2" x14ac:dyDescent="0.25">
      <c r="A69" s="26"/>
      <c r="B69" s="11" t="str">
        <f>CONCATENATE("          ", "6007", " - ", "STUDENT HOURLY")</f>
        <v xml:space="preserve">          6007 - STUDENT HOURLY</v>
      </c>
      <c r="C69" s="11"/>
      <c r="D69" s="6"/>
      <c r="E69" s="2"/>
      <c r="F69" s="7">
        <f t="shared" si="24"/>
        <v>0</v>
      </c>
      <c r="G69" s="2"/>
      <c r="H69" s="6">
        <v>4592.29</v>
      </c>
      <c r="I69" s="2"/>
      <c r="J69" s="7">
        <f t="shared" si="25"/>
        <v>0.15860871090897913</v>
      </c>
      <c r="K69" s="2"/>
      <c r="L69" s="6">
        <f t="shared" si="26"/>
        <v>-4592.29</v>
      </c>
      <c r="M69" s="2"/>
      <c r="N69" s="7">
        <f t="shared" si="27"/>
        <v>-1</v>
      </c>
      <c r="O69" s="11"/>
      <c r="P69" s="6">
        <v>44249.85</v>
      </c>
      <c r="Q69" s="2"/>
      <c r="R69" s="7">
        <f t="shared" si="28"/>
        <v>0.10762910519777369</v>
      </c>
      <c r="S69" s="2"/>
      <c r="T69" s="6">
        <v>35658.39</v>
      </c>
      <c r="U69" s="2"/>
      <c r="V69" s="7">
        <f t="shared" si="29"/>
        <v>7.8955642041645971E-2</v>
      </c>
      <c r="W69" s="2"/>
      <c r="X69" s="6">
        <f t="shared" si="30"/>
        <v>8591.4599999999991</v>
      </c>
      <c r="Y69" s="2"/>
      <c r="Z69" s="7">
        <f t="shared" si="31"/>
        <v>0.24093796719369548</v>
      </c>
    </row>
    <row r="70" spans="1:26" s="27" customFormat="1" outlineLevel="1" collapsed="1" x14ac:dyDescent="0.25">
      <c r="A70" s="25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0</v>
      </c>
      <c r="E70" s="1"/>
      <c r="F70" s="5">
        <f t="shared" ref="F70:F74" si="32">IF(D$12=0,0,D70/D$12)</f>
        <v>0</v>
      </c>
      <c r="G70" s="1"/>
      <c r="H70" s="1">
        <f>SUM(OSRRefH22_2x_0)</f>
        <v>172</v>
      </c>
      <c r="I70" s="1"/>
      <c r="J70" s="5">
        <f t="shared" ref="J70:J74" si="33">IF(H$12=0,0,H70/H$12)</f>
        <v>5.9405434492038629E-3</v>
      </c>
      <c r="K70" s="1"/>
      <c r="L70" s="1">
        <f t="shared" ref="L70:L74" si="34">+D70-H70</f>
        <v>-172</v>
      </c>
      <c r="M70" s="1"/>
      <c r="N70" s="5">
        <f t="shared" ref="N70:N74" si="35">IF(H70=0,0,L70/H70)</f>
        <v>-1</v>
      </c>
      <c r="O70" s="13"/>
      <c r="P70" s="1">
        <f>SUM(OSRRefP22_2x_0)</f>
        <v>1181.76</v>
      </c>
      <c r="Q70" s="1"/>
      <c r="R70" s="5">
        <f t="shared" ref="R70:R74" si="36">IF(P$12=0,0,P70/P$12)</f>
        <v>2.8744000569159225E-3</v>
      </c>
      <c r="S70" s="1"/>
      <c r="T70" s="1">
        <f>SUM(OSRRefT22_2x_0)</f>
        <v>1967.86</v>
      </c>
      <c r="U70" s="1"/>
      <c r="V70" s="5">
        <f t="shared" ref="V70:V74" si="37">IF(T$12=0,0,T70/T$12)</f>
        <v>4.357281687369324E-3</v>
      </c>
      <c r="W70" s="1"/>
      <c r="X70" s="1">
        <f t="shared" ref="X70:X74" si="38">+P70-T70</f>
        <v>-786.09999999999991</v>
      </c>
      <c r="Y70" s="1"/>
      <c r="Z70" s="5">
        <f t="shared" ref="Z70:Z74" si="39">IF(T70=0,0,X70/T70)</f>
        <v>-0.3994694744544835</v>
      </c>
    </row>
    <row r="71" spans="1:26" s="24" customFormat="1" hidden="1" outlineLevel="2" x14ac:dyDescent="0.25">
      <c r="A71" s="26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32"/>
        <v>0</v>
      </c>
      <c r="G71" s="2"/>
      <c r="H71" s="6">
        <v>172</v>
      </c>
      <c r="I71" s="2"/>
      <c r="J71" s="7">
        <f t="shared" si="33"/>
        <v>5.9405434492038629E-3</v>
      </c>
      <c r="K71" s="2"/>
      <c r="L71" s="6">
        <f t="shared" si="34"/>
        <v>-172</v>
      </c>
      <c r="M71" s="2"/>
      <c r="N71" s="7">
        <f t="shared" si="35"/>
        <v>-1</v>
      </c>
      <c r="O71" s="11"/>
      <c r="P71" s="6">
        <v>1181.76</v>
      </c>
      <c r="Q71" s="2"/>
      <c r="R71" s="7">
        <f t="shared" si="36"/>
        <v>2.8744000569159225E-3</v>
      </c>
      <c r="S71" s="2"/>
      <c r="T71" s="6">
        <v>1967.86</v>
      </c>
      <c r="U71" s="2"/>
      <c r="V71" s="7">
        <f t="shared" si="37"/>
        <v>4.357281687369324E-3</v>
      </c>
      <c r="W71" s="2"/>
      <c r="X71" s="6">
        <f t="shared" si="38"/>
        <v>-786.09999999999991</v>
      </c>
      <c r="Y71" s="2"/>
      <c r="Z71" s="7">
        <f t="shared" si="39"/>
        <v>-0.3994694744544835</v>
      </c>
    </row>
    <row r="72" spans="1:26" s="27" customFormat="1" outlineLevel="1" collapsed="1" x14ac:dyDescent="0.25">
      <c r="A72" s="25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SUM(OSRRefD22_3x_0)</f>
        <v>1720.37</v>
      </c>
      <c r="E72" s="1"/>
      <c r="F72" s="5">
        <f t="shared" si="32"/>
        <v>0.24639262814315763</v>
      </c>
      <c r="G72" s="1"/>
      <c r="H72" s="1">
        <f>SUM(OSRRefH22_3x_0)</f>
        <v>1228.98</v>
      </c>
      <c r="I72" s="1"/>
      <c r="J72" s="5">
        <f t="shared" si="33"/>
        <v>4.2446564466293975E-2</v>
      </c>
      <c r="K72" s="1"/>
      <c r="L72" s="1">
        <f t="shared" si="34"/>
        <v>491.38999999999987</v>
      </c>
      <c r="M72" s="1"/>
      <c r="N72" s="5">
        <f t="shared" si="35"/>
        <v>0.39983563605591615</v>
      </c>
      <c r="O72" s="13"/>
      <c r="P72" s="1">
        <f>SUM(OSRRefP22_3x_0)</f>
        <v>11926.59</v>
      </c>
      <c r="Q72" s="1"/>
      <c r="R72" s="5">
        <f t="shared" si="36"/>
        <v>2.9009097426561124E-2</v>
      </c>
      <c r="S72" s="1"/>
      <c r="T72" s="1">
        <f>SUM(OSRRefT22_3x_0)</f>
        <v>23005.37</v>
      </c>
      <c r="U72" s="1"/>
      <c r="V72" s="5">
        <f t="shared" si="37"/>
        <v>5.0939028900508991E-2</v>
      </c>
      <c r="W72" s="1"/>
      <c r="X72" s="1">
        <f t="shared" si="38"/>
        <v>-11078.779999999999</v>
      </c>
      <c r="Y72" s="1"/>
      <c r="Z72" s="5">
        <f t="shared" si="39"/>
        <v>-0.4815736499782442</v>
      </c>
    </row>
    <row r="73" spans="1:26" s="24" customFormat="1" hidden="1" outlineLevel="2" x14ac:dyDescent="0.25">
      <c r="A73" s="26"/>
      <c r="B73" s="11" t="str">
        <f>CONCATENATE("          ", "6382", " - ", "DISCOUNTS/MARK DOWNS")</f>
        <v xml:space="preserve">          6382 - DISCOUNTS/MARK DOWNS</v>
      </c>
      <c r="C73" s="11"/>
      <c r="D73" s="6">
        <v>1720.37</v>
      </c>
      <c r="E73" s="2"/>
      <c r="F73" s="7">
        <f t="shared" si="32"/>
        <v>0.24639262814315763</v>
      </c>
      <c r="G73" s="2"/>
      <c r="H73" s="6">
        <v>1208.0999999999999</v>
      </c>
      <c r="I73" s="2"/>
      <c r="J73" s="7">
        <f t="shared" si="33"/>
        <v>4.1725410121995272E-2</v>
      </c>
      <c r="K73" s="2"/>
      <c r="L73" s="6">
        <f t="shared" si="34"/>
        <v>512.27</v>
      </c>
      <c r="M73" s="2"/>
      <c r="N73" s="7">
        <f t="shared" si="35"/>
        <v>0.42402946775929146</v>
      </c>
      <c r="O73" s="11"/>
      <c r="P73" s="6">
        <v>11926.59</v>
      </c>
      <c r="Q73" s="2"/>
      <c r="R73" s="7">
        <f t="shared" si="36"/>
        <v>2.9009097426561124E-2</v>
      </c>
      <c r="S73" s="2"/>
      <c r="T73" s="6">
        <v>22370.46</v>
      </c>
      <c r="U73" s="2"/>
      <c r="V73" s="7">
        <f t="shared" si="37"/>
        <v>4.9533196312760035E-2</v>
      </c>
      <c r="W73" s="2"/>
      <c r="X73" s="6">
        <f t="shared" si="38"/>
        <v>-10443.869999999999</v>
      </c>
      <c r="Y73" s="2"/>
      <c r="Z73" s="7">
        <f t="shared" si="39"/>
        <v>-0.46685986787933725</v>
      </c>
    </row>
    <row r="74" spans="1:26" s="24" customFormat="1" hidden="1" outlineLevel="2" x14ac:dyDescent="0.25">
      <c r="A74" s="26"/>
      <c r="B74" s="11" t="str">
        <f>CONCATENATE("          ", "9175", " - ", "EARNED DISCOUNTS")</f>
        <v xml:space="preserve">          9175 - EARNED DISCOUNTS</v>
      </c>
      <c r="C74" s="11"/>
      <c r="D74" s="6"/>
      <c r="E74" s="2"/>
      <c r="F74" s="7">
        <f t="shared" si="32"/>
        <v>0</v>
      </c>
      <c r="G74" s="2"/>
      <c r="H74" s="6">
        <v>20.88</v>
      </c>
      <c r="I74" s="2"/>
      <c r="J74" s="7">
        <f t="shared" si="33"/>
        <v>7.2115434429870153E-4</v>
      </c>
      <c r="K74" s="2"/>
      <c r="L74" s="6">
        <f t="shared" si="34"/>
        <v>-20.88</v>
      </c>
      <c r="M74" s="2"/>
      <c r="N74" s="7">
        <f t="shared" si="35"/>
        <v>-1</v>
      </c>
      <c r="O74" s="11"/>
      <c r="P74" s="6">
        <v>0</v>
      </c>
      <c r="Q74" s="2"/>
      <c r="R74" s="7">
        <f t="shared" si="36"/>
        <v>0</v>
      </c>
      <c r="S74" s="2"/>
      <c r="T74" s="6">
        <v>634.91</v>
      </c>
      <c r="U74" s="2"/>
      <c r="V74" s="7">
        <f t="shared" si="37"/>
        <v>1.4058325877489544E-3</v>
      </c>
      <c r="W74" s="2"/>
      <c r="X74" s="6">
        <f t="shared" si="38"/>
        <v>-634.91</v>
      </c>
      <c r="Y74" s="2"/>
      <c r="Z74" s="7">
        <f t="shared" si="39"/>
        <v>-1</v>
      </c>
    </row>
    <row r="75" spans="1:26" s="27" customFormat="1" outlineLevel="1" collapsed="1" x14ac:dyDescent="0.25">
      <c r="A75" s="25"/>
      <c r="B75" s="13" t="str">
        <f>CONCATENATE("     ","Employees' Appreciation                           ")</f>
        <v xml:space="preserve">     Employees' Appreciation                           </v>
      </c>
      <c r="C75" s="13"/>
      <c r="D75" s="1">
        <f>SUM(OSRRefD22_4x_0)</f>
        <v>0</v>
      </c>
      <c r="E75" s="1"/>
      <c r="F75" s="5">
        <f t="shared" ref="F75:F84" si="40">IF(D$12=0,0,D75/D$12)</f>
        <v>0</v>
      </c>
      <c r="G75" s="1"/>
      <c r="H75" s="1">
        <f>SUM(OSRRefH22_4x_0)</f>
        <v>0</v>
      </c>
      <c r="I75" s="1"/>
      <c r="J75" s="5">
        <f t="shared" ref="J75:J84" si="41">IF(H$12=0,0,H75/H$12)</f>
        <v>0</v>
      </c>
      <c r="K75" s="1"/>
      <c r="L75" s="1">
        <f t="shared" ref="L75:L84" si="42">+D75-H75</f>
        <v>0</v>
      </c>
      <c r="M75" s="1"/>
      <c r="N75" s="5">
        <f t="shared" ref="N75:N84" si="43">IF(H75=0,0,L75/H75)</f>
        <v>0</v>
      </c>
      <c r="O75" s="13"/>
      <c r="P75" s="1">
        <f>SUM(OSRRefP22_4x_0)</f>
        <v>0</v>
      </c>
      <c r="Q75" s="1"/>
      <c r="R75" s="5">
        <f t="shared" ref="R75:R84" si="44">IF(P$12=0,0,P75/P$12)</f>
        <v>0</v>
      </c>
      <c r="S75" s="1"/>
      <c r="T75" s="1">
        <f>SUM(OSRRefT22_4x_0)</f>
        <v>77.849999999999994</v>
      </c>
      <c r="U75" s="1"/>
      <c r="V75" s="5">
        <f t="shared" ref="V75:V84" si="45">IF(T$12=0,0,T75/T$12)</f>
        <v>1.7237729277575734E-4</v>
      </c>
      <c r="W75" s="1"/>
      <c r="X75" s="1">
        <f t="shared" ref="X75:X84" si="46">+P75-T75</f>
        <v>-77.849999999999994</v>
      </c>
      <c r="Y75" s="1"/>
      <c r="Z75" s="5">
        <f t="shared" ref="Z75:Z84" si="47">IF(T75=0,0,X75/T75)</f>
        <v>-1</v>
      </c>
    </row>
    <row r="76" spans="1:26" s="24" customFormat="1" hidden="1" outlineLevel="2" x14ac:dyDescent="0.25">
      <c r="A76" s="26"/>
      <c r="B76" s="11" t="str">
        <f>CONCATENATE("          ", "6277", " - ", "EMPLOYEE APPRECIATION")</f>
        <v xml:space="preserve">          6277 - EMPLOYEE APPRECIATION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/>
      <c r="Q76" s="2"/>
      <c r="R76" s="7">
        <f t="shared" si="44"/>
        <v>0</v>
      </c>
      <c r="S76" s="2"/>
      <c r="T76" s="6">
        <v>77.849999999999994</v>
      </c>
      <c r="U76" s="2"/>
      <c r="V76" s="7">
        <f t="shared" si="45"/>
        <v>1.7237729277575734E-4</v>
      </c>
      <c r="W76" s="2"/>
      <c r="X76" s="6">
        <f t="shared" si="46"/>
        <v>-77.849999999999994</v>
      </c>
      <c r="Y76" s="2"/>
      <c r="Z76" s="7">
        <f t="shared" si="47"/>
        <v>-1</v>
      </c>
    </row>
    <row r="77" spans="1:26" s="27" customFormat="1" outlineLevel="1" collapsed="1" x14ac:dyDescent="0.25">
      <c r="A77" s="25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SUM(OSRRefD22_5x_0)</f>
        <v>0</v>
      </c>
      <c r="E77" s="1"/>
      <c r="F77" s="5">
        <f t="shared" si="40"/>
        <v>0</v>
      </c>
      <c r="G77" s="1"/>
      <c r="H77" s="1">
        <f>SUM(OSRRefH22_5x_0)</f>
        <v>0</v>
      </c>
      <c r="I77" s="1"/>
      <c r="J77" s="5">
        <f t="shared" si="41"/>
        <v>0</v>
      </c>
      <c r="K77" s="1"/>
      <c r="L77" s="1">
        <f t="shared" si="42"/>
        <v>0</v>
      </c>
      <c r="M77" s="1"/>
      <c r="N77" s="5">
        <f t="shared" si="43"/>
        <v>0</v>
      </c>
      <c r="O77" s="13"/>
      <c r="P77" s="1">
        <f>SUM(OSRRefP22_5x_0)</f>
        <v>15.81</v>
      </c>
      <c r="Q77" s="1"/>
      <c r="R77" s="5">
        <f t="shared" si="44"/>
        <v>3.84547326867052E-5</v>
      </c>
      <c r="S77" s="1"/>
      <c r="T77" s="1">
        <f>SUM(OSRRefT22_5x_0)</f>
        <v>28.02</v>
      </c>
      <c r="U77" s="1"/>
      <c r="V77" s="5">
        <f t="shared" si="45"/>
        <v>6.2042540058788962E-5</v>
      </c>
      <c r="W77" s="1"/>
      <c r="X77" s="1">
        <f t="shared" si="46"/>
        <v>-12.209999999999999</v>
      </c>
      <c r="Y77" s="1"/>
      <c r="Z77" s="5">
        <f t="shared" si="47"/>
        <v>-0.43576017130620981</v>
      </c>
    </row>
    <row r="78" spans="1:26" s="24" customFormat="1" hidden="1" outlineLevel="2" x14ac:dyDescent="0.25">
      <c r="A78" s="26"/>
      <c r="B78" s="11" t="str">
        <f>CONCATENATE("          ", "6305", " - ", "FREIGHT OUT")</f>
        <v xml:space="preserve">          6305 - FREIGHT OUT</v>
      </c>
      <c r="C78" s="11"/>
      <c r="D78" s="6"/>
      <c r="E78" s="2"/>
      <c r="F78" s="7">
        <f t="shared" si="40"/>
        <v>0</v>
      </c>
      <c r="G78" s="2"/>
      <c r="H78" s="6"/>
      <c r="I78" s="2"/>
      <c r="J78" s="7">
        <f t="shared" si="41"/>
        <v>0</v>
      </c>
      <c r="K78" s="2"/>
      <c r="L78" s="6">
        <f t="shared" si="42"/>
        <v>0</v>
      </c>
      <c r="M78" s="2"/>
      <c r="N78" s="7">
        <f t="shared" si="43"/>
        <v>0</v>
      </c>
      <c r="O78" s="11"/>
      <c r="P78" s="6">
        <v>15.81</v>
      </c>
      <c r="Q78" s="2"/>
      <c r="R78" s="7">
        <f t="shared" si="44"/>
        <v>3.84547326867052E-5</v>
      </c>
      <c r="S78" s="2"/>
      <c r="T78" s="6">
        <v>28.02</v>
      </c>
      <c r="U78" s="2"/>
      <c r="V78" s="7">
        <f t="shared" si="45"/>
        <v>6.2042540058788962E-5</v>
      </c>
      <c r="W78" s="2"/>
      <c r="X78" s="6">
        <f t="shared" si="46"/>
        <v>-12.209999999999999</v>
      </c>
      <c r="Y78" s="2"/>
      <c r="Z78" s="7">
        <f t="shared" si="47"/>
        <v>-0.43576017130620981</v>
      </c>
    </row>
    <row r="79" spans="1:26" s="27" customFormat="1" outlineLevel="1" collapsed="1" x14ac:dyDescent="0.25">
      <c r="A79" s="25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SUM(OSRRefD22_6x_0)</f>
        <v>0</v>
      </c>
      <c r="E79" s="1"/>
      <c r="F79" s="5">
        <f t="shared" si="40"/>
        <v>0</v>
      </c>
      <c r="G79" s="1"/>
      <c r="H79" s="1">
        <f>SUM(OSRRefH22_6x_0)</f>
        <v>0</v>
      </c>
      <c r="I79" s="1"/>
      <c r="J79" s="5">
        <f t="shared" si="41"/>
        <v>0</v>
      </c>
      <c r="K79" s="1"/>
      <c r="L79" s="1">
        <f t="shared" si="42"/>
        <v>0</v>
      </c>
      <c r="M79" s="1"/>
      <c r="N79" s="5">
        <f t="shared" si="43"/>
        <v>0</v>
      </c>
      <c r="O79" s="13"/>
      <c r="P79" s="1">
        <f>SUM(OSRRefP22_6x_0)</f>
        <v>120</v>
      </c>
      <c r="Q79" s="1"/>
      <c r="R79" s="5">
        <f t="shared" si="44"/>
        <v>2.9187652893134875E-4</v>
      </c>
      <c r="S79" s="1"/>
      <c r="T79" s="1">
        <f>SUM(OSRRefT22_6x_0)</f>
        <v>172.34</v>
      </c>
      <c r="U79" s="1"/>
      <c r="V79" s="5">
        <f t="shared" si="45"/>
        <v>3.8159926315958927E-4</v>
      </c>
      <c r="W79" s="1"/>
      <c r="X79" s="1">
        <f t="shared" si="46"/>
        <v>-52.34</v>
      </c>
      <c r="Y79" s="1"/>
      <c r="Z79" s="5">
        <f t="shared" si="47"/>
        <v>-0.30370198444934432</v>
      </c>
    </row>
    <row r="80" spans="1:26" s="24" customFormat="1" hidden="1" outlineLevel="2" x14ac:dyDescent="0.25">
      <c r="A80" s="26"/>
      <c r="B80" s="11" t="str">
        <f>CONCATENATE("          ", "6258", " - ", "MEMBERSHIP DUES")</f>
        <v xml:space="preserve">          6258 - MEMBERSHIP DUES</v>
      </c>
      <c r="C80" s="11"/>
      <c r="D80" s="6"/>
      <c r="E80" s="2"/>
      <c r="F80" s="7">
        <f t="shared" si="40"/>
        <v>0</v>
      </c>
      <c r="G80" s="2"/>
      <c r="H80" s="6"/>
      <c r="I80" s="2"/>
      <c r="J80" s="7">
        <f t="shared" si="41"/>
        <v>0</v>
      </c>
      <c r="K80" s="2"/>
      <c r="L80" s="6">
        <f t="shared" si="42"/>
        <v>0</v>
      </c>
      <c r="M80" s="2"/>
      <c r="N80" s="7">
        <f t="shared" si="43"/>
        <v>0</v>
      </c>
      <c r="O80" s="11"/>
      <c r="P80" s="6">
        <v>120</v>
      </c>
      <c r="Q80" s="2"/>
      <c r="R80" s="7">
        <f t="shared" si="44"/>
        <v>2.9187652893134875E-4</v>
      </c>
      <c r="S80" s="2"/>
      <c r="T80" s="6">
        <v>172.34</v>
      </c>
      <c r="U80" s="2"/>
      <c r="V80" s="7">
        <f t="shared" si="45"/>
        <v>3.8159926315958927E-4</v>
      </c>
      <c r="W80" s="2"/>
      <c r="X80" s="6">
        <f t="shared" si="46"/>
        <v>-52.34</v>
      </c>
      <c r="Y80" s="2"/>
      <c r="Z80" s="7">
        <f t="shared" si="47"/>
        <v>-0.30370198444934432</v>
      </c>
    </row>
    <row r="81" spans="1:26" s="27" customFormat="1" outlineLevel="1" collapsed="1" x14ac:dyDescent="0.25">
      <c r="A81" s="25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SUM(OSRRefD22_7x_0)</f>
        <v>0</v>
      </c>
      <c r="E81" s="1"/>
      <c r="F81" s="5">
        <f t="shared" si="40"/>
        <v>0</v>
      </c>
      <c r="G81" s="1"/>
      <c r="H81" s="1">
        <f>SUM(OSRRefH22_7x_0)</f>
        <v>173.92</v>
      </c>
      <c r="I81" s="1"/>
      <c r="J81" s="5">
        <f t="shared" si="41"/>
        <v>6.0068564923577662E-3</v>
      </c>
      <c r="K81" s="1"/>
      <c r="L81" s="1">
        <f t="shared" si="42"/>
        <v>-173.92</v>
      </c>
      <c r="M81" s="1"/>
      <c r="N81" s="5">
        <f t="shared" si="43"/>
        <v>-1</v>
      </c>
      <c r="O81" s="13"/>
      <c r="P81" s="1">
        <f>SUM(OSRRefP22_7x_0)</f>
        <v>355.52</v>
      </c>
      <c r="Q81" s="1"/>
      <c r="R81" s="5">
        <f t="shared" si="44"/>
        <v>8.647328630472759E-4</v>
      </c>
      <c r="S81" s="1"/>
      <c r="T81" s="1">
        <f>SUM(OSRRefT22_7x_0)</f>
        <v>718.68</v>
      </c>
      <c r="U81" s="1"/>
      <c r="V81" s="5">
        <f t="shared" si="45"/>
        <v>1.5913180831352766E-3</v>
      </c>
      <c r="W81" s="1"/>
      <c r="X81" s="1">
        <f t="shared" si="46"/>
        <v>-363.15999999999997</v>
      </c>
      <c r="Y81" s="1"/>
      <c r="Z81" s="5">
        <f t="shared" si="47"/>
        <v>-0.5053153002727222</v>
      </c>
    </row>
    <row r="82" spans="1:26" s="24" customFormat="1" hidden="1" outlineLevel="2" x14ac:dyDescent="0.25">
      <c r="A82" s="26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40"/>
        <v>0</v>
      </c>
      <c r="G82" s="2"/>
      <c r="H82" s="6"/>
      <c r="I82" s="2"/>
      <c r="J82" s="7">
        <f t="shared" si="41"/>
        <v>0</v>
      </c>
      <c r="K82" s="2"/>
      <c r="L82" s="6">
        <f t="shared" si="42"/>
        <v>0</v>
      </c>
      <c r="M82" s="2"/>
      <c r="N82" s="7">
        <f t="shared" si="43"/>
        <v>0</v>
      </c>
      <c r="O82" s="11"/>
      <c r="P82" s="6">
        <v>252.29</v>
      </c>
      <c r="Q82" s="2"/>
      <c r="R82" s="7">
        <f t="shared" si="44"/>
        <v>6.1364607903408312E-4</v>
      </c>
      <c r="S82" s="2"/>
      <c r="T82" s="6">
        <v>541.23</v>
      </c>
      <c r="U82" s="2"/>
      <c r="V82" s="7">
        <f t="shared" si="45"/>
        <v>1.1984041383304195E-3</v>
      </c>
      <c r="W82" s="2"/>
      <c r="X82" s="6">
        <f t="shared" si="46"/>
        <v>-288.94000000000005</v>
      </c>
      <c r="Y82" s="2"/>
      <c r="Z82" s="7">
        <f t="shared" si="47"/>
        <v>-0.5338580640393179</v>
      </c>
    </row>
    <row r="83" spans="1:26" s="24" customFormat="1" hidden="1" outlineLevel="2" x14ac:dyDescent="0.25">
      <c r="A83" s="26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40"/>
        <v>0</v>
      </c>
      <c r="G83" s="2"/>
      <c r="H83" s="6"/>
      <c r="I83" s="2"/>
      <c r="J83" s="7">
        <f t="shared" si="41"/>
        <v>0</v>
      </c>
      <c r="K83" s="2"/>
      <c r="L83" s="6">
        <f t="shared" si="42"/>
        <v>0</v>
      </c>
      <c r="M83" s="2"/>
      <c r="N83" s="7">
        <f t="shared" si="43"/>
        <v>0</v>
      </c>
      <c r="O83" s="11"/>
      <c r="P83" s="6"/>
      <c r="Q83" s="2"/>
      <c r="R83" s="7">
        <f t="shared" si="44"/>
        <v>0</v>
      </c>
      <c r="S83" s="2"/>
      <c r="T83" s="6">
        <v>3.53</v>
      </c>
      <c r="U83" s="2"/>
      <c r="V83" s="7">
        <f t="shared" si="45"/>
        <v>7.8162086512321573E-6</v>
      </c>
      <c r="W83" s="2"/>
      <c r="X83" s="6">
        <f t="shared" si="46"/>
        <v>-3.53</v>
      </c>
      <c r="Y83" s="2"/>
      <c r="Z83" s="7">
        <f t="shared" si="47"/>
        <v>-1</v>
      </c>
    </row>
    <row r="84" spans="1:26" s="24" customFormat="1" hidden="1" outlineLevel="2" x14ac:dyDescent="0.25">
      <c r="A84" s="26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40"/>
        <v>0</v>
      </c>
      <c r="G84" s="2"/>
      <c r="H84" s="6">
        <v>173.92</v>
      </c>
      <c r="I84" s="2"/>
      <c r="J84" s="7">
        <f t="shared" si="41"/>
        <v>6.0068564923577662E-3</v>
      </c>
      <c r="K84" s="2"/>
      <c r="L84" s="6">
        <f t="shared" si="42"/>
        <v>-173.92</v>
      </c>
      <c r="M84" s="2"/>
      <c r="N84" s="7">
        <f t="shared" si="43"/>
        <v>-1</v>
      </c>
      <c r="O84" s="11"/>
      <c r="P84" s="6">
        <v>103.23</v>
      </c>
      <c r="Q84" s="2"/>
      <c r="R84" s="7">
        <f t="shared" si="44"/>
        <v>2.5108678401319277E-4</v>
      </c>
      <c r="S84" s="2"/>
      <c r="T84" s="6">
        <v>173.92</v>
      </c>
      <c r="U84" s="2"/>
      <c r="V84" s="7">
        <f t="shared" si="45"/>
        <v>3.8509773615362514E-4</v>
      </c>
      <c r="W84" s="2"/>
      <c r="X84" s="6">
        <f t="shared" si="46"/>
        <v>-70.689999999999984</v>
      </c>
      <c r="Y84" s="2"/>
      <c r="Z84" s="7">
        <f t="shared" si="47"/>
        <v>-0.4064512419503219</v>
      </c>
    </row>
    <row r="85" spans="1:26" s="27" customFormat="1" outlineLevel="1" collapsed="1" x14ac:dyDescent="0.25">
      <c r="A85" s="25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SUM(OSRRefD22_8x_0)</f>
        <v>0</v>
      </c>
      <c r="E85" s="1"/>
      <c r="F85" s="5">
        <f t="shared" ref="F85:F90" si="48">IF(D$12=0,0,D85/D$12)</f>
        <v>0</v>
      </c>
      <c r="G85" s="1"/>
      <c r="H85" s="1">
        <f>SUM(OSRRefH22_8x_0)</f>
        <v>0</v>
      </c>
      <c r="I85" s="1"/>
      <c r="J85" s="5">
        <f t="shared" ref="J85:J90" si="49">IF(H$12=0,0,H85/H$12)</f>
        <v>0</v>
      </c>
      <c r="K85" s="1"/>
      <c r="L85" s="1">
        <f t="shared" ref="L85:L90" si="50">+D85-H85</f>
        <v>0</v>
      </c>
      <c r="M85" s="1"/>
      <c r="N85" s="5">
        <f t="shared" ref="N85:N90" si="51">IF(H85=0,0,L85/H85)</f>
        <v>0</v>
      </c>
      <c r="O85" s="13"/>
      <c r="P85" s="1">
        <f>SUM(OSRRefP22_8x_0)</f>
        <v>0</v>
      </c>
      <c r="Q85" s="1"/>
      <c r="R85" s="5">
        <f t="shared" ref="R85:R90" si="52">IF(P$12=0,0,P85/P$12)</f>
        <v>0</v>
      </c>
      <c r="S85" s="1"/>
      <c r="T85" s="1">
        <f>SUM(OSRRefT22_8x_0)</f>
        <v>351.43</v>
      </c>
      <c r="U85" s="1"/>
      <c r="V85" s="5">
        <f t="shared" ref="V85:V90" si="53">IF(T$12=0,0,T85/T$12)</f>
        <v>7.7814453436331936E-4</v>
      </c>
      <c r="W85" s="1"/>
      <c r="X85" s="1">
        <f t="shared" ref="X85:X90" si="54">+P85-T85</f>
        <v>-351.43</v>
      </c>
      <c r="Y85" s="1"/>
      <c r="Z85" s="5">
        <f t="shared" ref="Z85:Z90" si="55">IF(T85=0,0,X85/T85)</f>
        <v>-1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6"/>
      <c r="E86" s="2"/>
      <c r="F86" s="7">
        <f t="shared" si="48"/>
        <v>0</v>
      </c>
      <c r="G86" s="2"/>
      <c r="H86" s="6"/>
      <c r="I86" s="2"/>
      <c r="J86" s="7">
        <f t="shared" si="49"/>
        <v>0</v>
      </c>
      <c r="K86" s="2"/>
      <c r="L86" s="6">
        <f t="shared" si="50"/>
        <v>0</v>
      </c>
      <c r="M86" s="2"/>
      <c r="N86" s="7">
        <f t="shared" si="51"/>
        <v>0</v>
      </c>
      <c r="O86" s="11"/>
      <c r="P86" s="6"/>
      <c r="Q86" s="2"/>
      <c r="R86" s="7">
        <f t="shared" si="52"/>
        <v>0</v>
      </c>
      <c r="S86" s="2"/>
      <c r="T86" s="6">
        <v>351.43</v>
      </c>
      <c r="U86" s="2"/>
      <c r="V86" s="7">
        <f t="shared" si="53"/>
        <v>7.7814453436331936E-4</v>
      </c>
      <c r="W86" s="2"/>
      <c r="X86" s="6">
        <f t="shared" si="54"/>
        <v>-351.43</v>
      </c>
      <c r="Y86" s="2"/>
      <c r="Z86" s="7">
        <f t="shared" si="55"/>
        <v>-1</v>
      </c>
    </row>
    <row r="87" spans="1:26" s="27" customFormat="1" outlineLevel="1" collapsed="1" x14ac:dyDescent="0.25">
      <c r="A87" s="25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SUM(OSRRefD22_9x_0)</f>
        <v>0</v>
      </c>
      <c r="E87" s="1"/>
      <c r="F87" s="5">
        <f t="shared" si="48"/>
        <v>0</v>
      </c>
      <c r="G87" s="1"/>
      <c r="H87" s="1">
        <f>SUM(OSRRefH22_9x_0)</f>
        <v>0</v>
      </c>
      <c r="I87" s="1"/>
      <c r="J87" s="5">
        <f t="shared" si="49"/>
        <v>0</v>
      </c>
      <c r="K87" s="1"/>
      <c r="L87" s="1">
        <f t="shared" si="50"/>
        <v>0</v>
      </c>
      <c r="M87" s="1"/>
      <c r="N87" s="5">
        <f t="shared" si="51"/>
        <v>0</v>
      </c>
      <c r="O87" s="13"/>
      <c r="P87" s="1">
        <f>SUM(OSRRefP22_9x_0)</f>
        <v>60</v>
      </c>
      <c r="Q87" s="1"/>
      <c r="R87" s="5">
        <f t="shared" si="52"/>
        <v>1.4593826446567437E-4</v>
      </c>
      <c r="S87" s="1"/>
      <c r="T87" s="1">
        <f>SUM(OSRRefT22_9x_0)</f>
        <v>0</v>
      </c>
      <c r="U87" s="1"/>
      <c r="V87" s="5">
        <f t="shared" si="53"/>
        <v>0</v>
      </c>
      <c r="W87" s="1"/>
      <c r="X87" s="1">
        <f t="shared" si="54"/>
        <v>60</v>
      </c>
      <c r="Y87" s="1"/>
      <c r="Z87" s="5">
        <f t="shared" si="55"/>
        <v>0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48"/>
        <v>0</v>
      </c>
      <c r="G88" s="2"/>
      <c r="H88" s="6"/>
      <c r="I88" s="2"/>
      <c r="J88" s="7">
        <f t="shared" si="49"/>
        <v>0</v>
      </c>
      <c r="K88" s="2"/>
      <c r="L88" s="6">
        <f t="shared" si="50"/>
        <v>0</v>
      </c>
      <c r="M88" s="2"/>
      <c r="N88" s="7">
        <f t="shared" si="51"/>
        <v>0</v>
      </c>
      <c r="O88" s="11"/>
      <c r="P88" s="6">
        <v>60</v>
      </c>
      <c r="Q88" s="2"/>
      <c r="R88" s="7">
        <f t="shared" si="52"/>
        <v>1.4593826446567437E-4</v>
      </c>
      <c r="S88" s="2"/>
      <c r="T88" s="6"/>
      <c r="U88" s="2"/>
      <c r="V88" s="7">
        <f t="shared" si="53"/>
        <v>0</v>
      </c>
      <c r="W88" s="2"/>
      <c r="X88" s="6">
        <f t="shared" si="54"/>
        <v>60</v>
      </c>
      <c r="Y88" s="2"/>
      <c r="Z88" s="7">
        <f t="shared" si="55"/>
        <v>0</v>
      </c>
    </row>
    <row r="89" spans="1:26" s="27" customFormat="1" outlineLevel="1" collapsed="1" x14ac:dyDescent="0.25">
      <c r="A89" s="25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SUM(OSRRefD22_10x_0)</f>
        <v>0</v>
      </c>
      <c r="E89" s="1"/>
      <c r="F89" s="5">
        <f t="shared" si="48"/>
        <v>0</v>
      </c>
      <c r="G89" s="1"/>
      <c r="H89" s="1">
        <f>SUM(OSRRefH22_10x_0)</f>
        <v>0</v>
      </c>
      <c r="I89" s="1"/>
      <c r="J89" s="5">
        <f t="shared" si="49"/>
        <v>0</v>
      </c>
      <c r="K89" s="1"/>
      <c r="L89" s="1">
        <f t="shared" si="50"/>
        <v>0</v>
      </c>
      <c r="M89" s="1"/>
      <c r="N89" s="5">
        <f t="shared" si="51"/>
        <v>0</v>
      </c>
      <c r="O89" s="13"/>
      <c r="P89" s="1">
        <f>SUM(OSRRefP22_10x_0)</f>
        <v>-323.01</v>
      </c>
      <c r="Q89" s="1"/>
      <c r="R89" s="5">
        <f t="shared" si="52"/>
        <v>-7.8565864675095808E-4</v>
      </c>
      <c r="S89" s="1"/>
      <c r="T89" s="1">
        <f>SUM(OSRRefT22_10x_0)</f>
        <v>0</v>
      </c>
      <c r="U89" s="1"/>
      <c r="V89" s="5">
        <f t="shared" si="53"/>
        <v>0</v>
      </c>
      <c r="W89" s="1"/>
      <c r="X89" s="1">
        <f t="shared" si="54"/>
        <v>-323.01</v>
      </c>
      <c r="Y89" s="1"/>
      <c r="Z89" s="5">
        <f t="shared" si="55"/>
        <v>0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48"/>
        <v>0</v>
      </c>
      <c r="G90" s="2"/>
      <c r="H90" s="6"/>
      <c r="I90" s="2"/>
      <c r="J90" s="7">
        <f t="shared" si="49"/>
        <v>0</v>
      </c>
      <c r="K90" s="2"/>
      <c r="L90" s="6">
        <f t="shared" si="50"/>
        <v>0</v>
      </c>
      <c r="M90" s="2"/>
      <c r="N90" s="7">
        <f t="shared" si="51"/>
        <v>0</v>
      </c>
      <c r="O90" s="11"/>
      <c r="P90" s="6">
        <v>-323.01</v>
      </c>
      <c r="Q90" s="2"/>
      <c r="R90" s="7">
        <f t="shared" si="52"/>
        <v>-7.8565864675095808E-4</v>
      </c>
      <c r="S90" s="2"/>
      <c r="T90" s="6"/>
      <c r="U90" s="2"/>
      <c r="V90" s="7">
        <f t="shared" si="53"/>
        <v>0</v>
      </c>
      <c r="W90" s="2"/>
      <c r="X90" s="6">
        <f t="shared" si="54"/>
        <v>-323.01</v>
      </c>
      <c r="Y90" s="2"/>
      <c r="Z90" s="7">
        <f t="shared" si="55"/>
        <v>0</v>
      </c>
    </row>
    <row r="91" spans="1:26" s="58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1">
        <f>+D52-D54+D92</f>
        <v>-7662.9099999999971</v>
      </c>
      <c r="E94" s="14"/>
      <c r="F94" s="20">
        <f>IF(D$12=0,0,D94/D$12)</f>
        <v>-1.0974874789286511</v>
      </c>
      <c r="G94" s="14"/>
      <c r="H94" s="21">
        <f>+H52-H54+H92</f>
        <v>2977.190000000006</v>
      </c>
      <c r="I94" s="14"/>
      <c r="J94" s="20">
        <f>IF(H$12=0,0,H94/H$12)</f>
        <v>0.10282631716008886</v>
      </c>
      <c r="K94" s="16"/>
      <c r="L94" s="21">
        <f>+D94-H94</f>
        <v>-10640.100000000002</v>
      </c>
      <c r="M94" s="16"/>
      <c r="N94" s="20">
        <f>IF(H94=0,0,L94/H94)</f>
        <v>-3.5738733503740039</v>
      </c>
      <c r="O94" s="28"/>
      <c r="P94" s="21">
        <f>+P52-P54+P92</f>
        <v>104566.27000000008</v>
      </c>
      <c r="Q94" s="14"/>
      <c r="R94" s="20">
        <f>IF(P$12=0,0,P94/P$12)</f>
        <v>0.25433699942415205</v>
      </c>
      <c r="S94" s="14"/>
      <c r="T94" s="21">
        <f>+T52-T54+T92</f>
        <v>113606.66999999997</v>
      </c>
      <c r="U94" s="14"/>
      <c r="V94" s="20">
        <f>IF(T$12=0,0,T94/T$12)</f>
        <v>0.25155054869452598</v>
      </c>
      <c r="W94" s="16"/>
      <c r="X94" s="21">
        <f>+P94-T94</f>
        <v>-9040.3999999998923</v>
      </c>
      <c r="Y94" s="16"/>
      <c r="Z94" s="20">
        <f>IF(T94=0,0,X94/T94)</f>
        <v>-7.9576313609050375E-2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2796.14</v>
      </c>
      <c r="E96" s="4"/>
      <c r="F96" s="12">
        <f>IF(D$12=0,0,D96/D$12)</f>
        <v>0.40046518089492888</v>
      </c>
      <c r="G96" s="4"/>
      <c r="H96" s="4">
        <v>3035.28</v>
      </c>
      <c r="I96" s="4"/>
      <c r="J96" s="12">
        <f>IF(H$12=0,0,H96/H$12)</f>
        <v>0.10483263209592734</v>
      </c>
      <c r="K96" s="4"/>
      <c r="L96" s="4">
        <f>+D96-H96</f>
        <v>-239.14000000000033</v>
      </c>
      <c r="M96" s="4"/>
      <c r="N96" s="12">
        <f>IF(H96=0,0,L96/H96)</f>
        <v>-7.8786800558762388E-2</v>
      </c>
      <c r="O96" s="10"/>
      <c r="P96" s="4">
        <v>48684.54</v>
      </c>
      <c r="Q96" s="4"/>
      <c r="R96" s="12">
        <f>IF(P$12=0,0,P96/P$12)</f>
        <v>0.11841562123182839</v>
      </c>
      <c r="S96" s="4"/>
      <c r="T96" s="4">
        <v>46975.65</v>
      </c>
      <c r="U96" s="4"/>
      <c r="V96" s="12">
        <f>IF(T$12=0,0,T96/T$12)</f>
        <v>0.10401458411536939</v>
      </c>
      <c r="W96" s="4"/>
      <c r="X96" s="4">
        <f>+P96-T96</f>
        <v>1708.8899999999994</v>
      </c>
      <c r="Y96" s="4"/>
      <c r="Z96" s="12">
        <f>IF(T96=0,0,X96/T96)</f>
        <v>3.637820871025732E-2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5">
        <f>+D94-D96</f>
        <v>-10459.049999999997</v>
      </c>
      <c r="E98" s="14"/>
      <c r="F98" s="32">
        <f>IF(D$12=0,0,D98/D$12)</f>
        <v>-1.4979526598235799</v>
      </c>
      <c r="G98" s="14"/>
      <c r="H98" s="35">
        <f>+H94-H96</f>
        <v>-58.089999999994234</v>
      </c>
      <c r="I98" s="14"/>
      <c r="J98" s="32">
        <f>IF(H$12=0,0,H98/H$12)</f>
        <v>-2.0063149358384778E-3</v>
      </c>
      <c r="K98" s="16"/>
      <c r="L98" s="35">
        <f>D98-H98</f>
        <v>-10400.960000000003</v>
      </c>
      <c r="M98" s="16"/>
      <c r="N98" s="32">
        <f>IF(H98=0,0,L98/H98)</f>
        <v>179.04906180067198</v>
      </c>
      <c r="O98" s="28"/>
      <c r="P98" s="35">
        <f>+P94-P96</f>
        <v>55881.730000000076</v>
      </c>
      <c r="Q98" s="14"/>
      <c r="R98" s="32">
        <f>IF(P$12=0,0,P98/P$12)</f>
        <v>0.13592137819232369</v>
      </c>
      <c r="S98" s="14"/>
      <c r="T98" s="35">
        <f>+T94-T96</f>
        <v>66631.01999999996</v>
      </c>
      <c r="U98" s="14"/>
      <c r="V98" s="32">
        <f>IF(T$12=0,0,T98/T$12)</f>
        <v>0.14753596457915655</v>
      </c>
      <c r="W98" s="16"/>
      <c r="X98" s="35">
        <f>P98-T98</f>
        <v>-10749.289999999884</v>
      </c>
      <c r="Y98" s="16"/>
      <c r="Z98" s="32">
        <f>IF(T98=0,0,X98/T98)</f>
        <v>-0.16132561080409533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6">
        <f>SUM(D98:D100)</f>
        <v>-10459.049999999997</v>
      </c>
      <c r="E101" s="14"/>
      <c r="F101" s="33">
        <f>IF(D$12=0,0,D101/D$12)</f>
        <v>-1.4979526598235799</v>
      </c>
      <c r="G101" s="14"/>
      <c r="H101" s="36">
        <f>SUM(H98:H100)</f>
        <v>-58.089999999994234</v>
      </c>
      <c r="I101" s="14"/>
      <c r="J101" s="33">
        <f>IF(H$12=0,0,H101/H$12)</f>
        <v>-2.0063149358384778E-3</v>
      </c>
      <c r="K101" s="16"/>
      <c r="L101" s="36">
        <f>+D101-H101</f>
        <v>-10400.960000000003</v>
      </c>
      <c r="M101" s="16"/>
      <c r="N101" s="33">
        <f>IF(H101=0,0,L101/H101)</f>
        <v>179.04906180067198</v>
      </c>
      <c r="O101" s="28"/>
      <c r="P101" s="36">
        <f>SUM(P98:P100)</f>
        <v>55881.730000000076</v>
      </c>
      <c r="Q101" s="14"/>
      <c r="R101" s="33">
        <f>IF(P$12=0,0,P101/P$12)</f>
        <v>0.13592137819232369</v>
      </c>
      <c r="S101" s="14"/>
      <c r="T101" s="36">
        <f>SUM(T98:T100)</f>
        <v>66631.01999999996</v>
      </c>
      <c r="U101" s="14"/>
      <c r="V101" s="33">
        <f>IF(T$12=0,0,T101/T$12)</f>
        <v>0.14753596457915655</v>
      </c>
      <c r="W101" s="16"/>
      <c r="X101" s="36">
        <f>+P101-T101</f>
        <v>-10749.289999999884</v>
      </c>
      <c r="Y101" s="16"/>
      <c r="Z101" s="33">
        <f>IF(T101=0,0,X101/T101)</f>
        <v>-0.16132561080409533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5">
        <v>43992.375576736114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2" t="s">
        <v>313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3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60634.290000000023</v>
      </c>
      <c r="E12" s="4"/>
      <c r="F12" s="12"/>
      <c r="G12" s="4"/>
      <c r="H12" s="4">
        <f>SUM(OSRRefH13x_0)</f>
        <v>102047.10999999997</v>
      </c>
      <c r="I12" s="4"/>
      <c r="J12" s="12"/>
      <c r="K12" s="4"/>
      <c r="L12" s="4">
        <f t="shared" ref="L12:L44" si="0">+D12-H12</f>
        <v>-41412.819999999949</v>
      </c>
      <c r="M12" s="4"/>
      <c r="N12" s="12">
        <f t="shared" ref="N12:N44" si="1">IF(H12=0,0,L12/H12)</f>
        <v>-0.40582060579667528</v>
      </c>
      <c r="O12" s="10"/>
      <c r="P12" s="4">
        <f>SUM(OSRRefP13x_0)</f>
        <v>4929246.9199999971</v>
      </c>
      <c r="Q12" s="4"/>
      <c r="R12" s="12"/>
      <c r="S12" s="4"/>
      <c r="T12" s="4">
        <f>SUM(OSRRefT13x_0)</f>
        <v>6003739.1000000006</v>
      </c>
      <c r="U12" s="4"/>
      <c r="V12" s="12"/>
      <c r="W12" s="4"/>
      <c r="X12" s="4">
        <f t="shared" ref="X12:X44" si="2">+P12-T12</f>
        <v>-1074492.1800000034</v>
      </c>
      <c r="Y12" s="4"/>
      <c r="Z12" s="12">
        <f t="shared" ref="Z12:Z44" si="3">IF(T12=0,0,X12/T12)</f>
        <v>-0.17897049856813455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--37281.91</f>
        <v>37281.910000000003</v>
      </c>
      <c r="E14" s="2"/>
      <c r="F14" s="19"/>
      <c r="G14" s="2"/>
      <c r="H14" s="2">
        <f>--41883.59</f>
        <v>41883.589999999997</v>
      </c>
      <c r="I14" s="2"/>
      <c r="J14" s="19"/>
      <c r="K14" s="2"/>
      <c r="L14" s="2">
        <f t="shared" si="0"/>
        <v>-4601.679999999993</v>
      </c>
      <c r="M14" s="2"/>
      <c r="N14" s="19">
        <f t="shared" si="1"/>
        <v>-0.1098683279059888</v>
      </c>
      <c r="O14" s="11"/>
      <c r="P14" s="2">
        <f>--2435259.64</f>
        <v>2435259.64</v>
      </c>
      <c r="Q14" s="2"/>
      <c r="R14" s="19"/>
      <c r="S14" s="2"/>
      <c r="T14" s="2">
        <f>--3103237.76</f>
        <v>3103237.76</v>
      </c>
      <c r="U14" s="2"/>
      <c r="V14" s="19"/>
      <c r="W14" s="2"/>
      <c r="X14" s="2">
        <f t="shared" si="2"/>
        <v>-667978.11999999965</v>
      </c>
      <c r="Y14" s="2"/>
      <c r="Z14" s="19">
        <f t="shared" si="3"/>
        <v>-0.21525199538690831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--11509.55</f>
        <v>11509.55</v>
      </c>
      <c r="E15" s="2"/>
      <c r="F15" s="19"/>
      <c r="G15" s="2"/>
      <c r="H15" s="2">
        <f>--30305.16</f>
        <v>30305.16</v>
      </c>
      <c r="I15" s="2"/>
      <c r="J15" s="19"/>
      <c r="K15" s="2"/>
      <c r="L15" s="2">
        <f t="shared" si="0"/>
        <v>-18795.61</v>
      </c>
      <c r="M15" s="2"/>
      <c r="N15" s="19">
        <f t="shared" si="1"/>
        <v>-0.62021154153286107</v>
      </c>
      <c r="O15" s="11"/>
      <c r="P15" s="2">
        <f>--1256426.74</f>
        <v>1256426.74</v>
      </c>
      <c r="Q15" s="2"/>
      <c r="R15" s="19"/>
      <c r="S15" s="2"/>
      <c r="T15" s="2">
        <f>--1393961.55</f>
        <v>1393961.55</v>
      </c>
      <c r="U15" s="2"/>
      <c r="V15" s="19"/>
      <c r="W15" s="2"/>
      <c r="X15" s="2">
        <f t="shared" si="2"/>
        <v>-137534.81000000006</v>
      </c>
      <c r="Y15" s="2"/>
      <c r="Z15" s="19">
        <f t="shared" si="3"/>
        <v>-9.8664708506486454E-2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--69.99</f>
        <v>69.989999999999995</v>
      </c>
      <c r="E16" s="2"/>
      <c r="F16" s="19"/>
      <c r="G16" s="2"/>
      <c r="H16" s="2">
        <f>--107</f>
        <v>107</v>
      </c>
      <c r="I16" s="2"/>
      <c r="J16" s="19"/>
      <c r="K16" s="2"/>
      <c r="L16" s="2">
        <f t="shared" si="0"/>
        <v>-37.010000000000005</v>
      </c>
      <c r="M16" s="2"/>
      <c r="N16" s="19">
        <f t="shared" si="1"/>
        <v>-0.34588785046728976</v>
      </c>
      <c r="O16" s="11"/>
      <c r="P16" s="2">
        <f>--33764.88</f>
        <v>33764.879999999997</v>
      </c>
      <c r="Q16" s="2"/>
      <c r="R16" s="19"/>
      <c r="S16" s="2"/>
      <c r="T16" s="2">
        <f>--15254.65</f>
        <v>15254.65</v>
      </c>
      <c r="U16" s="2"/>
      <c r="V16" s="19"/>
      <c r="W16" s="2"/>
      <c r="X16" s="2">
        <f t="shared" si="2"/>
        <v>18510.229999999996</v>
      </c>
      <c r="Y16" s="2"/>
      <c r="Z16" s="19">
        <f t="shared" si="3"/>
        <v>1.2134155814784342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9" si="4">0</f>
        <v>0</v>
      </c>
      <c r="E17" s="2"/>
      <c r="F17" s="19"/>
      <c r="G17" s="2"/>
      <c r="H17" s="2">
        <f>--227.95</f>
        <v>227.95</v>
      </c>
      <c r="I17" s="2"/>
      <c r="J17" s="19"/>
      <c r="K17" s="2"/>
      <c r="L17" s="2">
        <f t="shared" si="0"/>
        <v>-227.95</v>
      </c>
      <c r="M17" s="2"/>
      <c r="N17" s="19">
        <f t="shared" si="1"/>
        <v>-1</v>
      </c>
      <c r="O17" s="11"/>
      <c r="P17" s="2">
        <f>--42195.3</f>
        <v>42195.3</v>
      </c>
      <c r="Q17" s="2"/>
      <c r="R17" s="19"/>
      <c r="S17" s="2"/>
      <c r="T17" s="2">
        <f>--70418.64</f>
        <v>70418.64</v>
      </c>
      <c r="U17" s="2"/>
      <c r="V17" s="19"/>
      <c r="W17" s="2"/>
      <c r="X17" s="2">
        <f t="shared" si="2"/>
        <v>-28223.339999999997</v>
      </c>
      <c r="Y17" s="2"/>
      <c r="Z17" s="19">
        <f t="shared" si="3"/>
        <v>-0.40079359669542036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>
        <f>--5.83</f>
        <v>5.83</v>
      </c>
      <c r="U18" s="2"/>
      <c r="V18" s="19"/>
      <c r="W18" s="2"/>
      <c r="X18" s="2">
        <f t="shared" si="2"/>
        <v>1046.6500000000001</v>
      </c>
      <c r="Y18" s="2"/>
      <c r="Z18" s="19">
        <f t="shared" si="3"/>
        <v>179.52830188679246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--483.81</f>
        <v>483.81</v>
      </c>
      <c r="I19" s="2"/>
      <c r="J19" s="19"/>
      <c r="K19" s="2"/>
      <c r="L19" s="2">
        <f t="shared" si="0"/>
        <v>-483.81</v>
      </c>
      <c r="M19" s="2"/>
      <c r="N19" s="19">
        <f t="shared" si="1"/>
        <v>-1</v>
      </c>
      <c r="O19" s="11"/>
      <c r="P19" s="2">
        <f>--2713.36</f>
        <v>2713.36</v>
      </c>
      <c r="Q19" s="2"/>
      <c r="R19" s="19"/>
      <c r="S19" s="2"/>
      <c r="T19" s="2">
        <f>--6715.03</f>
        <v>6715.03</v>
      </c>
      <c r="U19" s="2"/>
      <c r="V19" s="19"/>
      <c r="W19" s="2"/>
      <c r="X19" s="2">
        <f t="shared" si="2"/>
        <v>-4001.6699999999996</v>
      </c>
      <c r="Y19" s="2"/>
      <c r="Z19" s="19">
        <f t="shared" si="3"/>
        <v>-0.59592734507515233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--0.8</f>
        <v>0.8</v>
      </c>
      <c r="E20" s="2"/>
      <c r="F20" s="19"/>
      <c r="G20" s="2"/>
      <c r="H20" s="2">
        <f>--95.48</f>
        <v>95.48</v>
      </c>
      <c r="I20" s="2"/>
      <c r="J20" s="19"/>
      <c r="K20" s="2"/>
      <c r="L20" s="2">
        <f t="shared" si="0"/>
        <v>-94.68</v>
      </c>
      <c r="M20" s="2"/>
      <c r="N20" s="19">
        <f t="shared" si="1"/>
        <v>-0.99162128194386256</v>
      </c>
      <c r="O20" s="11"/>
      <c r="P20" s="2">
        <f>--1219.98</f>
        <v>1219.98</v>
      </c>
      <c r="Q20" s="2"/>
      <c r="R20" s="19"/>
      <c r="S20" s="2"/>
      <c r="T20" s="2">
        <f>--2127.75</f>
        <v>2127.75</v>
      </c>
      <c r="U20" s="2"/>
      <c r="V20" s="19"/>
      <c r="W20" s="2"/>
      <c r="X20" s="2">
        <f t="shared" si="2"/>
        <v>-907.77</v>
      </c>
      <c r="Y20" s="2"/>
      <c r="Z20" s="19">
        <f t="shared" si="3"/>
        <v>-0.42663376806485726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--24.99</f>
        <v>24.99</v>
      </c>
      <c r="E21" s="2"/>
      <c r="F21" s="19"/>
      <c r="G21" s="2"/>
      <c r="H21" s="2">
        <f>--308.38</f>
        <v>308.38</v>
      </c>
      <c r="I21" s="2"/>
      <c r="J21" s="19"/>
      <c r="K21" s="2"/>
      <c r="L21" s="2">
        <f t="shared" si="0"/>
        <v>-283.39</v>
      </c>
      <c r="M21" s="2"/>
      <c r="N21" s="19">
        <f t="shared" si="1"/>
        <v>-0.91896361631753032</v>
      </c>
      <c r="O21" s="11"/>
      <c r="P21" s="2">
        <f>--4179.3</f>
        <v>4179.3</v>
      </c>
      <c r="Q21" s="2"/>
      <c r="R21" s="19"/>
      <c r="S21" s="2"/>
      <c r="T21" s="2">
        <f>--6383.46</f>
        <v>6383.46</v>
      </c>
      <c r="U21" s="2"/>
      <c r="V21" s="19"/>
      <c r="W21" s="2"/>
      <c r="X21" s="2">
        <f t="shared" si="2"/>
        <v>-2204.16</v>
      </c>
      <c r="Y21" s="2"/>
      <c r="Z21" s="19">
        <f t="shared" si="3"/>
        <v>-0.34529236495568233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--5210.55</f>
        <v>5210.55</v>
      </c>
      <c r="E22" s="2"/>
      <c r="F22" s="19"/>
      <c r="G22" s="2"/>
      <c r="H22" s="2">
        <f>--10164.71</f>
        <v>10164.709999999999</v>
      </c>
      <c r="I22" s="2"/>
      <c r="J22" s="19"/>
      <c r="K22" s="2"/>
      <c r="L22" s="2">
        <f t="shared" si="0"/>
        <v>-4954.1599999999989</v>
      </c>
      <c r="M22" s="2"/>
      <c r="N22" s="19">
        <f t="shared" si="1"/>
        <v>-0.48738822848856478</v>
      </c>
      <c r="O22" s="11"/>
      <c r="P22" s="2">
        <f>--607447.02</f>
        <v>607447.02</v>
      </c>
      <c r="Q22" s="2"/>
      <c r="R22" s="19"/>
      <c r="S22" s="2"/>
      <c r="T22" s="2">
        <f>--789574.6</f>
        <v>789574.6</v>
      </c>
      <c r="U22" s="2"/>
      <c r="V22" s="19"/>
      <c r="W22" s="2"/>
      <c r="X22" s="2">
        <f t="shared" si="2"/>
        <v>-182127.57999999996</v>
      </c>
      <c r="Y22" s="2"/>
      <c r="Z22" s="19">
        <f t="shared" si="3"/>
        <v>-0.23066544947114556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--7118.9</f>
        <v>7118.9</v>
      </c>
      <c r="E23" s="2"/>
      <c r="F23" s="19"/>
      <c r="G23" s="2"/>
      <c r="H23" s="2">
        <f>--14829.63</f>
        <v>14829.63</v>
      </c>
      <c r="I23" s="2"/>
      <c r="J23" s="19"/>
      <c r="K23" s="2"/>
      <c r="L23" s="2">
        <f t="shared" si="0"/>
        <v>-7710.73</v>
      </c>
      <c r="M23" s="2"/>
      <c r="N23" s="19">
        <f t="shared" si="1"/>
        <v>-0.51995430769344886</v>
      </c>
      <c r="O23" s="11"/>
      <c r="P23" s="2">
        <f>--151282.34</f>
        <v>151282.34</v>
      </c>
      <c r="Q23" s="2"/>
      <c r="R23" s="19"/>
      <c r="S23" s="2"/>
      <c r="T23" s="2">
        <f>--280944.1</f>
        <v>280944.09999999998</v>
      </c>
      <c r="U23" s="2"/>
      <c r="V23" s="19"/>
      <c r="W23" s="2"/>
      <c r="X23" s="2">
        <f t="shared" si="2"/>
        <v>-129661.75999999998</v>
      </c>
      <c r="Y23" s="2"/>
      <c r="Z23" s="19">
        <f t="shared" si="3"/>
        <v>-0.4615215624745278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--565.56</f>
        <v>565.55999999999995</v>
      </c>
      <c r="E24" s="2"/>
      <c r="F24" s="19"/>
      <c r="G24" s="2"/>
      <c r="H24" s="2">
        <f>--3752.48</f>
        <v>3752.48</v>
      </c>
      <c r="I24" s="2"/>
      <c r="J24" s="19"/>
      <c r="K24" s="2"/>
      <c r="L24" s="2">
        <f t="shared" si="0"/>
        <v>-3186.92</v>
      </c>
      <c r="M24" s="2"/>
      <c r="N24" s="19">
        <f t="shared" si="1"/>
        <v>-0.84928367373043967</v>
      </c>
      <c r="O24" s="11"/>
      <c r="P24" s="2">
        <f>--70225.46</f>
        <v>70225.460000000006</v>
      </c>
      <c r="Q24" s="2"/>
      <c r="R24" s="19"/>
      <c r="S24" s="2"/>
      <c r="T24" s="2">
        <f>--96349.95</f>
        <v>96349.95</v>
      </c>
      <c r="U24" s="2"/>
      <c r="V24" s="19"/>
      <c r="W24" s="2"/>
      <c r="X24" s="2">
        <f t="shared" si="2"/>
        <v>-26124.489999999991</v>
      </c>
      <c r="Y24" s="2"/>
      <c r="Z24" s="19">
        <f t="shared" si="3"/>
        <v>-0.27114170790955255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--321</f>
        <v>321</v>
      </c>
      <c r="I25" s="2"/>
      <c r="J25" s="19"/>
      <c r="K25" s="2"/>
      <c r="L25" s="2">
        <f t="shared" si="0"/>
        <v>-321</v>
      </c>
      <c r="M25" s="2"/>
      <c r="N25" s="19">
        <f t="shared" si="1"/>
        <v>-1</v>
      </c>
      <c r="O25" s="11"/>
      <c r="P25" s="2">
        <f>--664.97</f>
        <v>664.97</v>
      </c>
      <c r="Q25" s="2"/>
      <c r="R25" s="19"/>
      <c r="S25" s="2"/>
      <c r="T25" s="2">
        <f>--830.85</f>
        <v>830.85</v>
      </c>
      <c r="U25" s="2"/>
      <c r="V25" s="19"/>
      <c r="W25" s="2"/>
      <c r="X25" s="2">
        <f t="shared" si="2"/>
        <v>-165.88</v>
      </c>
      <c r="Y25" s="2"/>
      <c r="Z25" s="19">
        <f t="shared" si="3"/>
        <v>-0.19965095986038392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--4949.29</f>
        <v>4949.29</v>
      </c>
      <c r="E26" s="2"/>
      <c r="F26" s="19"/>
      <c r="G26" s="2"/>
      <c r="H26" s="2">
        <f>--4706.96</f>
        <v>4706.96</v>
      </c>
      <c r="I26" s="2"/>
      <c r="J26" s="19"/>
      <c r="K26" s="2"/>
      <c r="L26" s="2">
        <f t="shared" si="0"/>
        <v>242.32999999999993</v>
      </c>
      <c r="M26" s="2"/>
      <c r="N26" s="19">
        <f t="shared" si="1"/>
        <v>5.1483335316212568E-2</v>
      </c>
      <c r="O26" s="11"/>
      <c r="P26" s="2">
        <f>--531803.38</f>
        <v>531803.38</v>
      </c>
      <c r="Q26" s="2"/>
      <c r="R26" s="19"/>
      <c r="S26" s="2"/>
      <c r="T26" s="2">
        <f>--533442.25</f>
        <v>533442.25</v>
      </c>
      <c r="U26" s="2"/>
      <c r="V26" s="19"/>
      <c r="W26" s="2"/>
      <c r="X26" s="2">
        <f t="shared" si="2"/>
        <v>-1638.8699999999953</v>
      </c>
      <c r="Y26" s="2"/>
      <c r="Z26" s="19">
        <f t="shared" si="3"/>
        <v>-3.0722538381614791E-3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--340.46</f>
        <v>340.46</v>
      </c>
      <c r="E27" s="2"/>
      <c r="F27" s="19"/>
      <c r="G27" s="2"/>
      <c r="H27" s="2">
        <f>--2277.54</f>
        <v>2277.54</v>
      </c>
      <c r="I27" s="2"/>
      <c r="J27" s="19"/>
      <c r="K27" s="2"/>
      <c r="L27" s="2">
        <f t="shared" si="0"/>
        <v>-1937.08</v>
      </c>
      <c r="M27" s="2"/>
      <c r="N27" s="19">
        <f t="shared" si="1"/>
        <v>-0.85051415123334828</v>
      </c>
      <c r="O27" s="11"/>
      <c r="P27" s="2">
        <f>--15663.46</f>
        <v>15663.46</v>
      </c>
      <c r="Q27" s="2"/>
      <c r="R27" s="19"/>
      <c r="S27" s="2"/>
      <c r="T27" s="2">
        <f>--21891.78</f>
        <v>21891.78</v>
      </c>
      <c r="U27" s="2"/>
      <c r="V27" s="19"/>
      <c r="W27" s="2"/>
      <c r="X27" s="2">
        <f t="shared" si="2"/>
        <v>-6228.32</v>
      </c>
      <c r="Y27" s="2"/>
      <c r="Z27" s="19">
        <f t="shared" si="3"/>
        <v>-0.28450496030930333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--24.24</f>
        <v>24.24</v>
      </c>
      <c r="E28" s="2"/>
      <c r="F28" s="19"/>
      <c r="G28" s="2"/>
      <c r="H28" s="2">
        <f t="shared" ref="H28:H30" si="5">0</f>
        <v>0</v>
      </c>
      <c r="I28" s="2"/>
      <c r="J28" s="19"/>
      <c r="K28" s="2"/>
      <c r="L28" s="2">
        <f t="shared" si="0"/>
        <v>24.24</v>
      </c>
      <c r="M28" s="2"/>
      <c r="N28" s="19">
        <f t="shared" si="1"/>
        <v>0</v>
      </c>
      <c r="O28" s="11"/>
      <c r="P28" s="2">
        <f>--8266.16</f>
        <v>8266.16</v>
      </c>
      <c r="Q28" s="2"/>
      <c r="R28" s="19"/>
      <c r="S28" s="2"/>
      <c r="T28" s="2">
        <f>--3773</f>
        <v>3773</v>
      </c>
      <c r="U28" s="2"/>
      <c r="V28" s="19"/>
      <c r="W28" s="2"/>
      <c r="X28" s="2">
        <f t="shared" si="2"/>
        <v>4493.16</v>
      </c>
      <c r="Y28" s="2"/>
      <c r="Z28" s="19">
        <f t="shared" si="3"/>
        <v>1.1908719851576994</v>
      </c>
    </row>
    <row r="29" spans="1:26" s="24" customFormat="1" hidden="1" outlineLevel="1" x14ac:dyDescent="0.25">
      <c r="A29" s="44"/>
      <c r="B29" s="11" t="str">
        <f>CONCATENATE("          ", "4114", " - ", "NON-TAXABLE SALES-REMAINDERS")</f>
        <v xml:space="preserve">          4114 - NON-TAXABLE SALES-REMAINDERS</v>
      </c>
      <c r="C29" s="11"/>
      <c r="D29" s="2">
        <f>--3.19</f>
        <v>3.19</v>
      </c>
      <c r="E29" s="2"/>
      <c r="F29" s="19"/>
      <c r="G29" s="2"/>
      <c r="H29" s="2">
        <f t="shared" si="5"/>
        <v>0</v>
      </c>
      <c r="I29" s="2"/>
      <c r="J29" s="19"/>
      <c r="K29" s="2"/>
      <c r="L29" s="2">
        <f t="shared" si="0"/>
        <v>3.19</v>
      </c>
      <c r="M29" s="2"/>
      <c r="N29" s="19">
        <f t="shared" si="1"/>
        <v>0</v>
      </c>
      <c r="O29" s="11"/>
      <c r="P29" s="2">
        <f>--3.19</f>
        <v>3.19</v>
      </c>
      <c r="Q29" s="2"/>
      <c r="R29" s="19"/>
      <c r="S29" s="2"/>
      <c r="T29" s="2">
        <f>0</f>
        <v>0</v>
      </c>
      <c r="U29" s="2"/>
      <c r="V29" s="19"/>
      <c r="W29" s="2"/>
      <c r="X29" s="2">
        <f t="shared" si="2"/>
        <v>3.19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"4118", " - ", "NON-TAXABLE SALES-STUDY GUIDES")</f>
        <v xml:space="preserve">          4118 - NON-TAXABLE SALES-STUDY GUIDES</v>
      </c>
      <c r="C30" s="11"/>
      <c r="D30" s="2">
        <f>--40</f>
        <v>40</v>
      </c>
      <c r="E30" s="2"/>
      <c r="F30" s="19"/>
      <c r="G30" s="2"/>
      <c r="H30" s="2">
        <f t="shared" si="5"/>
        <v>0</v>
      </c>
      <c r="I30" s="2"/>
      <c r="J30" s="19"/>
      <c r="K30" s="2"/>
      <c r="L30" s="2">
        <f t="shared" si="0"/>
        <v>40</v>
      </c>
      <c r="M30" s="2"/>
      <c r="N30" s="19">
        <f t="shared" si="1"/>
        <v>0</v>
      </c>
      <c r="O30" s="11"/>
      <c r="P30" s="2">
        <f>--115.94</f>
        <v>115.94</v>
      </c>
      <c r="Q30" s="2"/>
      <c r="R30" s="19"/>
      <c r="S30" s="2"/>
      <c r="T30" s="2">
        <f>--266.48</f>
        <v>266.48</v>
      </c>
      <c r="U30" s="2"/>
      <c r="V30" s="19"/>
      <c r="W30" s="2"/>
      <c r="X30" s="2">
        <f t="shared" si="2"/>
        <v>-150.54000000000002</v>
      </c>
      <c r="Y30" s="2"/>
      <c r="Z30" s="19">
        <f t="shared" si="3"/>
        <v>-0.56492044431101773</v>
      </c>
    </row>
    <row r="31" spans="1:26" s="24" customFormat="1" hidden="1" outlineLevel="1" x14ac:dyDescent="0.25">
      <c r="A31" s="44"/>
      <c r="B31" s="11" t="str">
        <f>CONCATENATE("          ", "4201", " - ", "SALES RETURN TAXABLE-NEW TEXT")</f>
        <v xml:space="preserve">          4201 - SALES RETURN TAXABLE-NEW TEXT</v>
      </c>
      <c r="C31" s="11"/>
      <c r="D31" s="2">
        <f>-228.6</f>
        <v>-228.6</v>
      </c>
      <c r="E31" s="2"/>
      <c r="F31" s="19"/>
      <c r="G31" s="2"/>
      <c r="H31" s="2">
        <f>-3052.25</f>
        <v>-3052.25</v>
      </c>
      <c r="I31" s="2"/>
      <c r="J31" s="19"/>
      <c r="K31" s="2"/>
      <c r="L31" s="2">
        <f t="shared" si="0"/>
        <v>2823.65</v>
      </c>
      <c r="M31" s="2"/>
      <c r="N31" s="19">
        <f t="shared" si="1"/>
        <v>-0.92510443115734298</v>
      </c>
      <c r="O31" s="11"/>
      <c r="P31" s="2">
        <f>-121451.61</f>
        <v>-121451.61</v>
      </c>
      <c r="Q31" s="2"/>
      <c r="R31" s="19"/>
      <c r="S31" s="2"/>
      <c r="T31" s="2">
        <f>-178747.85</f>
        <v>-178747.85</v>
      </c>
      <c r="U31" s="2"/>
      <c r="V31" s="19"/>
      <c r="W31" s="2"/>
      <c r="X31" s="2">
        <f t="shared" si="2"/>
        <v>57296.240000000005</v>
      </c>
      <c r="Y31" s="2"/>
      <c r="Z31" s="19">
        <f t="shared" si="3"/>
        <v>-0.32054226106775552</v>
      </c>
    </row>
    <row r="32" spans="1:26" s="24" customFormat="1" hidden="1" outlineLevel="1" x14ac:dyDescent="0.25">
      <c r="A32" s="44"/>
      <c r="B32" s="11" t="str">
        <f>CONCATENATE("          ", "4202", " - ", "SALES RETURN TAXABLE-USED TEXT")</f>
        <v xml:space="preserve">          4202 - SALES RETURN TAXABLE-USED TEXT</v>
      </c>
      <c r="C32" s="11"/>
      <c r="D32" s="2">
        <f>-60.4</f>
        <v>-60.4</v>
      </c>
      <c r="E32" s="2"/>
      <c r="F32" s="19"/>
      <c r="G32" s="2"/>
      <c r="H32" s="2">
        <f>-1655.5</f>
        <v>-1655.5</v>
      </c>
      <c r="I32" s="2"/>
      <c r="J32" s="19"/>
      <c r="K32" s="2"/>
      <c r="L32" s="2">
        <f t="shared" si="0"/>
        <v>1595.1</v>
      </c>
      <c r="M32" s="2"/>
      <c r="N32" s="19">
        <f t="shared" si="1"/>
        <v>-0.96351555421322854</v>
      </c>
      <c r="O32" s="11"/>
      <c r="P32" s="2">
        <f>-45613.11</f>
        <v>-45613.11</v>
      </c>
      <c r="Q32" s="2"/>
      <c r="R32" s="19"/>
      <c r="S32" s="2"/>
      <c r="T32" s="2">
        <f>-47295.45</f>
        <v>-47295.45</v>
      </c>
      <c r="U32" s="2"/>
      <c r="V32" s="19"/>
      <c r="W32" s="2"/>
      <c r="X32" s="2">
        <f t="shared" si="2"/>
        <v>1682.3399999999965</v>
      </c>
      <c r="Y32" s="2"/>
      <c r="Z32" s="19">
        <f t="shared" si="3"/>
        <v>-3.5570863582014688E-2</v>
      </c>
    </row>
    <row r="33" spans="1:26" s="24" customFormat="1" hidden="1" outlineLevel="1" x14ac:dyDescent="0.25">
      <c r="A33" s="44"/>
      <c r="B33" s="11" t="str">
        <f>CONCATENATE("          ", "4203", " - ", "SALES RETURN TAXABLE-RENTAL TE")</f>
        <v xml:space="preserve">          4203 - SALES RETURN TAXABLE-RENTAL TE</v>
      </c>
      <c r="C33" s="11"/>
      <c r="D33" s="2">
        <f t="shared" ref="D33:D37" si="6"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-144.99</f>
        <v>-144.99</v>
      </c>
      <c r="Q33" s="2"/>
      <c r="R33" s="19"/>
      <c r="S33" s="2"/>
      <c r="T33" s="2">
        <f>-1699.5</f>
        <v>-1699.5</v>
      </c>
      <c r="U33" s="2"/>
      <c r="V33" s="19"/>
      <c r="W33" s="2"/>
      <c r="X33" s="2">
        <f t="shared" si="2"/>
        <v>1554.51</v>
      </c>
      <c r="Y33" s="2"/>
      <c r="Z33" s="19">
        <f t="shared" si="3"/>
        <v>-0.9146866725507502</v>
      </c>
    </row>
    <row r="34" spans="1:26" s="24" customFormat="1" hidden="1" outlineLevel="1" x14ac:dyDescent="0.25">
      <c r="A34" s="44"/>
      <c r="B34" s="11" t="str">
        <f>CONCATENATE("          ", "4204", " - ", "SALES RETURN TAXABLE-DIGITAL T")</f>
        <v xml:space="preserve">          4204 - SALES RETURN TAXABLE-DIGITAL T</v>
      </c>
      <c r="C34" s="11"/>
      <c r="D34" s="2">
        <f t="shared" si="6"/>
        <v>0</v>
      </c>
      <c r="E34" s="2"/>
      <c r="F34" s="19"/>
      <c r="G34" s="2"/>
      <c r="H34" s="2">
        <f>-43.25</f>
        <v>-43.25</v>
      </c>
      <c r="I34" s="2"/>
      <c r="J34" s="19"/>
      <c r="K34" s="2"/>
      <c r="L34" s="2">
        <f t="shared" si="0"/>
        <v>43.25</v>
      </c>
      <c r="M34" s="2"/>
      <c r="N34" s="19">
        <f t="shared" si="1"/>
        <v>-1</v>
      </c>
      <c r="O34" s="11"/>
      <c r="P34" s="2">
        <f>-17255.33</f>
        <v>-17255.330000000002</v>
      </c>
      <c r="Q34" s="2"/>
      <c r="R34" s="19"/>
      <c r="S34" s="2"/>
      <c r="T34" s="2">
        <f>-27102.9</f>
        <v>-27102.9</v>
      </c>
      <c r="U34" s="2"/>
      <c r="V34" s="19"/>
      <c r="W34" s="2"/>
      <c r="X34" s="2">
        <f t="shared" si="2"/>
        <v>9847.57</v>
      </c>
      <c r="Y34" s="2"/>
      <c r="Z34" s="19">
        <f t="shared" si="3"/>
        <v>-0.36334008537831741</v>
      </c>
    </row>
    <row r="35" spans="1:26" s="24" customFormat="1" hidden="1" outlineLevel="1" x14ac:dyDescent="0.25">
      <c r="A35" s="44"/>
      <c r="B35" s="11" t="str">
        <f>CONCATENATE("          ", "4213", " - ", "NON-TAXABLE SALES-TRADE BOOKS")</f>
        <v xml:space="preserve">          4213 - NON-TAXABLE SALES-TRADE BOOKS</v>
      </c>
      <c r="C35" s="11"/>
      <c r="D35" s="2">
        <f t="shared" si="6"/>
        <v>0</v>
      </c>
      <c r="E35" s="2"/>
      <c r="F35" s="19"/>
      <c r="G35" s="2"/>
      <c r="H35" s="2">
        <f t="shared" ref="H35:H37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-2768.67</f>
        <v>-2768.67</v>
      </c>
      <c r="Q35" s="2"/>
      <c r="R35" s="19"/>
      <c r="S35" s="2"/>
      <c r="T35" s="2">
        <f>-1548.35</f>
        <v>-1548.35</v>
      </c>
      <c r="U35" s="2"/>
      <c r="V35" s="19"/>
      <c r="W35" s="2"/>
      <c r="X35" s="2">
        <f t="shared" si="2"/>
        <v>-1220.3200000000002</v>
      </c>
      <c r="Y35" s="2"/>
      <c r="Z35" s="19">
        <f t="shared" si="3"/>
        <v>0.7881422159072563</v>
      </c>
    </row>
    <row r="36" spans="1:26" s="24" customFormat="1" hidden="1" outlineLevel="1" x14ac:dyDescent="0.25">
      <c r="A36" s="44"/>
      <c r="B36" s="11" t="str">
        <f>CONCATENATE("          ", "4214", " - ", "SALES RETURN TAXABLE-REMAINDER")</f>
        <v xml:space="preserve">          4214 - SALES RETURN TAXABLE-REMAINDER</v>
      </c>
      <c r="C36" s="11"/>
      <c r="D36" s="2">
        <f t="shared" si="6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-11.94</f>
        <v>-11.94</v>
      </c>
      <c r="Q36" s="2"/>
      <c r="R36" s="19"/>
      <c r="S36" s="2"/>
      <c r="T36" s="2">
        <f>-19.84</f>
        <v>-19.84</v>
      </c>
      <c r="U36" s="2"/>
      <c r="V36" s="19"/>
      <c r="W36" s="2"/>
      <c r="X36" s="2">
        <f t="shared" si="2"/>
        <v>7.9</v>
      </c>
      <c r="Y36" s="2"/>
      <c r="Z36" s="19">
        <f t="shared" si="3"/>
        <v>-0.39818548387096775</v>
      </c>
    </row>
    <row r="37" spans="1:26" s="24" customFormat="1" hidden="1" outlineLevel="1" x14ac:dyDescent="0.25">
      <c r="A37" s="44"/>
      <c r="B37" s="11" t="str">
        <f>CONCATENATE("          ", "4218", " - ", "SALES RETURN TAXABLE-STUDY GUI")</f>
        <v xml:space="preserve">          4218 - SALES RETURN TAXABLE-STUDY GUI</v>
      </c>
      <c r="C37" s="11"/>
      <c r="D37" s="2">
        <f t="shared" si="6"/>
        <v>0</v>
      </c>
      <c r="E37" s="2"/>
      <c r="F37" s="19"/>
      <c r="G37" s="2"/>
      <c r="H37" s="2">
        <f t="shared" si="7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-39.25</f>
        <v>-39.25</v>
      </c>
      <c r="Q37" s="2"/>
      <c r="R37" s="19"/>
      <c r="S37" s="2"/>
      <c r="T37" s="2">
        <f>-67.6</f>
        <v>-67.599999999999994</v>
      </c>
      <c r="U37" s="2"/>
      <c r="V37" s="19"/>
      <c r="W37" s="2"/>
      <c r="X37" s="2">
        <f t="shared" si="2"/>
        <v>28.349999999999994</v>
      </c>
      <c r="Y37" s="2"/>
      <c r="Z37" s="19">
        <f t="shared" si="3"/>
        <v>-0.41937869822485202</v>
      </c>
    </row>
    <row r="38" spans="1:26" s="24" customFormat="1" hidden="1" outlineLevel="1" x14ac:dyDescent="0.25">
      <c r="A38" s="44"/>
      <c r="B38" s="11" t="str">
        <f>CONCATENATE("          ", "4301", " - ", "SALES RETURN NON TAXABLE-NEW T")</f>
        <v xml:space="preserve">          4301 - SALES RETURN NON TAXABLE-NEW T</v>
      </c>
      <c r="C38" s="11"/>
      <c r="D38" s="2">
        <f>-5710.44</f>
        <v>-5710.44</v>
      </c>
      <c r="E38" s="2"/>
      <c r="F38" s="19"/>
      <c r="G38" s="2"/>
      <c r="H38" s="2">
        <f>-1917.11</f>
        <v>-1917.11</v>
      </c>
      <c r="I38" s="2"/>
      <c r="J38" s="19"/>
      <c r="K38" s="2"/>
      <c r="L38" s="2">
        <f t="shared" si="0"/>
        <v>-3793.33</v>
      </c>
      <c r="M38" s="2"/>
      <c r="N38" s="19">
        <f t="shared" si="1"/>
        <v>1.9786710204422282</v>
      </c>
      <c r="O38" s="11"/>
      <c r="P38" s="2">
        <f>-21289.87</f>
        <v>-21289.87</v>
      </c>
      <c r="Q38" s="2"/>
      <c r="R38" s="19"/>
      <c r="S38" s="2"/>
      <c r="T38" s="2">
        <f>-51488.2</f>
        <v>-51488.2</v>
      </c>
      <c r="U38" s="2"/>
      <c r="V38" s="19"/>
      <c r="W38" s="2"/>
      <c r="X38" s="2">
        <f t="shared" si="2"/>
        <v>30198.329999999998</v>
      </c>
      <c r="Y38" s="2"/>
      <c r="Z38" s="19">
        <f t="shared" si="3"/>
        <v>-0.58650972455824835</v>
      </c>
    </row>
    <row r="39" spans="1:26" s="24" customFormat="1" hidden="1" outlineLevel="1" x14ac:dyDescent="0.25">
      <c r="A39" s="44"/>
      <c r="B39" s="11" t="str">
        <f>CONCATENATE("          ", "4302", " - ", "SALES RETURN NON TAXABLE-TEXT")</f>
        <v xml:space="preserve">          4302 - SALES RETURN NON TAXABLE-TEXT</v>
      </c>
      <c r="C39" s="11"/>
      <c r="D39" s="2">
        <f>-67.5</f>
        <v>-67.5</v>
      </c>
      <c r="E39" s="2"/>
      <c r="F39" s="19"/>
      <c r="G39" s="2"/>
      <c r="H39" s="2">
        <f>-1539.55</f>
        <v>-1539.55</v>
      </c>
      <c r="I39" s="2"/>
      <c r="J39" s="19"/>
      <c r="K39" s="2"/>
      <c r="L39" s="2">
        <f t="shared" si="0"/>
        <v>1472.05</v>
      </c>
      <c r="M39" s="2"/>
      <c r="N39" s="19">
        <f t="shared" si="1"/>
        <v>-0.95615601961612162</v>
      </c>
      <c r="O39" s="11"/>
      <c r="P39" s="2">
        <f>-1379.87</f>
        <v>-1379.87</v>
      </c>
      <c r="Q39" s="2"/>
      <c r="R39" s="19"/>
      <c r="S39" s="2"/>
      <c r="T39" s="2">
        <f>-6328.25</f>
        <v>-6328.25</v>
      </c>
      <c r="U39" s="2"/>
      <c r="V39" s="19"/>
      <c r="W39" s="2"/>
      <c r="X39" s="2">
        <f t="shared" si="2"/>
        <v>4948.38</v>
      </c>
      <c r="Y39" s="2"/>
      <c r="Z39" s="19">
        <f t="shared" si="3"/>
        <v>-0.78195077628096232</v>
      </c>
    </row>
    <row r="40" spans="1:26" s="24" customFormat="1" hidden="1" outlineLevel="1" x14ac:dyDescent="0.25">
      <c r="A40" s="44"/>
      <c r="B40" s="11" t="str">
        <f>CONCATENATE("          ", "4303", " - ", "SALES RETURN NON-TAXABLE-RENTA")</f>
        <v xml:space="preserve">          4303 - SALES RETURN NON-TAXABLE-RENTA</v>
      </c>
      <c r="C40" s="11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-184.99</f>
        <v>-184.99</v>
      </c>
      <c r="Q40" s="2"/>
      <c r="R40" s="19"/>
      <c r="S40" s="2"/>
      <c r="T40" s="2">
        <f>-509.85</f>
        <v>-509.85</v>
      </c>
      <c r="U40" s="2"/>
      <c r="V40" s="19"/>
      <c r="W40" s="2"/>
      <c r="X40" s="2">
        <f t="shared" si="2"/>
        <v>324.86</v>
      </c>
      <c r="Y40" s="2"/>
      <c r="Z40" s="19">
        <f t="shared" si="3"/>
        <v>-0.63716779444934779</v>
      </c>
    </row>
    <row r="41" spans="1:26" s="24" customFormat="1" hidden="1" outlineLevel="1" x14ac:dyDescent="0.25">
      <c r="A41" s="44"/>
      <c r="B41" s="11" t="str">
        <f>CONCATENATE("          ", "4304", " - ", "SALES RETURN NON TAXABLE-DIGIT")</f>
        <v xml:space="preserve">          4304 - SALES RETURN NON TAXABLE-DIGIT</v>
      </c>
      <c r="C41" s="11"/>
      <c r="D41" s="2">
        <f>-438.2</f>
        <v>-438.2</v>
      </c>
      <c r="E41" s="2"/>
      <c r="F41" s="19"/>
      <c r="G41" s="2"/>
      <c r="H41" s="2">
        <f>-379.96</f>
        <v>-379.96</v>
      </c>
      <c r="I41" s="2"/>
      <c r="J41" s="19"/>
      <c r="K41" s="2"/>
      <c r="L41" s="2">
        <f t="shared" si="0"/>
        <v>-58.240000000000009</v>
      </c>
      <c r="M41" s="2"/>
      <c r="N41" s="19">
        <f t="shared" si="1"/>
        <v>0.15327929255711131</v>
      </c>
      <c r="O41" s="11"/>
      <c r="P41" s="2">
        <f>-19474.33</f>
        <v>-19474.330000000002</v>
      </c>
      <c r="Q41" s="2"/>
      <c r="R41" s="19"/>
      <c r="S41" s="2"/>
      <c r="T41" s="2">
        <f>-6047.96</f>
        <v>-6047.96</v>
      </c>
      <c r="U41" s="2"/>
      <c r="V41" s="19"/>
      <c r="W41" s="2"/>
      <c r="X41" s="2">
        <f t="shared" si="2"/>
        <v>-13426.370000000003</v>
      </c>
      <c r="Y41" s="2"/>
      <c r="Z41" s="19">
        <f t="shared" si="3"/>
        <v>2.2199832670851003</v>
      </c>
    </row>
    <row r="42" spans="1:26" s="24" customFormat="1" hidden="1" outlineLevel="1" x14ac:dyDescent="0.25">
      <c r="A42" s="44"/>
      <c r="B42" s="11" t="str">
        <f>CONCATENATE("          ", "4311", " - ", "SALES RETURN NON TAXABLE-NO VA")</f>
        <v xml:space="preserve">          4311 - SALES RETURN NON TAXABLE-NO VA</v>
      </c>
      <c r="C42" s="11"/>
      <c r="D42" s="2">
        <f t="shared" ref="D42:D44" si="8">0</f>
        <v>0</v>
      </c>
      <c r="E42" s="2"/>
      <c r="F42" s="19"/>
      <c r="G42" s="2"/>
      <c r="H42" s="2">
        <f>-361.71</f>
        <v>-361.71</v>
      </c>
      <c r="I42" s="2"/>
      <c r="J42" s="19"/>
      <c r="K42" s="2"/>
      <c r="L42" s="2">
        <f t="shared" si="0"/>
        <v>361.71</v>
      </c>
      <c r="M42" s="2"/>
      <c r="N42" s="19">
        <f t="shared" si="1"/>
        <v>-1</v>
      </c>
      <c r="O42" s="11"/>
      <c r="P42" s="2">
        <f>-941.28</f>
        <v>-941.28</v>
      </c>
      <c r="Q42" s="2"/>
      <c r="R42" s="19"/>
      <c r="S42" s="2"/>
      <c r="T42" s="2">
        <f>-2110.54</f>
        <v>-2110.54</v>
      </c>
      <c r="U42" s="2"/>
      <c r="V42" s="19"/>
      <c r="W42" s="2"/>
      <c r="X42" s="2">
        <f t="shared" si="2"/>
        <v>1169.26</v>
      </c>
      <c r="Y42" s="2"/>
      <c r="Z42" s="19">
        <f t="shared" si="3"/>
        <v>-0.55400987425019188</v>
      </c>
    </row>
    <row r="43" spans="1:26" s="24" customFormat="1" hidden="1" outlineLevel="1" x14ac:dyDescent="0.25">
      <c r="A43" s="44"/>
      <c r="B43" s="11" t="str">
        <f>CONCATENATE("          ", "4313", " - ", "SALES RETURN NON TAXABLE-TRADE")</f>
        <v xml:space="preserve">          4313 - SALES RETURN NON TAXABLE-TRADE</v>
      </c>
      <c r="C43" s="11"/>
      <c r="D43" s="2">
        <f t="shared" si="8"/>
        <v>0</v>
      </c>
      <c r="E43" s="2"/>
      <c r="F43" s="19"/>
      <c r="G43" s="2"/>
      <c r="H43" s="2">
        <f t="shared" ref="H43:H44" si="9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-2481.44</f>
        <v>-2481.44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-2481.44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"4318", " - ", "SALES RETURN NON TAXABLE-STUDY")</f>
        <v xml:space="preserve">          4318 - SALES RETURN NON TAXABLE-STUDY</v>
      </c>
      <c r="C44" s="11"/>
      <c r="D44" s="2">
        <f t="shared" si="8"/>
        <v>0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-5.04</f>
        <v>-5.04</v>
      </c>
      <c r="U44" s="2"/>
      <c r="V44" s="19"/>
      <c r="W44" s="2"/>
      <c r="X44" s="2">
        <f t="shared" si="2"/>
        <v>5.04</v>
      </c>
      <c r="Y44" s="2"/>
      <c r="Z44" s="19">
        <f t="shared" si="3"/>
        <v>-1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8" t="s">
        <v>8</v>
      </c>
      <c r="C46" s="10"/>
      <c r="D46" s="4">
        <f>SUM(OSRRefD16x_0)</f>
        <v>51333.750000000015</v>
      </c>
      <c r="E46" s="4"/>
      <c r="F46" s="12">
        <f t="shared" ref="F46:F62" si="10">IF(D$12=0,0,D46/D$12)</f>
        <v>0.84661253558011473</v>
      </c>
      <c r="G46" s="4"/>
      <c r="H46" s="4">
        <f>SUM(OSRRefH16x_0)</f>
        <v>53124.930000000015</v>
      </c>
      <c r="I46" s="4"/>
      <c r="J46" s="12">
        <f t="shared" ref="J46:J62" si="11">IF(H$12=0,0,H46/H$12)</f>
        <v>0.52059220491398561</v>
      </c>
      <c r="K46" s="4"/>
      <c r="L46" s="4">
        <f t="shared" ref="L46:L62" si="12">+D46-H46</f>
        <v>-1791.1800000000003</v>
      </c>
      <c r="M46" s="4"/>
      <c r="N46" s="12">
        <f t="shared" ref="N46:N62" si="13">IF(H46=0,0,L46/H46)</f>
        <v>-3.3716373838045523E-2</v>
      </c>
      <c r="O46" s="10"/>
      <c r="P46" s="4">
        <f>SUM(OSRRefP16x_0)</f>
        <v>3535377.7399999998</v>
      </c>
      <c r="Q46" s="4"/>
      <c r="R46" s="12">
        <f t="shared" ref="R46:R62" si="14">IF(P$12=0,0,P46/P$12)</f>
        <v>0.71722471959266387</v>
      </c>
      <c r="S46" s="4"/>
      <c r="T46" s="4">
        <f>SUM(OSRRefT16x_0)</f>
        <v>4314766.9900000012</v>
      </c>
      <c r="U46" s="4"/>
      <c r="V46" s="12">
        <f t="shared" ref="V46:V62" si="15">IF(T$12=0,0,T46/T$12)</f>
        <v>0.71867996229216569</v>
      </c>
      <c r="W46" s="4"/>
      <c r="X46" s="4">
        <f t="shared" ref="X46:X62" si="16">+P46-T46</f>
        <v>-779389.2500000014</v>
      </c>
      <c r="Y46" s="4"/>
      <c r="Z46" s="12">
        <f t="shared" ref="Z46:Z62" si="17">IF(T46=0,0,X46/T46)</f>
        <v>-0.180632987089762</v>
      </c>
    </row>
    <row r="47" spans="1:26" s="24" customFormat="1" hidden="1" outlineLevel="1" x14ac:dyDescent="0.25">
      <c r="A47" s="44"/>
      <c r="B47" s="11" t="str">
        <f>CONCATENATE("          ", "5001", " - ", "PURCHASES @ COST-NEW TEXT")</f>
        <v xml:space="preserve">          5001 - PURCHASES @ COST-NEW TEXT</v>
      </c>
      <c r="C47" s="11"/>
      <c r="D47" s="2">
        <v>71528.210000000006</v>
      </c>
      <c r="E47" s="2"/>
      <c r="F47" s="19">
        <f t="shared" si="10"/>
        <v>1.1796659942748564</v>
      </c>
      <c r="G47" s="2"/>
      <c r="H47" s="2">
        <v>70445.34</v>
      </c>
      <c r="I47" s="2"/>
      <c r="J47" s="19">
        <f t="shared" si="11"/>
        <v>0.69032175433483633</v>
      </c>
      <c r="K47" s="2"/>
      <c r="L47" s="2">
        <f t="shared" si="12"/>
        <v>1082.8700000000099</v>
      </c>
      <c r="M47" s="2"/>
      <c r="N47" s="19">
        <f t="shared" si="13"/>
        <v>1.5371776188460584E-2</v>
      </c>
      <c r="O47" s="11"/>
      <c r="P47" s="2">
        <v>1641280.46</v>
      </c>
      <c r="Q47" s="2"/>
      <c r="R47" s="19">
        <f t="shared" si="14"/>
        <v>0.33296779135584487</v>
      </c>
      <c r="S47" s="2"/>
      <c r="T47" s="2">
        <v>2396173.7599999998</v>
      </c>
      <c r="U47" s="2"/>
      <c r="V47" s="19">
        <f t="shared" si="15"/>
        <v>0.39911357240690215</v>
      </c>
      <c r="W47" s="2"/>
      <c r="X47" s="2">
        <f t="shared" si="16"/>
        <v>-754893.29999999981</v>
      </c>
      <c r="Y47" s="2"/>
      <c r="Z47" s="19">
        <f t="shared" si="17"/>
        <v>-0.3150411345794889</v>
      </c>
    </row>
    <row r="48" spans="1:26" s="24" customFormat="1" hidden="1" outlineLevel="1" x14ac:dyDescent="0.25">
      <c r="A48" s="44"/>
      <c r="B48" s="11" t="str">
        <f>CONCATENATE("          ", "5002", " - ", "PURCHASES @ COST-USED TEXT")</f>
        <v xml:space="preserve">          5002 - PURCHASES @ COST-USED TEXT</v>
      </c>
      <c r="C48" s="11"/>
      <c r="D48" s="2">
        <v>14738.6</v>
      </c>
      <c r="E48" s="2"/>
      <c r="F48" s="19">
        <f t="shared" si="10"/>
        <v>0.24307367992599557</v>
      </c>
      <c r="G48" s="2"/>
      <c r="H48" s="2">
        <v>25018.82</v>
      </c>
      <c r="I48" s="2"/>
      <c r="J48" s="19">
        <f t="shared" si="11"/>
        <v>0.24516931444702361</v>
      </c>
      <c r="K48" s="2"/>
      <c r="L48" s="2">
        <f t="shared" si="12"/>
        <v>-10280.219999999999</v>
      </c>
      <c r="M48" s="2"/>
      <c r="N48" s="19">
        <f t="shared" si="13"/>
        <v>-0.41089947487531386</v>
      </c>
      <c r="O48" s="11"/>
      <c r="P48" s="2">
        <v>610321.38</v>
      </c>
      <c r="Q48" s="2"/>
      <c r="R48" s="19">
        <f t="shared" si="14"/>
        <v>0.12381635367538057</v>
      </c>
      <c r="S48" s="2"/>
      <c r="T48" s="2">
        <v>433062.37</v>
      </c>
      <c r="U48" s="2"/>
      <c r="V48" s="19">
        <f t="shared" si="15"/>
        <v>7.2132110137830593E-2</v>
      </c>
      <c r="W48" s="2"/>
      <c r="X48" s="2">
        <f t="shared" si="16"/>
        <v>177259.01</v>
      </c>
      <c r="Y48" s="2"/>
      <c r="Z48" s="19">
        <f t="shared" si="17"/>
        <v>0.40931519863986338</v>
      </c>
    </row>
    <row r="49" spans="1:26" s="24" customFormat="1" hidden="1" outlineLevel="1" x14ac:dyDescent="0.25">
      <c r="A49" s="44"/>
      <c r="B49" s="11" t="str">
        <f>CONCATENATE("          ", "5003", " - ", "PURCHASES @ COST-RENTAL TEXT")</f>
        <v xml:space="preserve">          5003 - PURCHASES @ COST-RENTAL TEXT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-78.400000000000006</v>
      </c>
      <c r="Q49" s="2"/>
      <c r="R49" s="19">
        <f t="shared" si="14"/>
        <v>-1.590506648833085E-5</v>
      </c>
      <c r="S49" s="2"/>
      <c r="T49" s="2">
        <v>15629.58</v>
      </c>
      <c r="U49" s="2"/>
      <c r="V49" s="19">
        <f t="shared" si="15"/>
        <v>2.6033076620534689E-3</v>
      </c>
      <c r="W49" s="2"/>
      <c r="X49" s="2">
        <f t="shared" si="16"/>
        <v>-15707.98</v>
      </c>
      <c r="Y49" s="2"/>
      <c r="Z49" s="19">
        <f t="shared" si="17"/>
        <v>-1.0050161296720705</v>
      </c>
    </row>
    <row r="50" spans="1:26" s="24" customFormat="1" hidden="1" outlineLevel="1" x14ac:dyDescent="0.25">
      <c r="A50" s="44"/>
      <c r="B50" s="11" t="str">
        <f>CONCATENATE("          ", "5004", " - ", "PURCHASES @ COST-DIGITAL TEXT")</f>
        <v xml:space="preserve">          5004 - PURCHASES @ COST-DIGITAL TEXT</v>
      </c>
      <c r="C50" s="11"/>
      <c r="D50" s="2">
        <v>-46518.259999999995</v>
      </c>
      <c r="E50" s="2"/>
      <c r="F50" s="19">
        <f t="shared" si="10"/>
        <v>-0.76719394256945994</v>
      </c>
      <c r="G50" s="2"/>
      <c r="H50" s="2">
        <v>17888.12</v>
      </c>
      <c r="I50" s="2"/>
      <c r="J50" s="19">
        <f t="shared" si="11"/>
        <v>0.17529276429288398</v>
      </c>
      <c r="K50" s="2"/>
      <c r="L50" s="2">
        <f t="shared" si="12"/>
        <v>-64406.37999999999</v>
      </c>
      <c r="M50" s="2"/>
      <c r="N50" s="19">
        <f t="shared" si="13"/>
        <v>-3.6005114008626951</v>
      </c>
      <c r="O50" s="11"/>
      <c r="P50" s="2">
        <v>446269.65</v>
      </c>
      <c r="Q50" s="2"/>
      <c r="R50" s="19">
        <f t="shared" si="14"/>
        <v>9.0535056823649707E-2</v>
      </c>
      <c r="S50" s="2"/>
      <c r="T50" s="2">
        <v>501578.98</v>
      </c>
      <c r="U50" s="2"/>
      <c r="V50" s="19">
        <f t="shared" si="15"/>
        <v>8.354443316832337E-2</v>
      </c>
      <c r="W50" s="2"/>
      <c r="X50" s="2">
        <f t="shared" si="16"/>
        <v>-55309.329999999958</v>
      </c>
      <c r="Y50" s="2"/>
      <c r="Z50" s="19">
        <f t="shared" si="17"/>
        <v>-0.11027043039164033</v>
      </c>
    </row>
    <row r="51" spans="1:26" s="24" customFormat="1" hidden="1" outlineLevel="1" x14ac:dyDescent="0.25">
      <c r="A51" s="44"/>
      <c r="B51" s="11" t="str">
        <f>CONCATENATE("          ", "5011", " - ", "PURCHASES @ COST-NO VALUE TEXT")</f>
        <v xml:space="preserve">          5011 - PURCHASES @ COST-NO VALUE TEXT</v>
      </c>
      <c r="C51" s="11"/>
      <c r="D51" s="2"/>
      <c r="E51" s="2"/>
      <c r="F51" s="19">
        <f t="shared" si="10"/>
        <v>0</v>
      </c>
      <c r="G51" s="2"/>
      <c r="H51" s="2">
        <v>237</v>
      </c>
      <c r="I51" s="2"/>
      <c r="J51" s="19">
        <f t="shared" si="11"/>
        <v>2.322456755512234E-3</v>
      </c>
      <c r="K51" s="2"/>
      <c r="L51" s="2">
        <f t="shared" si="12"/>
        <v>-237</v>
      </c>
      <c r="M51" s="2"/>
      <c r="N51" s="19">
        <f t="shared" si="13"/>
        <v>-1</v>
      </c>
      <c r="O51" s="11"/>
      <c r="P51" s="2">
        <v>6363</v>
      </c>
      <c r="Q51" s="2"/>
      <c r="R51" s="19">
        <f t="shared" si="14"/>
        <v>1.290866556954709E-3</v>
      </c>
      <c r="S51" s="2"/>
      <c r="T51" s="2">
        <v>3744</v>
      </c>
      <c r="U51" s="2"/>
      <c r="V51" s="19">
        <f t="shared" si="15"/>
        <v>6.2361137578413421E-4</v>
      </c>
      <c r="W51" s="2"/>
      <c r="X51" s="2">
        <f t="shared" si="16"/>
        <v>2619</v>
      </c>
      <c r="Y51" s="2"/>
      <c r="Z51" s="19">
        <f t="shared" si="17"/>
        <v>0.69951923076923073</v>
      </c>
    </row>
    <row r="52" spans="1:26" s="24" customFormat="1" hidden="1" outlineLevel="1" x14ac:dyDescent="0.25">
      <c r="A52" s="44"/>
      <c r="B52" s="11" t="str">
        <f>CONCATENATE("          ", "5013", " - ", "PURCHASES @ COST-TRADE BOOKS")</f>
        <v xml:space="preserve">          5013 - PURCHASES @ COST-TRADE BOOKS</v>
      </c>
      <c r="C52" s="11"/>
      <c r="D52" s="2"/>
      <c r="E52" s="2"/>
      <c r="F52" s="19">
        <f t="shared" si="10"/>
        <v>0</v>
      </c>
      <c r="G52" s="2"/>
      <c r="H52" s="2">
        <v>-265.93</v>
      </c>
      <c r="I52" s="2"/>
      <c r="J52" s="19">
        <f t="shared" si="11"/>
        <v>-2.6059532700142131E-3</v>
      </c>
      <c r="K52" s="2"/>
      <c r="L52" s="2">
        <f t="shared" si="12"/>
        <v>265.93</v>
      </c>
      <c r="M52" s="2"/>
      <c r="N52" s="19">
        <f t="shared" si="13"/>
        <v>-1</v>
      </c>
      <c r="O52" s="11"/>
      <c r="P52" s="2">
        <v>3197.85</v>
      </c>
      <c r="Q52" s="2"/>
      <c r="R52" s="19">
        <f t="shared" si="14"/>
        <v>6.4875021517485712E-4</v>
      </c>
      <c r="S52" s="2"/>
      <c r="T52" s="2">
        <v>5875.74</v>
      </c>
      <c r="U52" s="2"/>
      <c r="V52" s="19">
        <f t="shared" si="15"/>
        <v>9.7868010287122565E-4</v>
      </c>
      <c r="W52" s="2"/>
      <c r="X52" s="2">
        <f t="shared" si="16"/>
        <v>-2677.89</v>
      </c>
      <c r="Y52" s="2"/>
      <c r="Z52" s="19">
        <f t="shared" si="17"/>
        <v>-0.45575365826261882</v>
      </c>
    </row>
    <row r="53" spans="1:26" s="24" customFormat="1" hidden="1" outlineLevel="1" x14ac:dyDescent="0.2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/>
      <c r="E53" s="2"/>
      <c r="F53" s="19">
        <f t="shared" si="10"/>
        <v>0</v>
      </c>
      <c r="G53" s="2"/>
      <c r="H53" s="2">
        <v>76.91</v>
      </c>
      <c r="I53" s="2"/>
      <c r="J53" s="19">
        <f t="shared" si="11"/>
        <v>7.5367151504829506E-4</v>
      </c>
      <c r="K53" s="2"/>
      <c r="L53" s="2">
        <f t="shared" si="12"/>
        <v>-76.91</v>
      </c>
      <c r="M53" s="2"/>
      <c r="N53" s="19">
        <f t="shared" si="13"/>
        <v>-1</v>
      </c>
      <c r="O53" s="11"/>
      <c r="P53" s="2">
        <v>600.61</v>
      </c>
      <c r="Q53" s="2"/>
      <c r="R53" s="19">
        <f t="shared" si="14"/>
        <v>1.2184619876985192E-4</v>
      </c>
      <c r="S53" s="2"/>
      <c r="T53" s="2">
        <v>1199.07</v>
      </c>
      <c r="U53" s="2"/>
      <c r="V53" s="19">
        <f t="shared" si="15"/>
        <v>1.9972053748971202E-4</v>
      </c>
      <c r="W53" s="2"/>
      <c r="X53" s="2">
        <f t="shared" si="16"/>
        <v>-598.45999999999992</v>
      </c>
      <c r="Y53" s="2"/>
      <c r="Z53" s="19">
        <f t="shared" si="17"/>
        <v>-0.4991034718573561</v>
      </c>
    </row>
    <row r="54" spans="1:26" s="24" customFormat="1" hidden="1" outlineLevel="1" x14ac:dyDescent="0.25">
      <c r="A54" s="44"/>
      <c r="B54" s="11" t="str">
        <f>CONCATENATE("          ", "5018", " - ", "PURCHASES @ COST-STUDY GUIDES")</f>
        <v xml:space="preserve">          5018 - PURCHASES @ COST-STUDY GUIDES</v>
      </c>
      <c r="C54" s="11"/>
      <c r="D54" s="2"/>
      <c r="E54" s="2"/>
      <c r="F54" s="19">
        <f t="shared" si="10"/>
        <v>0</v>
      </c>
      <c r="G54" s="2"/>
      <c r="H54" s="2">
        <v>289.08</v>
      </c>
      <c r="I54" s="2"/>
      <c r="J54" s="19">
        <f t="shared" si="11"/>
        <v>2.8328092779893528E-3</v>
      </c>
      <c r="K54" s="2"/>
      <c r="L54" s="2">
        <f t="shared" si="12"/>
        <v>-289.08</v>
      </c>
      <c r="M54" s="2"/>
      <c r="N54" s="19">
        <f t="shared" si="13"/>
        <v>-1</v>
      </c>
      <c r="O54" s="11"/>
      <c r="P54" s="2">
        <v>-205.14</v>
      </c>
      <c r="Q54" s="2"/>
      <c r="R54" s="19">
        <f t="shared" si="14"/>
        <v>-4.1616904839492215E-5</v>
      </c>
      <c r="S54" s="2"/>
      <c r="T54" s="2">
        <v>2683</v>
      </c>
      <c r="U54" s="2"/>
      <c r="V54" s="19">
        <f t="shared" si="15"/>
        <v>4.4688817340513676E-4</v>
      </c>
      <c r="W54" s="2"/>
      <c r="X54" s="2">
        <f t="shared" si="16"/>
        <v>-2888.14</v>
      </c>
      <c r="Y54" s="2"/>
      <c r="Z54" s="19">
        <f t="shared" si="17"/>
        <v>-1.0764591874767051</v>
      </c>
    </row>
    <row r="55" spans="1:26" s="24" customFormat="1" hidden="1" outlineLevel="1" x14ac:dyDescent="0.25">
      <c r="A55" s="44"/>
      <c r="B55" s="11" t="str">
        <f>CONCATENATE("          ", "5200", " - ", "PURCHASES OFFSET")</f>
        <v xml:space="preserve">          5200 - PURCHASES OFFSET</v>
      </c>
      <c r="C55" s="11"/>
      <c r="D55" s="2">
        <v>-32085</v>
      </c>
      <c r="E55" s="2"/>
      <c r="F55" s="19">
        <f t="shared" si="10"/>
        <v>-0.5291560270599357</v>
      </c>
      <c r="G55" s="2"/>
      <c r="H55" s="2">
        <v>-105609</v>
      </c>
      <c r="I55" s="2"/>
      <c r="J55" s="19">
        <f t="shared" si="11"/>
        <v>-1.0349043691683186</v>
      </c>
      <c r="K55" s="2"/>
      <c r="L55" s="2">
        <f t="shared" si="12"/>
        <v>73524</v>
      </c>
      <c r="M55" s="2"/>
      <c r="N55" s="19">
        <f t="shared" si="13"/>
        <v>-0.69619066556827547</v>
      </c>
      <c r="O55" s="11"/>
      <c r="P55" s="2">
        <v>-1618852</v>
      </c>
      <c r="Q55" s="2"/>
      <c r="R55" s="19">
        <f t="shared" si="14"/>
        <v>-0.32841771294346134</v>
      </c>
      <c r="S55" s="2"/>
      <c r="T55" s="2">
        <v>-1909627</v>
      </c>
      <c r="U55" s="2"/>
      <c r="V55" s="19">
        <f t="shared" si="15"/>
        <v>-0.31807294890612414</v>
      </c>
      <c r="W55" s="2"/>
      <c r="X55" s="2">
        <f t="shared" si="16"/>
        <v>290775</v>
      </c>
      <c r="Y55" s="2"/>
      <c r="Z55" s="19">
        <f t="shared" si="17"/>
        <v>-0.15226795599350029</v>
      </c>
    </row>
    <row r="56" spans="1:26" s="24" customFormat="1" hidden="1" outlineLevel="1" x14ac:dyDescent="0.25">
      <c r="A56" s="44"/>
      <c r="B56" s="11" t="str">
        <f>CONCATENATE("          ", "5300", " - ", "COG$ OFFSET")</f>
        <v xml:space="preserve">          5300 - COG$ OFFSET</v>
      </c>
      <c r="C56" s="11"/>
      <c r="D56" s="2">
        <v>43312</v>
      </c>
      <c r="E56" s="2"/>
      <c r="F56" s="19">
        <f t="shared" si="10"/>
        <v>0.71431528265606781</v>
      </c>
      <c r="G56" s="2"/>
      <c r="H56" s="2">
        <v>43301</v>
      </c>
      <c r="I56" s="2"/>
      <c r="J56" s="19">
        <f t="shared" si="11"/>
        <v>0.42432362856723732</v>
      </c>
      <c r="K56" s="2"/>
      <c r="L56" s="2">
        <f t="shared" si="12"/>
        <v>11</v>
      </c>
      <c r="M56" s="2"/>
      <c r="N56" s="19">
        <f t="shared" si="13"/>
        <v>2.5403570356342811E-4</v>
      </c>
      <c r="O56" s="11"/>
      <c r="P56" s="2">
        <v>2360840.4700000002</v>
      </c>
      <c r="Q56" s="2"/>
      <c r="R56" s="19">
        <f t="shared" si="14"/>
        <v>0.47894546739403382</v>
      </c>
      <c r="S56" s="2"/>
      <c r="T56" s="2">
        <v>2785727</v>
      </c>
      <c r="U56" s="2"/>
      <c r="V56" s="19">
        <f t="shared" si="15"/>
        <v>0.46399867709108139</v>
      </c>
      <c r="W56" s="2"/>
      <c r="X56" s="2">
        <f t="shared" si="16"/>
        <v>-424886.5299999998</v>
      </c>
      <c r="Y56" s="2"/>
      <c r="Z56" s="19">
        <f t="shared" si="17"/>
        <v>-0.15252267361446395</v>
      </c>
    </row>
    <row r="57" spans="1:26" s="24" customFormat="1" hidden="1" outlineLevel="1" x14ac:dyDescent="0.25">
      <c r="A57" s="44"/>
      <c r="B57" s="11" t="str">
        <f>CONCATENATE("          ", "5500", " - ", "FREIGHT-IN")</f>
        <v xml:space="preserve">          5500 - FREIGHT-IN</v>
      </c>
      <c r="C57" s="11"/>
      <c r="D57" s="2"/>
      <c r="E57" s="2"/>
      <c r="F57" s="19">
        <f t="shared" si="10"/>
        <v>0</v>
      </c>
      <c r="G57" s="2"/>
      <c r="H57" s="2"/>
      <c r="I57" s="2"/>
      <c r="J57" s="19">
        <f t="shared" si="11"/>
        <v>0</v>
      </c>
      <c r="K57" s="2"/>
      <c r="L57" s="2">
        <f t="shared" si="12"/>
        <v>0</v>
      </c>
      <c r="M57" s="2"/>
      <c r="N57" s="19">
        <f t="shared" si="13"/>
        <v>0</v>
      </c>
      <c r="O57" s="11"/>
      <c r="P57" s="2">
        <v>41.25</v>
      </c>
      <c r="Q57" s="2"/>
      <c r="R57" s="19">
        <f t="shared" si="14"/>
        <v>8.3684182735159107E-6</v>
      </c>
      <c r="S57" s="2"/>
      <c r="T57" s="2">
        <v>174.83</v>
      </c>
      <c r="U57" s="2"/>
      <c r="V57" s="19">
        <f t="shared" si="15"/>
        <v>2.9120186118680606E-5</v>
      </c>
      <c r="W57" s="2"/>
      <c r="X57" s="2">
        <f t="shared" si="16"/>
        <v>-133.58000000000001</v>
      </c>
      <c r="Y57" s="2"/>
      <c r="Z57" s="19">
        <f t="shared" si="17"/>
        <v>-0.7640565120402677</v>
      </c>
    </row>
    <row r="58" spans="1:26" s="24" customFormat="1" hidden="1" outlineLevel="1" x14ac:dyDescent="0.25">
      <c r="A58" s="44"/>
      <c r="B58" s="11" t="str">
        <f>CONCATENATE("          ", "5501", " - ", "FREIGHT-IN-NEW TEXT")</f>
        <v xml:space="preserve">          5501 - FREIGHT-IN-NEW TEXT</v>
      </c>
      <c r="C58" s="11"/>
      <c r="D58" s="2">
        <v>-21.22</v>
      </c>
      <c r="E58" s="2"/>
      <c r="F58" s="19">
        <f t="shared" si="10"/>
        <v>-3.4996699062527143E-4</v>
      </c>
      <c r="G58" s="2"/>
      <c r="H58" s="2">
        <v>1437.4</v>
      </c>
      <c r="I58" s="2"/>
      <c r="J58" s="19">
        <f t="shared" si="11"/>
        <v>1.4085651225203737E-2</v>
      </c>
      <c r="K58" s="2"/>
      <c r="L58" s="2">
        <f t="shared" si="12"/>
        <v>-1458.6200000000001</v>
      </c>
      <c r="M58" s="2"/>
      <c r="N58" s="19">
        <f t="shared" si="13"/>
        <v>-1.0147627661054681</v>
      </c>
      <c r="O58" s="11"/>
      <c r="P58" s="2">
        <v>69747.73000000001</v>
      </c>
      <c r="Q58" s="2"/>
      <c r="R58" s="19">
        <f t="shared" si="14"/>
        <v>1.414977401862434E-2</v>
      </c>
      <c r="S58" s="2"/>
      <c r="T58" s="2">
        <v>64203.939999999995</v>
      </c>
      <c r="U58" s="2"/>
      <c r="V58" s="19">
        <f t="shared" si="15"/>
        <v>1.0693992348868055E-2</v>
      </c>
      <c r="W58" s="2"/>
      <c r="X58" s="2">
        <f t="shared" si="16"/>
        <v>5543.7900000000154</v>
      </c>
      <c r="Y58" s="2"/>
      <c r="Z58" s="19">
        <f t="shared" si="17"/>
        <v>8.6346570008009105E-2</v>
      </c>
    </row>
    <row r="59" spans="1:26" s="24" customFormat="1" hidden="1" outlineLevel="1" x14ac:dyDescent="0.25">
      <c r="A59" s="44"/>
      <c r="B59" s="11" t="str">
        <f>CONCATENATE("          ", "5502", " - ", "FREIGHT-IN-USED TEXT")</f>
        <v xml:space="preserve">          5502 - FREIGHT-IN-USED TEXT</v>
      </c>
      <c r="C59" s="11"/>
      <c r="D59" s="2">
        <v>379.42</v>
      </c>
      <c r="E59" s="2"/>
      <c r="F59" s="19">
        <f t="shared" si="10"/>
        <v>6.2575153432158585E-3</v>
      </c>
      <c r="G59" s="2"/>
      <c r="H59" s="2">
        <v>306.19</v>
      </c>
      <c r="I59" s="2"/>
      <c r="J59" s="19">
        <f t="shared" si="11"/>
        <v>3.0004769365835062E-3</v>
      </c>
      <c r="K59" s="2"/>
      <c r="L59" s="2">
        <f t="shared" si="12"/>
        <v>73.230000000000018</v>
      </c>
      <c r="M59" s="2"/>
      <c r="N59" s="19">
        <f t="shared" si="13"/>
        <v>0.23916522420719166</v>
      </c>
      <c r="O59" s="11"/>
      <c r="P59" s="2">
        <v>15680.76</v>
      </c>
      <c r="Q59" s="2"/>
      <c r="R59" s="19">
        <f t="shared" si="14"/>
        <v>3.1811674794331481E-3</v>
      </c>
      <c r="S59" s="2"/>
      <c r="T59" s="2">
        <v>14043.29</v>
      </c>
      <c r="U59" s="2"/>
      <c r="V59" s="19">
        <f t="shared" si="15"/>
        <v>2.339090651024459E-3</v>
      </c>
      <c r="W59" s="2"/>
      <c r="X59" s="2">
        <f t="shared" si="16"/>
        <v>1637.4699999999993</v>
      </c>
      <c r="Y59" s="2"/>
      <c r="Z59" s="19">
        <f t="shared" si="17"/>
        <v>0.11660159407090498</v>
      </c>
    </row>
    <row r="60" spans="1:26" s="24" customFormat="1" hidden="1" outlineLevel="1" x14ac:dyDescent="0.25">
      <c r="A60" s="44"/>
      <c r="B60" s="11" t="str">
        <f>CONCATENATE("          ", "5504", " - ", "FREIGHT-IN-DIGITAL TEXT")</f>
        <v xml:space="preserve">          5504 - FREIGHT-IN-DIGITAL TEXT</v>
      </c>
      <c r="C60" s="11"/>
      <c r="D60" s="2"/>
      <c r="E60" s="2"/>
      <c r="F60" s="19">
        <f t="shared" si="10"/>
        <v>0</v>
      </c>
      <c r="G60" s="2"/>
      <c r="H60" s="2"/>
      <c r="I60" s="2"/>
      <c r="J60" s="19">
        <f t="shared" si="11"/>
        <v>0</v>
      </c>
      <c r="K60" s="2"/>
      <c r="L60" s="2">
        <f t="shared" si="12"/>
        <v>0</v>
      </c>
      <c r="M60" s="2"/>
      <c r="N60" s="19">
        <f t="shared" si="13"/>
        <v>0</v>
      </c>
      <c r="O60" s="11"/>
      <c r="P60" s="2">
        <v>118.75</v>
      </c>
      <c r="Q60" s="2"/>
      <c r="R60" s="19">
        <f t="shared" si="14"/>
        <v>2.4090901090424595E-5</v>
      </c>
      <c r="S60" s="2"/>
      <c r="T60" s="2">
        <v>243.53</v>
      </c>
      <c r="U60" s="2"/>
      <c r="V60" s="19">
        <f t="shared" si="15"/>
        <v>4.0563055113437554E-5</v>
      </c>
      <c r="W60" s="2"/>
      <c r="X60" s="2">
        <f t="shared" si="16"/>
        <v>-124.78</v>
      </c>
      <c r="Y60" s="2"/>
      <c r="Z60" s="19">
        <f t="shared" si="17"/>
        <v>-0.5123804048782491</v>
      </c>
    </row>
    <row r="61" spans="1:26" s="24" customFormat="1" hidden="1" outlineLevel="1" x14ac:dyDescent="0.25">
      <c r="A61" s="44"/>
      <c r="B61" s="11" t="str">
        <f>CONCATENATE("          ", "5513", " - ", "FREIGHT-IN-TRADE BOOKS")</f>
        <v xml:space="preserve">          5513 - FREIGHT-IN-TRADE BOOKS</v>
      </c>
      <c r="C61" s="11"/>
      <c r="D61" s="2"/>
      <c r="E61" s="2"/>
      <c r="F61" s="19">
        <f t="shared" si="10"/>
        <v>0</v>
      </c>
      <c r="G61" s="2"/>
      <c r="H61" s="2"/>
      <c r="I61" s="2"/>
      <c r="J61" s="19">
        <f t="shared" si="11"/>
        <v>0</v>
      </c>
      <c r="K61" s="2"/>
      <c r="L61" s="2">
        <f t="shared" si="12"/>
        <v>0</v>
      </c>
      <c r="M61" s="2"/>
      <c r="N61" s="19">
        <f t="shared" si="13"/>
        <v>0</v>
      </c>
      <c r="O61" s="11"/>
      <c r="P61" s="2">
        <v>30.24</v>
      </c>
      <c r="Q61" s="2"/>
      <c r="R61" s="19">
        <f t="shared" si="14"/>
        <v>6.1348113597847552E-6</v>
      </c>
      <c r="S61" s="2"/>
      <c r="T61" s="2">
        <v>54.9</v>
      </c>
      <c r="U61" s="2"/>
      <c r="V61" s="19">
        <f t="shared" si="15"/>
        <v>9.1443014237577366E-6</v>
      </c>
      <c r="W61" s="2"/>
      <c r="X61" s="2">
        <f t="shared" si="16"/>
        <v>-24.66</v>
      </c>
      <c r="Y61" s="2"/>
      <c r="Z61" s="19">
        <f t="shared" si="17"/>
        <v>-0.44918032786885248</v>
      </c>
    </row>
    <row r="62" spans="1:26" s="24" customFormat="1" hidden="1" outlineLevel="1" x14ac:dyDescent="0.25">
      <c r="A62" s="44"/>
      <c r="B62" s="11" t="str">
        <f>CONCATENATE("          ", "5518", " - ", "FREIGHT-IN-STUDY GUIDES")</f>
        <v xml:space="preserve">          5518 - FREIGHT-IN-STUDY GUIDES</v>
      </c>
      <c r="C62" s="11"/>
      <c r="D62" s="2"/>
      <c r="E62" s="2"/>
      <c r="F62" s="19">
        <f t="shared" si="10"/>
        <v>0</v>
      </c>
      <c r="G62" s="2"/>
      <c r="H62" s="2"/>
      <c r="I62" s="2"/>
      <c r="J62" s="19">
        <f t="shared" si="11"/>
        <v>0</v>
      </c>
      <c r="K62" s="2"/>
      <c r="L62" s="2">
        <f t="shared" si="12"/>
        <v>0</v>
      </c>
      <c r="M62" s="2"/>
      <c r="N62" s="19">
        <f t="shared" si="13"/>
        <v>0</v>
      </c>
      <c r="O62" s="11"/>
      <c r="P62" s="2">
        <v>21.13</v>
      </c>
      <c r="Q62" s="2"/>
      <c r="R62" s="19">
        <f t="shared" si="14"/>
        <v>4.2866588635003927E-6</v>
      </c>
      <c r="S62" s="2"/>
      <c r="T62" s="2"/>
      <c r="U62" s="2"/>
      <c r="V62" s="19">
        <f t="shared" si="15"/>
        <v>0</v>
      </c>
      <c r="W62" s="2"/>
      <c r="X62" s="2">
        <f t="shared" si="16"/>
        <v>21.13</v>
      </c>
      <c r="Y62" s="2"/>
      <c r="Z62" s="19">
        <f t="shared" si="17"/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6</v>
      </c>
      <c r="C64" s="29"/>
      <c r="D64" s="21">
        <f>D12-D46</f>
        <v>9300.5400000000081</v>
      </c>
      <c r="E64" s="14"/>
      <c r="F64" s="20">
        <f>IF(D$12=0,0,D64/D$12)</f>
        <v>0.15338746441988527</v>
      </c>
      <c r="G64" s="14"/>
      <c r="H64" s="21">
        <f>H12-H46</f>
        <v>48922.179999999957</v>
      </c>
      <c r="I64" s="14"/>
      <c r="J64" s="20">
        <f>IF(H$12=0,0,H64/H$12)</f>
        <v>0.47940779508601439</v>
      </c>
      <c r="K64" s="16"/>
      <c r="L64" s="21">
        <f>+D64-H64</f>
        <v>-39621.639999999948</v>
      </c>
      <c r="M64" s="16"/>
      <c r="N64" s="20">
        <f>IF(H64=0,0,L64/H64)</f>
        <v>-0.80989113731235984</v>
      </c>
      <c r="O64" s="28"/>
      <c r="P64" s="21">
        <f>P12-P46</f>
        <v>1393869.1799999974</v>
      </c>
      <c r="Q64" s="14"/>
      <c r="R64" s="20">
        <f>IF(P$12=0,0,P64/P$12)</f>
        <v>0.28277528040733618</v>
      </c>
      <c r="S64" s="14"/>
      <c r="T64" s="21">
        <f>T12-T46</f>
        <v>1688972.1099999994</v>
      </c>
      <c r="U64" s="14"/>
      <c r="V64" s="20">
        <f>IF(T$12=0,0,T64/T$12)</f>
        <v>0.28132003770783431</v>
      </c>
      <c r="W64" s="16"/>
      <c r="X64" s="21">
        <f>+P64-T64</f>
        <v>-295102.93000000203</v>
      </c>
      <c r="Y64" s="16"/>
      <c r="Z64" s="20">
        <f>IF(T64=0,0,X64/T64)</f>
        <v>-0.17472338841640322</v>
      </c>
    </row>
    <row r="65" spans="1:26" x14ac:dyDescent="0.25">
      <c r="A65" s="9"/>
      <c r="B65" s="10"/>
      <c r="C65" s="9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8" t="s">
        <v>9</v>
      </c>
      <c r="C66" s="10"/>
      <c r="D66" s="22">
        <f>SUM(OSRRefD22x_0)</f>
        <v>38231.100000000013</v>
      </c>
      <c r="E66" s="22"/>
      <c r="F66" s="31">
        <f t="shared" ref="F66:F76" si="18">IF(D$12=0,0,D66/D$12)</f>
        <v>0.63051946349169752</v>
      </c>
      <c r="G66" s="22"/>
      <c r="H66" s="22">
        <f>SUM(OSRRefH22x_0)</f>
        <v>71286.460000000006</v>
      </c>
      <c r="I66" s="22"/>
      <c r="J66" s="31">
        <f t="shared" ref="J66:J76" si="19">IF(H$12=0,0,H66/H$12)</f>
        <v>0.6985642219559185</v>
      </c>
      <c r="K66" s="4"/>
      <c r="L66" s="22">
        <f t="shared" ref="L66:L76" si="20">+D66-H66</f>
        <v>-33055.359999999993</v>
      </c>
      <c r="M66" s="4"/>
      <c r="N66" s="31">
        <f t="shared" ref="N66:N76" si="21">IF(H66=0,0,L66/H66)</f>
        <v>-0.46369759418548756</v>
      </c>
      <c r="O66" s="10"/>
      <c r="P66" s="22">
        <f>SUM(OSRRefP22x_0)</f>
        <v>509228.60000000003</v>
      </c>
      <c r="Q66" s="22"/>
      <c r="R66" s="31">
        <f t="shared" ref="R66:R76" si="22">IF(P$12=0,0,P66/P$12)</f>
        <v>0.10330758597907697</v>
      </c>
      <c r="S66" s="22"/>
      <c r="T66" s="22">
        <f>SUM(OSRRefT22x_0)</f>
        <v>672204.01000000013</v>
      </c>
      <c r="U66" s="22"/>
      <c r="V66" s="31">
        <f t="shared" ref="V66:V76" si="23">IF(T$12=0,0,T66/T$12)</f>
        <v>0.11196422742620513</v>
      </c>
      <c r="W66" s="4"/>
      <c r="X66" s="22">
        <f t="shared" ref="X66:X76" si="24">+P66-T66</f>
        <v>-162975.41000000009</v>
      </c>
      <c r="Y66" s="4"/>
      <c r="Z66" s="31">
        <f t="shared" ref="Z66:Z76" si="25">IF(T66=0,0,X66/T66)</f>
        <v>-0.24244932725111243</v>
      </c>
    </row>
    <row r="67" spans="1:26" s="27" customFormat="1" outlineLevel="1" collapsed="1" x14ac:dyDescent="0.25">
      <c r="A67" s="25"/>
      <c r="B67" s="13" t="str">
        <f>CONCATENATE("     ","*Benefits                                         ")</f>
        <v xml:space="preserve">     *Benefits                                         </v>
      </c>
      <c r="C67" s="13"/>
      <c r="D67" s="1">
        <f>SUM(OSRRefD22_0x_0)</f>
        <v>10281.040000000001</v>
      </c>
      <c r="E67" s="1"/>
      <c r="F67" s="5">
        <f t="shared" si="18"/>
        <v>0.16955818234203776</v>
      </c>
      <c r="G67" s="1"/>
      <c r="H67" s="1">
        <f>SUM(OSRRefH22_0x_0)</f>
        <v>13767.57</v>
      </c>
      <c r="I67" s="1"/>
      <c r="J67" s="5">
        <f t="shared" si="19"/>
        <v>0.13491386478264797</v>
      </c>
      <c r="K67" s="1"/>
      <c r="L67" s="1">
        <f t="shared" si="20"/>
        <v>-3486.5299999999988</v>
      </c>
      <c r="M67" s="1"/>
      <c r="N67" s="5">
        <f t="shared" si="21"/>
        <v>-0.25324222066784474</v>
      </c>
      <c r="O67" s="13"/>
      <c r="P67" s="1">
        <f>SUM(OSRRefP22_0x_0)</f>
        <v>116667.29000000001</v>
      </c>
      <c r="Q67" s="1"/>
      <c r="R67" s="5">
        <f t="shared" si="22"/>
        <v>2.3668380158971641E-2</v>
      </c>
      <c r="S67" s="1"/>
      <c r="T67" s="1">
        <f>SUM(OSRRefT22_0x_0)</f>
        <v>139476.25999999998</v>
      </c>
      <c r="U67" s="1"/>
      <c r="V67" s="5">
        <f t="shared" si="23"/>
        <v>2.3231565808714102E-2</v>
      </c>
      <c r="W67" s="1"/>
      <c r="X67" s="1">
        <f t="shared" si="24"/>
        <v>-22808.969999999972</v>
      </c>
      <c r="Y67" s="1"/>
      <c r="Z67" s="5">
        <f t="shared" si="25"/>
        <v>-0.16353299120581508</v>
      </c>
    </row>
    <row r="68" spans="1:26" s="24" customFormat="1" hidden="1" outlineLevel="2" x14ac:dyDescent="0.25">
      <c r="A68" s="26"/>
      <c r="B68" s="11" t="str">
        <f>CONCATENATE("          ", "6111", " - ", "F.I.C.A.")</f>
        <v xml:space="preserve">          6111 - F.I.C.A.</v>
      </c>
      <c r="C68" s="11"/>
      <c r="D68" s="6">
        <v>1559.66</v>
      </c>
      <c r="E68" s="2"/>
      <c r="F68" s="7">
        <f t="shared" si="18"/>
        <v>2.5722408887776198E-2</v>
      </c>
      <c r="G68" s="2"/>
      <c r="H68" s="6">
        <v>2584.59</v>
      </c>
      <c r="I68" s="2"/>
      <c r="J68" s="7">
        <f t="shared" si="19"/>
        <v>2.5327419855398166E-2</v>
      </c>
      <c r="K68" s="2"/>
      <c r="L68" s="6">
        <f t="shared" si="20"/>
        <v>-1024.93</v>
      </c>
      <c r="M68" s="2"/>
      <c r="N68" s="7">
        <f t="shared" si="21"/>
        <v>-0.39655419234772249</v>
      </c>
      <c r="O68" s="11"/>
      <c r="P68" s="6">
        <v>19849.41</v>
      </c>
      <c r="Q68" s="2"/>
      <c r="R68" s="7">
        <f t="shared" si="22"/>
        <v>4.0268646148487143E-3</v>
      </c>
      <c r="S68" s="2"/>
      <c r="T68" s="6">
        <v>22206.639999999999</v>
      </c>
      <c r="U68" s="2"/>
      <c r="V68" s="7">
        <f t="shared" si="23"/>
        <v>3.6988016351343442E-3</v>
      </c>
      <c r="W68" s="2"/>
      <c r="X68" s="6">
        <f t="shared" si="24"/>
        <v>-2357.2299999999996</v>
      </c>
      <c r="Y68" s="2"/>
      <c r="Z68" s="7">
        <f t="shared" si="25"/>
        <v>-0.10614978222729776</v>
      </c>
    </row>
    <row r="69" spans="1:26" s="24" customFormat="1" hidden="1" outlineLevel="2" x14ac:dyDescent="0.25">
      <c r="A69" s="26"/>
      <c r="B69" s="11" t="str">
        <f>CONCATENATE("          ", "6112", " - ", "COMPENSATION INSURANCE")</f>
        <v xml:space="preserve">          6112 - COMPENSATION INSURANCE</v>
      </c>
      <c r="C69" s="11"/>
      <c r="D69" s="6">
        <v>226.23</v>
      </c>
      <c r="E69" s="2"/>
      <c r="F69" s="7">
        <f t="shared" si="18"/>
        <v>3.7310571295549088E-3</v>
      </c>
      <c r="G69" s="2"/>
      <c r="H69" s="6">
        <v>89.82</v>
      </c>
      <c r="I69" s="2"/>
      <c r="J69" s="7">
        <f t="shared" si="19"/>
        <v>8.8018171215235809E-4</v>
      </c>
      <c r="K69" s="2"/>
      <c r="L69" s="6">
        <f t="shared" si="20"/>
        <v>136.41</v>
      </c>
      <c r="M69" s="2"/>
      <c r="N69" s="7">
        <f t="shared" si="21"/>
        <v>1.5187040748162994</v>
      </c>
      <c r="O69" s="11"/>
      <c r="P69" s="6">
        <v>1091.83</v>
      </c>
      <c r="Q69" s="2"/>
      <c r="R69" s="7">
        <f t="shared" si="22"/>
        <v>2.2150036663206975E-4</v>
      </c>
      <c r="S69" s="2"/>
      <c r="T69" s="6">
        <v>877.85</v>
      </c>
      <c r="U69" s="2"/>
      <c r="V69" s="7">
        <f t="shared" si="23"/>
        <v>1.4621721320301874E-4</v>
      </c>
      <c r="W69" s="2"/>
      <c r="X69" s="6">
        <f t="shared" si="24"/>
        <v>213.9799999999999</v>
      </c>
      <c r="Y69" s="2"/>
      <c r="Z69" s="7">
        <f t="shared" si="25"/>
        <v>0.24375462778378984</v>
      </c>
    </row>
    <row r="70" spans="1:26" s="24" customFormat="1" hidden="1" outlineLevel="2" x14ac:dyDescent="0.25">
      <c r="A70" s="26"/>
      <c r="B70" s="11" t="str">
        <f>CONCATENATE("          ", "6113", " - ", "GROUP INSURANCE")</f>
        <v xml:space="preserve">          6113 - GROUP INSURANCE</v>
      </c>
      <c r="C70" s="11"/>
      <c r="D70" s="6">
        <v>4248.21</v>
      </c>
      <c r="E70" s="2"/>
      <c r="F70" s="7">
        <f t="shared" si="18"/>
        <v>7.0062830784363081E-2</v>
      </c>
      <c r="G70" s="2"/>
      <c r="H70" s="6">
        <v>5576.65</v>
      </c>
      <c r="I70" s="2"/>
      <c r="J70" s="7">
        <f t="shared" si="19"/>
        <v>5.4647799433026584E-2</v>
      </c>
      <c r="K70" s="2"/>
      <c r="L70" s="6">
        <f t="shared" si="20"/>
        <v>-1328.4399999999996</v>
      </c>
      <c r="M70" s="2"/>
      <c r="N70" s="7">
        <f t="shared" si="21"/>
        <v>-0.23821469878869925</v>
      </c>
      <c r="O70" s="11"/>
      <c r="P70" s="6">
        <v>46252.47</v>
      </c>
      <c r="Q70" s="2"/>
      <c r="R70" s="7">
        <f t="shared" si="22"/>
        <v>9.3832730943817326E-3</v>
      </c>
      <c r="S70" s="2"/>
      <c r="T70" s="6">
        <v>58116.689999999995</v>
      </c>
      <c r="U70" s="2"/>
      <c r="V70" s="7">
        <f t="shared" si="23"/>
        <v>9.6800825338995804E-3</v>
      </c>
      <c r="W70" s="2"/>
      <c r="X70" s="6">
        <f t="shared" si="24"/>
        <v>-11864.219999999994</v>
      </c>
      <c r="Y70" s="2"/>
      <c r="Z70" s="7">
        <f t="shared" si="25"/>
        <v>-0.20414479902417007</v>
      </c>
    </row>
    <row r="71" spans="1:26" s="24" customFormat="1" hidden="1" outlineLevel="2" x14ac:dyDescent="0.25">
      <c r="A71" s="26"/>
      <c r="B71" s="11" t="str">
        <f>CONCATENATE("          ", "6114", " - ", "STATE UNEMPLOYMENT INSURANCE")</f>
        <v xml:space="preserve">          6114 - STATE UNEMPLOYMENT INSURANCE</v>
      </c>
      <c r="C71" s="11"/>
      <c r="D71" s="6">
        <v>91.38</v>
      </c>
      <c r="E71" s="2"/>
      <c r="F71" s="7">
        <f t="shared" si="18"/>
        <v>1.5070680303174979E-3</v>
      </c>
      <c r="G71" s="2"/>
      <c r="H71" s="6">
        <v>65.66</v>
      </c>
      <c r="I71" s="2"/>
      <c r="J71" s="7">
        <f t="shared" si="19"/>
        <v>6.4342831462841049E-4</v>
      </c>
      <c r="K71" s="2"/>
      <c r="L71" s="6">
        <f t="shared" si="20"/>
        <v>25.72</v>
      </c>
      <c r="M71" s="2"/>
      <c r="N71" s="7">
        <f t="shared" si="21"/>
        <v>0.39171489491318917</v>
      </c>
      <c r="O71" s="11"/>
      <c r="P71" s="6">
        <v>745.41</v>
      </c>
      <c r="Q71" s="2"/>
      <c r="R71" s="7">
        <f t="shared" si="22"/>
        <v>1.5122188279421806E-4</v>
      </c>
      <c r="S71" s="2"/>
      <c r="T71" s="6">
        <v>825.36</v>
      </c>
      <c r="U71" s="2"/>
      <c r="V71" s="7">
        <f t="shared" si="23"/>
        <v>1.3747432828984857E-4</v>
      </c>
      <c r="W71" s="2"/>
      <c r="X71" s="6">
        <f t="shared" si="24"/>
        <v>-79.950000000000045</v>
      </c>
      <c r="Y71" s="2"/>
      <c r="Z71" s="7">
        <f t="shared" si="25"/>
        <v>-9.6866821750508925E-2</v>
      </c>
    </row>
    <row r="72" spans="1:26" s="24" customFormat="1" hidden="1" outlineLevel="2" x14ac:dyDescent="0.25">
      <c r="A72" s="26"/>
      <c r="B72" s="11" t="str">
        <f>CONCATENATE("          ", "6115", " - ", "P.E.R.S.")</f>
        <v xml:space="preserve">          6115 - P.E.R.S.</v>
      </c>
      <c r="C72" s="11"/>
      <c r="D72" s="6">
        <v>1363.4</v>
      </c>
      <c r="E72" s="2"/>
      <c r="F72" s="7">
        <f t="shared" si="18"/>
        <v>2.2485626532445579E-2</v>
      </c>
      <c r="G72" s="2"/>
      <c r="H72" s="6">
        <v>1209.17</v>
      </c>
      <c r="I72" s="2"/>
      <c r="J72" s="7">
        <f t="shared" si="19"/>
        <v>1.1849135169041049E-2</v>
      </c>
      <c r="K72" s="2"/>
      <c r="L72" s="6">
        <f t="shared" si="20"/>
        <v>154.23000000000002</v>
      </c>
      <c r="M72" s="2"/>
      <c r="N72" s="7">
        <f t="shared" si="21"/>
        <v>0.12755030310047388</v>
      </c>
      <c r="O72" s="11"/>
      <c r="P72" s="6">
        <v>15839.689999999999</v>
      </c>
      <c r="Q72" s="2"/>
      <c r="R72" s="7">
        <f t="shared" si="22"/>
        <v>3.213409727098842E-3</v>
      </c>
      <c r="S72" s="2"/>
      <c r="T72" s="6">
        <v>15019.929999999998</v>
      </c>
      <c r="U72" s="2"/>
      <c r="V72" s="7">
        <f t="shared" si="23"/>
        <v>2.5017626099042172E-3</v>
      </c>
      <c r="W72" s="2"/>
      <c r="X72" s="6">
        <f t="shared" si="24"/>
        <v>819.76000000000022</v>
      </c>
      <c r="Y72" s="2"/>
      <c r="Z72" s="7">
        <f t="shared" si="25"/>
        <v>5.457815049737251E-2</v>
      </c>
    </row>
    <row r="73" spans="1:26" s="24" customFormat="1" hidden="1" outlineLevel="2" x14ac:dyDescent="0.25">
      <c r="A73" s="26"/>
      <c r="B73" s="11" t="str">
        <f>CONCATENATE("          ", "6117", " - ", "RETIREMENT STAFF HOURLY")</f>
        <v xml:space="preserve">          6117 - RETIREMENT STAFF HOURLY</v>
      </c>
      <c r="C73" s="11"/>
      <c r="D73" s="6">
        <v>219.6</v>
      </c>
      <c r="E73" s="2"/>
      <c r="F73" s="7">
        <f t="shared" si="18"/>
        <v>3.6217130603821684E-3</v>
      </c>
      <c r="G73" s="2"/>
      <c r="H73" s="6">
        <v>255.75</v>
      </c>
      <c r="I73" s="2"/>
      <c r="J73" s="7">
        <f t="shared" si="19"/>
        <v>2.5061954228787083E-3</v>
      </c>
      <c r="K73" s="2"/>
      <c r="L73" s="6">
        <f t="shared" si="20"/>
        <v>-36.150000000000006</v>
      </c>
      <c r="M73" s="2"/>
      <c r="N73" s="7">
        <f t="shared" si="21"/>
        <v>-0.14134897360703816</v>
      </c>
      <c r="O73" s="11"/>
      <c r="P73" s="6">
        <v>1789.27</v>
      </c>
      <c r="Q73" s="2"/>
      <c r="R73" s="7">
        <f t="shared" si="22"/>
        <v>3.6299053973948644E-4</v>
      </c>
      <c r="S73" s="2"/>
      <c r="T73" s="6">
        <v>2901.9</v>
      </c>
      <c r="U73" s="2"/>
      <c r="V73" s="7">
        <f t="shared" si="23"/>
        <v>4.8334878509294311E-4</v>
      </c>
      <c r="W73" s="2"/>
      <c r="X73" s="6">
        <f t="shared" si="24"/>
        <v>-1112.6300000000001</v>
      </c>
      <c r="Y73" s="2"/>
      <c r="Z73" s="7">
        <f t="shared" si="25"/>
        <v>-0.38341431475929566</v>
      </c>
    </row>
    <row r="74" spans="1:26" s="24" customFormat="1" hidden="1" outlineLevel="2" x14ac:dyDescent="0.25">
      <c r="A74" s="26"/>
      <c r="B74" s="11" t="str">
        <f>CONCATENATE("          ", "6118", " - ", "VACATION")</f>
        <v xml:space="preserve">          6118 - VACATION</v>
      </c>
      <c r="C74" s="11"/>
      <c r="D74" s="6">
        <v>1355.16</v>
      </c>
      <c r="E74" s="2"/>
      <c r="F74" s="7">
        <f t="shared" si="18"/>
        <v>2.2349729831090619E-2</v>
      </c>
      <c r="G74" s="2"/>
      <c r="H74" s="6">
        <v>1852.26</v>
      </c>
      <c r="I74" s="2"/>
      <c r="J74" s="7">
        <f t="shared" si="19"/>
        <v>1.8151028480865361E-2</v>
      </c>
      <c r="K74" s="2"/>
      <c r="L74" s="6">
        <f t="shared" si="20"/>
        <v>-497.09999999999991</v>
      </c>
      <c r="M74" s="2"/>
      <c r="N74" s="7">
        <f t="shared" si="21"/>
        <v>-0.2683748501830196</v>
      </c>
      <c r="O74" s="11"/>
      <c r="P74" s="6">
        <v>11998.22</v>
      </c>
      <c r="Q74" s="2"/>
      <c r="R74" s="7">
        <f t="shared" si="22"/>
        <v>2.4340878423676137E-3</v>
      </c>
      <c r="S74" s="2"/>
      <c r="T74" s="6">
        <v>17367.009999999998</v>
      </c>
      <c r="U74" s="2"/>
      <c r="V74" s="7">
        <f t="shared" si="23"/>
        <v>2.8926989848709443E-3</v>
      </c>
      <c r="W74" s="2"/>
      <c r="X74" s="6">
        <f t="shared" si="24"/>
        <v>-5368.7899999999991</v>
      </c>
      <c r="Y74" s="2"/>
      <c r="Z74" s="7">
        <f t="shared" si="25"/>
        <v>-0.30913726657611179</v>
      </c>
    </row>
    <row r="75" spans="1:26" s="24" customFormat="1" hidden="1" outlineLevel="2" x14ac:dyDescent="0.25">
      <c r="A75" s="26"/>
      <c r="B75" s="11" t="str">
        <f>CONCATENATE("          ", "6119", " - ", "SICK LEAVE")</f>
        <v xml:space="preserve">          6119 - SICK LEAVE</v>
      </c>
      <c r="C75" s="11"/>
      <c r="D75" s="6">
        <v>944.6</v>
      </c>
      <c r="E75" s="2"/>
      <c r="F75" s="7">
        <f t="shared" si="18"/>
        <v>1.5578643701443518E-2</v>
      </c>
      <c r="G75" s="2"/>
      <c r="H75" s="6">
        <v>1406.94</v>
      </c>
      <c r="I75" s="2"/>
      <c r="J75" s="7">
        <f t="shared" si="19"/>
        <v>1.3787161635444653E-2</v>
      </c>
      <c r="K75" s="2"/>
      <c r="L75" s="6">
        <f t="shared" si="20"/>
        <v>-462.34000000000003</v>
      </c>
      <c r="M75" s="2"/>
      <c r="N75" s="7">
        <f t="shared" si="21"/>
        <v>-0.32861387123829022</v>
      </c>
      <c r="O75" s="11"/>
      <c r="P75" s="6">
        <v>12958.89</v>
      </c>
      <c r="Q75" s="2"/>
      <c r="R75" s="7">
        <f t="shared" si="22"/>
        <v>2.6289796819510933E-3</v>
      </c>
      <c r="S75" s="2"/>
      <c r="T75" s="6">
        <v>14409.69</v>
      </c>
      <c r="U75" s="2"/>
      <c r="V75" s="7">
        <f t="shared" si="23"/>
        <v>2.4001192856631629E-3</v>
      </c>
      <c r="W75" s="2"/>
      <c r="X75" s="6">
        <f t="shared" si="24"/>
        <v>-1450.8000000000011</v>
      </c>
      <c r="Y75" s="2"/>
      <c r="Z75" s="7">
        <f t="shared" si="25"/>
        <v>-0.10068224923645137</v>
      </c>
    </row>
    <row r="76" spans="1:26" s="24" customFormat="1" hidden="1" outlineLevel="2" x14ac:dyDescent="0.25">
      <c r="A76" s="26"/>
      <c r="B76" s="11" t="str">
        <f>CONCATENATE("          ", "6156", " - ", "EMPLOYEE MEALS")</f>
        <v xml:space="preserve">          6156 - EMPLOYEE MEALS</v>
      </c>
      <c r="C76" s="11"/>
      <c r="D76" s="6">
        <v>272.8</v>
      </c>
      <c r="E76" s="2"/>
      <c r="F76" s="7">
        <f t="shared" si="18"/>
        <v>4.499104384664188E-3</v>
      </c>
      <c r="G76" s="2"/>
      <c r="H76" s="6">
        <v>726.73</v>
      </c>
      <c r="I76" s="2"/>
      <c r="J76" s="7">
        <f t="shared" si="19"/>
        <v>7.1215147592126838E-3</v>
      </c>
      <c r="K76" s="2"/>
      <c r="L76" s="6">
        <f t="shared" si="20"/>
        <v>-453.93</v>
      </c>
      <c r="M76" s="2"/>
      <c r="N76" s="7">
        <f t="shared" si="21"/>
        <v>-0.6246198725799128</v>
      </c>
      <c r="O76" s="11"/>
      <c r="P76" s="6">
        <v>6142.1</v>
      </c>
      <c r="Q76" s="2"/>
      <c r="R76" s="7">
        <f t="shared" si="22"/>
        <v>1.2460524091578687E-3</v>
      </c>
      <c r="S76" s="2"/>
      <c r="T76" s="6">
        <v>7751.19</v>
      </c>
      <c r="U76" s="2"/>
      <c r="V76" s="7">
        <f t="shared" si="23"/>
        <v>1.2910604326560424E-3</v>
      </c>
      <c r="W76" s="2"/>
      <c r="X76" s="6">
        <f t="shared" si="24"/>
        <v>-1609.0899999999992</v>
      </c>
      <c r="Y76" s="2"/>
      <c r="Z76" s="7">
        <f t="shared" si="25"/>
        <v>-0.20759264061389274</v>
      </c>
    </row>
    <row r="77" spans="1:26" s="27" customFormat="1" outlineLevel="1" collapsed="1" x14ac:dyDescent="0.25">
      <c r="A77" s="25"/>
      <c r="B77" s="13" t="str">
        <f>CONCATENATE("     ","*Payroll                                          ")</f>
        <v xml:space="preserve">     *Payroll                                          </v>
      </c>
      <c r="C77" s="13"/>
      <c r="D77" s="1">
        <f>SUM(OSRRefD22_1x_0)</f>
        <v>23297.91</v>
      </c>
      <c r="E77" s="1"/>
      <c r="F77" s="5">
        <f t="shared" ref="F77:F82" si="26">IF(D$12=0,0,D77/D$12)</f>
        <v>0.38423654338164082</v>
      </c>
      <c r="G77" s="1"/>
      <c r="H77" s="1">
        <f>SUM(OSRRefH22_1x_0)</f>
        <v>30975.88</v>
      </c>
      <c r="I77" s="1"/>
      <c r="J77" s="5">
        <f t="shared" ref="J77:J82" si="27">IF(H$12=0,0,H77/H$12)</f>
        <v>0.30354490195753714</v>
      </c>
      <c r="K77" s="1"/>
      <c r="L77" s="1">
        <f t="shared" ref="L77:L82" si="28">+D77-H77</f>
        <v>-7677.9700000000012</v>
      </c>
      <c r="M77" s="1"/>
      <c r="N77" s="5">
        <f t="shared" ref="N77:N82" si="29">IF(H77=0,0,L77/H77)</f>
        <v>-0.24786930992759532</v>
      </c>
      <c r="O77" s="13"/>
      <c r="P77" s="1">
        <f>SUM(OSRRefP22_1x_0)</f>
        <v>307286.41000000003</v>
      </c>
      <c r="Q77" s="1"/>
      <c r="R77" s="5">
        <f t="shared" ref="R77:R82" si="30">IF(P$12=0,0,P77/P$12)</f>
        <v>6.2339423239929762E-2</v>
      </c>
      <c r="S77" s="1"/>
      <c r="T77" s="1">
        <f>SUM(OSRRefT22_1x_0)</f>
        <v>319825.62</v>
      </c>
      <c r="U77" s="1"/>
      <c r="V77" s="5">
        <f t="shared" ref="V77:V82" si="31">IF(T$12=0,0,T77/T$12)</f>
        <v>5.3271072355559217E-2</v>
      </c>
      <c r="W77" s="1"/>
      <c r="X77" s="1">
        <f t="shared" ref="X77:X82" si="32">+P77-T77</f>
        <v>-12539.209999999963</v>
      </c>
      <c r="Y77" s="1"/>
      <c r="Z77" s="5">
        <f t="shared" ref="Z77:Z82" si="33">IF(T77=0,0,X77/T77)</f>
        <v>-3.9206396285575755E-2</v>
      </c>
    </row>
    <row r="78" spans="1:26" s="24" customFormat="1" hidden="1" outlineLevel="2" x14ac:dyDescent="0.25">
      <c r="A78" s="26"/>
      <c r="B78" s="11" t="str">
        <f>CONCATENATE("          ", "6002", " - ", "STAFF SALARIES")</f>
        <v xml:space="preserve">          6002 - STAFF SALARIES</v>
      </c>
      <c r="C78" s="11"/>
      <c r="D78" s="6">
        <v>14586.65</v>
      </c>
      <c r="E78" s="2"/>
      <c r="F78" s="7">
        <f t="shared" si="26"/>
        <v>0.24056767218681038</v>
      </c>
      <c r="G78" s="2"/>
      <c r="H78" s="6">
        <v>15177.52</v>
      </c>
      <c r="I78" s="2"/>
      <c r="J78" s="7">
        <f t="shared" si="27"/>
        <v>0.14873052259882719</v>
      </c>
      <c r="K78" s="2"/>
      <c r="L78" s="6">
        <f t="shared" si="28"/>
        <v>-590.8700000000008</v>
      </c>
      <c r="M78" s="2"/>
      <c r="N78" s="7">
        <f t="shared" si="29"/>
        <v>-3.8930602628097395E-2</v>
      </c>
      <c r="O78" s="11"/>
      <c r="P78" s="6">
        <v>172008.78</v>
      </c>
      <c r="Q78" s="2"/>
      <c r="R78" s="7">
        <f t="shared" si="30"/>
        <v>3.4895549521386141E-2</v>
      </c>
      <c r="S78" s="2"/>
      <c r="T78" s="6">
        <v>152834.62</v>
      </c>
      <c r="U78" s="2"/>
      <c r="V78" s="7">
        <f t="shared" si="31"/>
        <v>2.5456572554926643E-2</v>
      </c>
      <c r="W78" s="2"/>
      <c r="X78" s="6">
        <f t="shared" si="32"/>
        <v>19174.160000000003</v>
      </c>
      <c r="Y78" s="2"/>
      <c r="Z78" s="7">
        <f t="shared" si="33"/>
        <v>0.1254569154554119</v>
      </c>
    </row>
    <row r="79" spans="1:26" s="24" customFormat="1" hidden="1" outlineLevel="2" x14ac:dyDescent="0.25">
      <c r="A79" s="26"/>
      <c r="B79" s="11" t="str">
        <f>CONCATENATE("          ", "6004", " - ", "STAFF HOURLY")</f>
        <v xml:space="preserve">          6004 - STAFF HOURLY</v>
      </c>
      <c r="C79" s="11"/>
      <c r="D79" s="6">
        <v>5396.64</v>
      </c>
      <c r="E79" s="2"/>
      <c r="F79" s="7">
        <f t="shared" si="26"/>
        <v>8.9003103689348023E-2</v>
      </c>
      <c r="G79" s="2"/>
      <c r="H79" s="6">
        <v>8787.77</v>
      </c>
      <c r="I79" s="2"/>
      <c r="J79" s="7">
        <f t="shared" si="27"/>
        <v>8.6114834609231E-2</v>
      </c>
      <c r="K79" s="2"/>
      <c r="L79" s="6">
        <f t="shared" si="28"/>
        <v>-3391.13</v>
      </c>
      <c r="M79" s="2"/>
      <c r="N79" s="7">
        <f t="shared" si="29"/>
        <v>-0.38589198397318092</v>
      </c>
      <c r="O79" s="11"/>
      <c r="P79" s="6">
        <v>45627.8</v>
      </c>
      <c r="Q79" s="2"/>
      <c r="R79" s="7">
        <f t="shared" si="30"/>
        <v>9.2565458254625296E-3</v>
      </c>
      <c r="S79" s="2"/>
      <c r="T79" s="6">
        <v>68349.650000000009</v>
      </c>
      <c r="U79" s="2"/>
      <c r="V79" s="7">
        <f t="shared" si="31"/>
        <v>1.138451369414104E-2</v>
      </c>
      <c r="W79" s="2"/>
      <c r="X79" s="6">
        <f t="shared" si="32"/>
        <v>-22721.850000000006</v>
      </c>
      <c r="Y79" s="2"/>
      <c r="Z79" s="7">
        <f t="shared" si="33"/>
        <v>-0.33243549893818042</v>
      </c>
    </row>
    <row r="80" spans="1:26" s="24" customFormat="1" hidden="1" outlineLevel="2" x14ac:dyDescent="0.25">
      <c r="A80" s="26"/>
      <c r="B80" s="11" t="str">
        <f>CONCATENATE("          ", "6005", " - ", "TEMPORARY WAGES-HOURLY")</f>
        <v xml:space="preserve">          6005 - TEMPORARY WAGES-HOURLY</v>
      </c>
      <c r="C80" s="11"/>
      <c r="D80" s="6">
        <v>218.74</v>
      </c>
      <c r="E80" s="2"/>
      <c r="F80" s="7">
        <f t="shared" si="26"/>
        <v>3.6075296667941511E-3</v>
      </c>
      <c r="G80" s="2"/>
      <c r="H80" s="6">
        <v>2422.0700000000002</v>
      </c>
      <c r="I80" s="2"/>
      <c r="J80" s="7">
        <f t="shared" si="27"/>
        <v>2.3734822083643532E-2</v>
      </c>
      <c r="K80" s="2"/>
      <c r="L80" s="6">
        <f t="shared" si="28"/>
        <v>-2203.33</v>
      </c>
      <c r="M80" s="2"/>
      <c r="N80" s="7">
        <f t="shared" si="29"/>
        <v>-0.90968881989372719</v>
      </c>
      <c r="O80" s="11"/>
      <c r="P80" s="6">
        <v>24432.25</v>
      </c>
      <c r="Q80" s="2"/>
      <c r="R80" s="7">
        <f t="shared" si="30"/>
        <v>4.9565887845602211E-3</v>
      </c>
      <c r="S80" s="2"/>
      <c r="T80" s="6">
        <v>38477.24</v>
      </c>
      <c r="U80" s="2"/>
      <c r="V80" s="7">
        <f t="shared" si="31"/>
        <v>6.4088794264894012E-3</v>
      </c>
      <c r="W80" s="2"/>
      <c r="X80" s="6">
        <f t="shared" si="32"/>
        <v>-14044.989999999998</v>
      </c>
      <c r="Y80" s="2"/>
      <c r="Z80" s="7">
        <f t="shared" si="33"/>
        <v>-0.36502072393965884</v>
      </c>
    </row>
    <row r="81" spans="1:26" s="24" customFormat="1" hidden="1" outlineLevel="2" x14ac:dyDescent="0.25">
      <c r="A81" s="26"/>
      <c r="B81" s="11" t="str">
        <f>CONCATENATE("          ", "6006", " - ", "TEMPORARY PART TIME")</f>
        <v xml:space="preserve">          6006 - TEMPORARY PART TIME</v>
      </c>
      <c r="C81" s="11"/>
      <c r="D81" s="6">
        <v>1155.1199999999999</v>
      </c>
      <c r="E81" s="2"/>
      <c r="F81" s="7">
        <f t="shared" si="26"/>
        <v>1.9050606513245218E-2</v>
      </c>
      <c r="G81" s="2"/>
      <c r="H81" s="6"/>
      <c r="I81" s="2"/>
      <c r="J81" s="7">
        <f t="shared" si="27"/>
        <v>0</v>
      </c>
      <c r="K81" s="2"/>
      <c r="L81" s="6">
        <f t="shared" si="28"/>
        <v>1155.1199999999999</v>
      </c>
      <c r="M81" s="2"/>
      <c r="N81" s="7">
        <f t="shared" si="29"/>
        <v>0</v>
      </c>
      <c r="O81" s="11"/>
      <c r="P81" s="6">
        <v>5282.37</v>
      </c>
      <c r="Q81" s="2"/>
      <c r="R81" s="7">
        <f t="shared" si="30"/>
        <v>1.071638342678115E-3</v>
      </c>
      <c r="S81" s="2"/>
      <c r="T81" s="6">
        <v>3834.31</v>
      </c>
      <c r="U81" s="2"/>
      <c r="V81" s="7">
        <f t="shared" si="31"/>
        <v>6.3865366834478196E-4</v>
      </c>
      <c r="W81" s="2"/>
      <c r="X81" s="6">
        <f t="shared" si="32"/>
        <v>1448.06</v>
      </c>
      <c r="Y81" s="2"/>
      <c r="Z81" s="7">
        <f t="shared" si="33"/>
        <v>0.37765856177513035</v>
      </c>
    </row>
    <row r="82" spans="1:26" s="24" customFormat="1" hidden="1" outlineLevel="2" x14ac:dyDescent="0.25">
      <c r="A82" s="26"/>
      <c r="B82" s="11" t="str">
        <f>CONCATENATE("          ", "6007", " - ", "STUDENT HOURLY")</f>
        <v xml:space="preserve">          6007 - STUDENT HOURLY</v>
      </c>
      <c r="C82" s="11"/>
      <c r="D82" s="6">
        <v>1940.76</v>
      </c>
      <c r="E82" s="2"/>
      <c r="F82" s="7">
        <f t="shared" si="26"/>
        <v>3.2007631325443063E-2</v>
      </c>
      <c r="G82" s="2"/>
      <c r="H82" s="6">
        <v>4588.5200000000004</v>
      </c>
      <c r="I82" s="2"/>
      <c r="J82" s="7">
        <f t="shared" si="27"/>
        <v>4.4964722665835434E-2</v>
      </c>
      <c r="K82" s="2"/>
      <c r="L82" s="6">
        <f t="shared" si="28"/>
        <v>-2647.76</v>
      </c>
      <c r="M82" s="2"/>
      <c r="N82" s="7">
        <f t="shared" si="29"/>
        <v>-0.57704009135843359</v>
      </c>
      <c r="O82" s="11"/>
      <c r="P82" s="6">
        <v>59935.21</v>
      </c>
      <c r="Q82" s="2"/>
      <c r="R82" s="7">
        <f t="shared" si="30"/>
        <v>1.2159100765842753E-2</v>
      </c>
      <c r="S82" s="2"/>
      <c r="T82" s="6">
        <v>56329.8</v>
      </c>
      <c r="U82" s="2"/>
      <c r="V82" s="7">
        <f t="shared" si="31"/>
        <v>9.3824530116573511E-3</v>
      </c>
      <c r="W82" s="2"/>
      <c r="X82" s="6">
        <f t="shared" si="32"/>
        <v>3605.4099999999962</v>
      </c>
      <c r="Y82" s="2"/>
      <c r="Z82" s="7">
        <f t="shared" si="33"/>
        <v>6.4005375485089527E-2</v>
      </c>
    </row>
    <row r="83" spans="1:26" s="27" customFormat="1" outlineLevel="1" collapsed="1" x14ac:dyDescent="0.25">
      <c r="A83" s="25"/>
      <c r="B83" s="13" t="str">
        <f>CONCATENATE("     ","Advertising/Promo                                 ")</f>
        <v xml:space="preserve">     Advertising/Promo                                 </v>
      </c>
      <c r="C83" s="13"/>
      <c r="D83" s="1">
        <f>SUM(OSRRefD22_2x_0)</f>
        <v>0</v>
      </c>
      <c r="E83" s="1"/>
      <c r="F83" s="5">
        <f t="shared" ref="F83:F87" si="34">IF(D$12=0,0,D83/D$12)</f>
        <v>0</v>
      </c>
      <c r="G83" s="1"/>
      <c r="H83" s="1">
        <f>SUM(OSRRefH22_2x_0)</f>
        <v>592.54</v>
      </c>
      <c r="I83" s="1"/>
      <c r="J83" s="5">
        <f t="shared" ref="J83:J87" si="35">IF(H$12=0,0,H83/H$12)</f>
        <v>5.8065338646043005E-3</v>
      </c>
      <c r="K83" s="1"/>
      <c r="L83" s="1">
        <f t="shared" ref="L83:L87" si="36">+D83-H83</f>
        <v>-592.54</v>
      </c>
      <c r="M83" s="1"/>
      <c r="N83" s="5">
        <f t="shared" ref="N83:N87" si="37">IF(H83=0,0,L83/H83)</f>
        <v>-1</v>
      </c>
      <c r="O83" s="13"/>
      <c r="P83" s="1">
        <f>SUM(OSRRefP22_2x_0)</f>
        <v>3981.59</v>
      </c>
      <c r="Q83" s="1"/>
      <c r="R83" s="5">
        <f t="shared" ref="R83:R87" si="38">IF(P$12=0,0,P83/P$12)</f>
        <v>8.0774813366419923E-4</v>
      </c>
      <c r="S83" s="1"/>
      <c r="T83" s="1">
        <f>SUM(OSRRefT22_2x_0)</f>
        <v>6422.08</v>
      </c>
      <c r="U83" s="1"/>
      <c r="V83" s="5">
        <f t="shared" ref="V83:V87" si="39">IF(T$12=0,0,T83/T$12)</f>
        <v>1.0696800598813496E-3</v>
      </c>
      <c r="W83" s="1"/>
      <c r="X83" s="1">
        <f t="shared" ref="X83:X87" si="40">+P83-T83</f>
        <v>-2440.4899999999998</v>
      </c>
      <c r="Y83" s="1"/>
      <c r="Z83" s="5">
        <f t="shared" ref="Z83:Z87" si="41">IF(T83=0,0,X83/T83)</f>
        <v>-0.3800155089939708</v>
      </c>
    </row>
    <row r="84" spans="1:26" s="24" customFormat="1" hidden="1" outlineLevel="2" x14ac:dyDescent="0.25">
      <c r="A84" s="26"/>
      <c r="B84" s="11" t="str">
        <f>CONCATENATE("          ", "6362", " - ", "ADVERTISING EXPENSE")</f>
        <v xml:space="preserve">          6362 - ADVERTISING EXPENSE</v>
      </c>
      <c r="C84" s="11"/>
      <c r="D84" s="6"/>
      <c r="E84" s="2"/>
      <c r="F84" s="7">
        <f t="shared" si="34"/>
        <v>0</v>
      </c>
      <c r="G84" s="2"/>
      <c r="H84" s="6">
        <v>592.54</v>
      </c>
      <c r="I84" s="2"/>
      <c r="J84" s="7">
        <f t="shared" si="35"/>
        <v>5.8065338646043005E-3</v>
      </c>
      <c r="K84" s="2"/>
      <c r="L84" s="6">
        <f t="shared" si="36"/>
        <v>-592.54</v>
      </c>
      <c r="M84" s="2"/>
      <c r="N84" s="7">
        <f t="shared" si="37"/>
        <v>-1</v>
      </c>
      <c r="O84" s="11"/>
      <c r="P84" s="6">
        <v>3981.59</v>
      </c>
      <c r="Q84" s="2"/>
      <c r="R84" s="7">
        <f t="shared" si="38"/>
        <v>8.0774813366419923E-4</v>
      </c>
      <c r="S84" s="2"/>
      <c r="T84" s="6">
        <v>6422.08</v>
      </c>
      <c r="U84" s="2"/>
      <c r="V84" s="7">
        <f t="shared" si="39"/>
        <v>1.0696800598813496E-3</v>
      </c>
      <c r="W84" s="2"/>
      <c r="X84" s="6">
        <f t="shared" si="40"/>
        <v>-2440.4899999999998</v>
      </c>
      <c r="Y84" s="2"/>
      <c r="Z84" s="7">
        <f t="shared" si="41"/>
        <v>-0.3800155089939708</v>
      </c>
    </row>
    <row r="85" spans="1:26" s="27" customFormat="1" outlineLevel="1" collapsed="1" x14ac:dyDescent="0.25">
      <c r="A85" s="25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SUM(OSRRefD22_3x_0)</f>
        <v>286.66000000000003</v>
      </c>
      <c r="E85" s="1"/>
      <c r="F85" s="5">
        <f t="shared" si="34"/>
        <v>4.7276879138850297E-3</v>
      </c>
      <c r="G85" s="1"/>
      <c r="H85" s="1">
        <f>SUM(OSRRefH22_3x_0)</f>
        <v>3474.41</v>
      </c>
      <c r="I85" s="1"/>
      <c r="J85" s="5">
        <f t="shared" si="35"/>
        <v>3.4047118041853425E-2</v>
      </c>
      <c r="K85" s="1"/>
      <c r="L85" s="1">
        <f t="shared" si="36"/>
        <v>-3187.75</v>
      </c>
      <c r="M85" s="1"/>
      <c r="N85" s="5">
        <f t="shared" si="37"/>
        <v>-0.91749390544006038</v>
      </c>
      <c r="O85" s="13"/>
      <c r="P85" s="1">
        <f>SUM(OSRRefP22_3x_0)</f>
        <v>307.76</v>
      </c>
      <c r="Q85" s="1"/>
      <c r="R85" s="5">
        <f t="shared" si="38"/>
        <v>6.2435500796539554E-5</v>
      </c>
      <c r="S85" s="1"/>
      <c r="T85" s="1">
        <f>SUM(OSRRefT22_3x_0)</f>
        <v>32969.780000000006</v>
      </c>
      <c r="U85" s="1"/>
      <c r="V85" s="5">
        <f t="shared" si="39"/>
        <v>5.4915410964477126E-3</v>
      </c>
      <c r="W85" s="1"/>
      <c r="X85" s="1">
        <f t="shared" si="40"/>
        <v>-32662.020000000008</v>
      </c>
      <c r="Y85" s="1"/>
      <c r="Z85" s="5">
        <f t="shared" si="41"/>
        <v>-0.99066539115517305</v>
      </c>
    </row>
    <row r="86" spans="1:26" s="24" customFormat="1" hidden="1" outlineLevel="2" x14ac:dyDescent="0.25">
      <c r="A86" s="26"/>
      <c r="B86" s="11" t="str">
        <f>CONCATENATE("          ", "6382", " - ", "DISCOUNTS/MARK DOWNS")</f>
        <v xml:space="preserve">          6382 - DISCOUNTS/MARK DOWNS</v>
      </c>
      <c r="C86" s="11"/>
      <c r="D86" s="6">
        <v>286.66000000000003</v>
      </c>
      <c r="E86" s="2"/>
      <c r="F86" s="7">
        <f t="shared" si="34"/>
        <v>4.7276879138850297E-3</v>
      </c>
      <c r="G86" s="2"/>
      <c r="H86" s="6">
        <v>3470.35</v>
      </c>
      <c r="I86" s="2"/>
      <c r="J86" s="7">
        <f t="shared" si="35"/>
        <v>3.4007332495746334E-2</v>
      </c>
      <c r="K86" s="2"/>
      <c r="L86" s="6">
        <f t="shared" si="36"/>
        <v>-3183.69</v>
      </c>
      <c r="M86" s="2"/>
      <c r="N86" s="7">
        <f t="shared" si="37"/>
        <v>-0.91739738066765608</v>
      </c>
      <c r="O86" s="11"/>
      <c r="P86" s="6">
        <v>760.03</v>
      </c>
      <c r="Q86" s="2"/>
      <c r="R86" s="7">
        <f t="shared" si="38"/>
        <v>1.5418785310109814E-4</v>
      </c>
      <c r="S86" s="2"/>
      <c r="T86" s="6">
        <v>33180.140000000007</v>
      </c>
      <c r="U86" s="2"/>
      <c r="V86" s="7">
        <f t="shared" si="39"/>
        <v>5.526579261247379E-3</v>
      </c>
      <c r="W86" s="2"/>
      <c r="X86" s="6">
        <f t="shared" si="40"/>
        <v>-32420.110000000008</v>
      </c>
      <c r="Y86" s="2"/>
      <c r="Z86" s="7">
        <f t="shared" si="41"/>
        <v>-0.977093827813867</v>
      </c>
    </row>
    <row r="87" spans="1:26" s="24" customFormat="1" hidden="1" outlineLevel="2" x14ac:dyDescent="0.25">
      <c r="A87" s="26"/>
      <c r="B87" s="11" t="str">
        <f>CONCATENATE("          ", "9175", " - ", "EARNED DISCOUNTS")</f>
        <v xml:space="preserve">          9175 - EARNED DISCOUNTS</v>
      </c>
      <c r="C87" s="11"/>
      <c r="D87" s="6"/>
      <c r="E87" s="2"/>
      <c r="F87" s="7">
        <f t="shared" si="34"/>
        <v>0</v>
      </c>
      <c r="G87" s="2"/>
      <c r="H87" s="6">
        <v>4.0599999999999996</v>
      </c>
      <c r="I87" s="2"/>
      <c r="J87" s="7">
        <f t="shared" si="35"/>
        <v>3.9785546107087217E-5</v>
      </c>
      <c r="K87" s="2"/>
      <c r="L87" s="6">
        <f t="shared" si="36"/>
        <v>-4.0599999999999996</v>
      </c>
      <c r="M87" s="2"/>
      <c r="N87" s="7">
        <f t="shared" si="37"/>
        <v>-1</v>
      </c>
      <c r="O87" s="11"/>
      <c r="P87" s="6">
        <v>-452.27</v>
      </c>
      <c r="Q87" s="2"/>
      <c r="R87" s="7">
        <f t="shared" si="38"/>
        <v>-9.1752352304558572E-5</v>
      </c>
      <c r="S87" s="2"/>
      <c r="T87" s="6">
        <v>-210.36</v>
      </c>
      <c r="U87" s="2"/>
      <c r="V87" s="7">
        <f t="shared" si="39"/>
        <v>-3.5038164799666263E-5</v>
      </c>
      <c r="W87" s="2"/>
      <c r="X87" s="6">
        <f t="shared" si="40"/>
        <v>-241.90999999999997</v>
      </c>
      <c r="Y87" s="2"/>
      <c r="Z87" s="7">
        <f t="shared" si="41"/>
        <v>1.1499809849781324</v>
      </c>
    </row>
    <row r="88" spans="1:26" s="27" customFormat="1" outlineLevel="1" collapsed="1" x14ac:dyDescent="0.25">
      <c r="A88" s="25"/>
      <c r="B88" s="13" t="str">
        <f>CONCATENATE("     ","Employees' Appreciation                           ")</f>
        <v xml:space="preserve">     Employees' Appreciation                           </v>
      </c>
      <c r="C88" s="13"/>
      <c r="D88" s="1">
        <f>SUM(OSRRefD22_4x_0)</f>
        <v>0</v>
      </c>
      <c r="E88" s="1"/>
      <c r="F88" s="5">
        <f t="shared" ref="F88:F94" si="42">IF(D$12=0,0,D88/D$12)</f>
        <v>0</v>
      </c>
      <c r="G88" s="1"/>
      <c r="H88" s="1">
        <f>SUM(OSRRefH22_4x_0)</f>
        <v>0</v>
      </c>
      <c r="I88" s="1"/>
      <c r="J88" s="5">
        <f t="shared" ref="J88:J94" si="43">IF(H$12=0,0,H88/H$12)</f>
        <v>0</v>
      </c>
      <c r="K88" s="1"/>
      <c r="L88" s="1">
        <f t="shared" ref="L88:L94" si="44">+D88-H88</f>
        <v>0</v>
      </c>
      <c r="M88" s="1"/>
      <c r="N88" s="5">
        <f t="shared" ref="N88:N94" si="45">IF(H88=0,0,L88/H88)</f>
        <v>0</v>
      </c>
      <c r="O88" s="13"/>
      <c r="P88" s="1">
        <f>SUM(OSRRefP22_4x_0)</f>
        <v>120.18</v>
      </c>
      <c r="Q88" s="1"/>
      <c r="R88" s="5">
        <f t="shared" ref="R88:R94" si="46">IF(P$12=0,0,P88/P$12)</f>
        <v>2.4381006257239812E-5</v>
      </c>
      <c r="S88" s="1"/>
      <c r="T88" s="1">
        <f>SUM(OSRRefT22_4x_0)</f>
        <v>499.97</v>
      </c>
      <c r="U88" s="1"/>
      <c r="V88" s="5">
        <f t="shared" ref="V88:V94" si="47">IF(T$12=0,0,T88/T$12)</f>
        <v>8.3276436845831624E-5</v>
      </c>
      <c r="W88" s="1"/>
      <c r="X88" s="1">
        <f t="shared" ref="X88:X94" si="48">+P88-T88</f>
        <v>-379.79</v>
      </c>
      <c r="Y88" s="1"/>
      <c r="Z88" s="5">
        <f t="shared" ref="Z88:Z94" si="49">IF(T88=0,0,X88/T88)</f>
        <v>-0.7596255775346521</v>
      </c>
    </row>
    <row r="89" spans="1:26" s="24" customFormat="1" hidden="1" outlineLevel="2" x14ac:dyDescent="0.25">
      <c r="A89" s="26"/>
      <c r="B89" s="11" t="str">
        <f>CONCATENATE("          ", "6277", " - ", "EMPLOYEE APPRECIATION")</f>
        <v xml:space="preserve">          6277 - EMPLOYEE APPRECIATION</v>
      </c>
      <c r="C89" s="11"/>
      <c r="D89" s="6"/>
      <c r="E89" s="2"/>
      <c r="F89" s="7">
        <f t="shared" si="42"/>
        <v>0</v>
      </c>
      <c r="G89" s="2"/>
      <c r="H89" s="6"/>
      <c r="I89" s="2"/>
      <c r="J89" s="7">
        <f t="shared" si="43"/>
        <v>0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>
        <v>120.18</v>
      </c>
      <c r="Q89" s="2"/>
      <c r="R89" s="7">
        <f t="shared" si="46"/>
        <v>2.4381006257239812E-5</v>
      </c>
      <c r="S89" s="2"/>
      <c r="T89" s="6">
        <v>499.97</v>
      </c>
      <c r="U89" s="2"/>
      <c r="V89" s="7">
        <f t="shared" si="47"/>
        <v>8.3276436845831624E-5</v>
      </c>
      <c r="W89" s="2"/>
      <c r="X89" s="6">
        <f t="shared" si="48"/>
        <v>-379.79</v>
      </c>
      <c r="Y89" s="2"/>
      <c r="Z89" s="7">
        <f t="shared" si="49"/>
        <v>-0.7596255775346521</v>
      </c>
    </row>
    <row r="90" spans="1:26" s="27" customFormat="1" outlineLevel="1" collapsed="1" x14ac:dyDescent="0.25">
      <c r="A90" s="25"/>
      <c r="B90" s="13" t="str">
        <f>CONCATENATE("     ","Equipment Rental                                  ")</f>
        <v xml:space="preserve">     Equipment Rental                                  </v>
      </c>
      <c r="C90" s="13"/>
      <c r="D90" s="1">
        <f>SUM(OSRRefD22_5x_0)</f>
        <v>91.26</v>
      </c>
      <c r="E90" s="1"/>
      <c r="F90" s="5">
        <f t="shared" si="42"/>
        <v>1.5050889521424258E-3</v>
      </c>
      <c r="G90" s="1"/>
      <c r="H90" s="1">
        <f>SUM(OSRRefH22_5x_0)</f>
        <v>91.26</v>
      </c>
      <c r="I90" s="1"/>
      <c r="J90" s="5">
        <f t="shared" si="43"/>
        <v>8.9429284180610343E-4</v>
      </c>
      <c r="K90" s="1"/>
      <c r="L90" s="1">
        <f t="shared" si="44"/>
        <v>0</v>
      </c>
      <c r="M90" s="1"/>
      <c r="N90" s="5">
        <f t="shared" si="45"/>
        <v>0</v>
      </c>
      <c r="O90" s="13"/>
      <c r="P90" s="1">
        <f>SUM(OSRRefP22_5x_0)</f>
        <v>1003.86</v>
      </c>
      <c r="Q90" s="1"/>
      <c r="R90" s="5">
        <f t="shared" si="46"/>
        <v>2.0365382710428321E-4</v>
      </c>
      <c r="S90" s="1"/>
      <c r="T90" s="1">
        <f>SUM(OSRRefT22_5x_0)</f>
        <v>1003.86</v>
      </c>
      <c r="U90" s="1"/>
      <c r="V90" s="5">
        <f t="shared" si="47"/>
        <v>1.6720580013212098E-4</v>
      </c>
      <c r="W90" s="1"/>
      <c r="X90" s="1">
        <f t="shared" si="48"/>
        <v>0</v>
      </c>
      <c r="Y90" s="1"/>
      <c r="Z90" s="5">
        <f t="shared" si="49"/>
        <v>0</v>
      </c>
    </row>
    <row r="91" spans="1:26" s="24" customFormat="1" hidden="1" outlineLevel="2" x14ac:dyDescent="0.25">
      <c r="A91" s="26"/>
      <c r="B91" s="11" t="str">
        <f>CONCATENATE("          ", "6351", " - ", "EQUIPMENT RENTAL")</f>
        <v xml:space="preserve">          6351 - EQUIPMENT RENTAL</v>
      </c>
      <c r="C91" s="11"/>
      <c r="D91" s="6">
        <v>91.26</v>
      </c>
      <c r="E91" s="2"/>
      <c r="F91" s="7">
        <f t="shared" si="42"/>
        <v>1.5050889521424258E-3</v>
      </c>
      <c r="G91" s="2"/>
      <c r="H91" s="6">
        <v>91.26</v>
      </c>
      <c r="I91" s="2"/>
      <c r="J91" s="7">
        <f t="shared" si="43"/>
        <v>8.9429284180610343E-4</v>
      </c>
      <c r="K91" s="2"/>
      <c r="L91" s="6">
        <f t="shared" si="44"/>
        <v>0</v>
      </c>
      <c r="M91" s="2"/>
      <c r="N91" s="7">
        <f t="shared" si="45"/>
        <v>0</v>
      </c>
      <c r="O91" s="11"/>
      <c r="P91" s="6">
        <v>1003.86</v>
      </c>
      <c r="Q91" s="2"/>
      <c r="R91" s="7">
        <f t="shared" si="46"/>
        <v>2.0365382710428321E-4</v>
      </c>
      <c r="S91" s="2"/>
      <c r="T91" s="6">
        <v>1003.86</v>
      </c>
      <c r="U91" s="2"/>
      <c r="V91" s="7">
        <f t="shared" si="47"/>
        <v>1.6720580013212098E-4</v>
      </c>
      <c r="W91" s="2"/>
      <c r="X91" s="6">
        <f t="shared" si="48"/>
        <v>0</v>
      </c>
      <c r="Y91" s="2"/>
      <c r="Z91" s="7">
        <f t="shared" si="49"/>
        <v>0</v>
      </c>
    </row>
    <row r="92" spans="1:26" s="27" customFormat="1" outlineLevel="1" collapsed="1" x14ac:dyDescent="0.25">
      <c r="A92" s="25"/>
      <c r="B92" s="13" t="str">
        <f>CONCATENATE("     ","Freight out/Postage                               ")</f>
        <v xml:space="preserve">     Freight out/Postage                               </v>
      </c>
      <c r="C92" s="13"/>
      <c r="D92" s="1">
        <f>SUM(OSRRefD22_6x_0)</f>
        <v>1082.96</v>
      </c>
      <c r="E92" s="1"/>
      <c r="F92" s="5">
        <f t="shared" si="42"/>
        <v>1.7860520837301792E-2</v>
      </c>
      <c r="G92" s="1"/>
      <c r="H92" s="1">
        <f>SUM(OSRRefH22_6x_0)</f>
        <v>53.11</v>
      </c>
      <c r="I92" s="1"/>
      <c r="J92" s="5">
        <f t="shared" si="43"/>
        <v>5.2044589993778382E-4</v>
      </c>
      <c r="K92" s="1"/>
      <c r="L92" s="1">
        <f t="shared" si="44"/>
        <v>1029.8500000000001</v>
      </c>
      <c r="M92" s="1"/>
      <c r="N92" s="5">
        <f t="shared" si="45"/>
        <v>19.390886838636796</v>
      </c>
      <c r="O92" s="13"/>
      <c r="P92" s="1">
        <f>SUM(OSRRefP22_6x_0)</f>
        <v>23849.200000000001</v>
      </c>
      <c r="Q92" s="1"/>
      <c r="R92" s="5">
        <f t="shared" si="46"/>
        <v>4.8383049960905623E-3</v>
      </c>
      <c r="S92" s="1"/>
      <c r="T92" s="1">
        <f>SUM(OSRRefT22_6x_0)</f>
        <v>28459.010000000002</v>
      </c>
      <c r="U92" s="1"/>
      <c r="V92" s="5">
        <f t="shared" si="47"/>
        <v>4.7402143107784277E-3</v>
      </c>
      <c r="W92" s="1"/>
      <c r="X92" s="1">
        <f t="shared" si="48"/>
        <v>-4609.8100000000013</v>
      </c>
      <c r="Y92" s="1"/>
      <c r="Z92" s="5">
        <f t="shared" si="49"/>
        <v>-0.16198068731132956</v>
      </c>
    </row>
    <row r="93" spans="1:26" s="24" customFormat="1" hidden="1" outlineLevel="2" x14ac:dyDescent="0.25">
      <c r="A93" s="26"/>
      <c r="B93" s="11" t="str">
        <f>CONCATENATE("          ", "6305", " - ", "FREIGHT OUT")</f>
        <v xml:space="preserve">          6305 - FREIGHT OUT</v>
      </c>
      <c r="C93" s="11"/>
      <c r="D93" s="6">
        <v>1082.96</v>
      </c>
      <c r="E93" s="2"/>
      <c r="F93" s="7">
        <f t="shared" si="42"/>
        <v>1.7860520837301792E-2</v>
      </c>
      <c r="G93" s="2"/>
      <c r="H93" s="6">
        <v>53.11</v>
      </c>
      <c r="I93" s="2"/>
      <c r="J93" s="7">
        <f t="shared" si="43"/>
        <v>5.2044589993778382E-4</v>
      </c>
      <c r="K93" s="2"/>
      <c r="L93" s="6">
        <f t="shared" si="44"/>
        <v>1029.8500000000001</v>
      </c>
      <c r="M93" s="2"/>
      <c r="N93" s="7">
        <f t="shared" si="45"/>
        <v>19.390886838636796</v>
      </c>
      <c r="O93" s="11"/>
      <c r="P93" s="6">
        <v>23847.25</v>
      </c>
      <c r="Q93" s="2"/>
      <c r="R93" s="7">
        <f t="shared" si="46"/>
        <v>4.8379093981358139E-3</v>
      </c>
      <c r="S93" s="2"/>
      <c r="T93" s="6">
        <v>28454.22</v>
      </c>
      <c r="U93" s="2"/>
      <c r="V93" s="7">
        <f t="shared" si="47"/>
        <v>4.7394164746432767E-3</v>
      </c>
      <c r="W93" s="2"/>
      <c r="X93" s="6">
        <f t="shared" si="48"/>
        <v>-4606.9700000000012</v>
      </c>
      <c r="Y93" s="2"/>
      <c r="Z93" s="7">
        <f t="shared" si="49"/>
        <v>-0.16190814578645982</v>
      </c>
    </row>
    <row r="94" spans="1:26" s="24" customFormat="1" hidden="1" outlineLevel="2" x14ac:dyDescent="0.25">
      <c r="A94" s="26"/>
      <c r="B94" s="11" t="str">
        <f>CONCATENATE("          ", "6307", " - ", "POSTAGE")</f>
        <v xml:space="preserve">          6307 - POSTAGE</v>
      </c>
      <c r="C94" s="11"/>
      <c r="D94" s="6"/>
      <c r="E94" s="2"/>
      <c r="F94" s="7">
        <f t="shared" si="42"/>
        <v>0</v>
      </c>
      <c r="G94" s="2"/>
      <c r="H94" s="6"/>
      <c r="I94" s="2"/>
      <c r="J94" s="7">
        <f t="shared" si="43"/>
        <v>0</v>
      </c>
      <c r="K94" s="2"/>
      <c r="L94" s="6">
        <f t="shared" si="44"/>
        <v>0</v>
      </c>
      <c r="M94" s="2"/>
      <c r="N94" s="7">
        <f t="shared" si="45"/>
        <v>0</v>
      </c>
      <c r="O94" s="11"/>
      <c r="P94" s="6">
        <v>1.95</v>
      </c>
      <c r="Q94" s="2"/>
      <c r="R94" s="7">
        <f t="shared" si="46"/>
        <v>3.9559795474802492E-7</v>
      </c>
      <c r="S94" s="2"/>
      <c r="T94" s="6">
        <v>4.79</v>
      </c>
      <c r="U94" s="2"/>
      <c r="V94" s="7">
        <f t="shared" si="47"/>
        <v>7.9783613515117602E-7</v>
      </c>
      <c r="W94" s="2"/>
      <c r="X94" s="6">
        <f t="shared" si="48"/>
        <v>-2.84</v>
      </c>
      <c r="Y94" s="2"/>
      <c r="Z94" s="7">
        <f t="shared" si="49"/>
        <v>-0.59290187891440493</v>
      </c>
    </row>
    <row r="95" spans="1:26" s="27" customFormat="1" outlineLevel="1" collapsed="1" x14ac:dyDescent="0.25">
      <c r="A95" s="25"/>
      <c r="B95" s="13" t="str">
        <f>CONCATENATE("     ","General                                           ")</f>
        <v xml:space="preserve">     General                                           </v>
      </c>
      <c r="C95" s="13"/>
      <c r="D95" s="1">
        <f>SUM(OSRRefD22_7x_0)</f>
        <v>0</v>
      </c>
      <c r="E95" s="1"/>
      <c r="F95" s="5">
        <f t="shared" ref="F95:F102" si="50">IF(D$12=0,0,D95/D$12)</f>
        <v>0</v>
      </c>
      <c r="G95" s="1"/>
      <c r="H95" s="1">
        <f>SUM(OSRRefH22_7x_0)</f>
        <v>0</v>
      </c>
      <c r="I95" s="1"/>
      <c r="J95" s="5">
        <f t="shared" ref="J95:J102" si="51">IF(H$12=0,0,H95/H$12)</f>
        <v>0</v>
      </c>
      <c r="K95" s="1"/>
      <c r="L95" s="1">
        <f t="shared" ref="L95:L102" si="52">+D95-H95</f>
        <v>0</v>
      </c>
      <c r="M95" s="1"/>
      <c r="N95" s="5">
        <f t="shared" ref="N95:N102" si="53">IF(H95=0,0,L95/H95)</f>
        <v>0</v>
      </c>
      <c r="O95" s="13"/>
      <c r="P95" s="1">
        <f>SUM(OSRRefP22_7x_0)</f>
        <v>7593.03</v>
      </c>
      <c r="Q95" s="1"/>
      <c r="R95" s="5">
        <f t="shared" ref="R95:R102" si="54">IF(P$12=0,0,P95/P$12)</f>
        <v>1.5404036606873823E-3</v>
      </c>
      <c r="S95" s="1"/>
      <c r="T95" s="1">
        <f>SUM(OSRRefT22_7x_0)</f>
        <v>21707.11</v>
      </c>
      <c r="U95" s="1"/>
      <c r="V95" s="5">
        <f t="shared" ref="V95:V102" si="55">IF(T$12=0,0,T95/T$12)</f>
        <v>3.615598485950197E-3</v>
      </c>
      <c r="W95" s="1"/>
      <c r="X95" s="1">
        <f t="shared" ref="X95:X102" si="56">+P95-T95</f>
        <v>-14114.080000000002</v>
      </c>
      <c r="Y95" s="1"/>
      <c r="Z95" s="5">
        <f t="shared" ref="Z95:Z102" si="57">IF(T95=0,0,X95/T95)</f>
        <v>-0.65020539353234963</v>
      </c>
    </row>
    <row r="96" spans="1:26" s="24" customFormat="1" hidden="1" outlineLevel="2" x14ac:dyDescent="0.25">
      <c r="A96" s="26"/>
      <c r="B96" s="11" t="str">
        <f>CONCATENATE("          ", "6279", " - ", "GENERAL EXPENSE")</f>
        <v xml:space="preserve">          6279 - GENERAL EXPENSE</v>
      </c>
      <c r="C96" s="11"/>
      <c r="D96" s="6"/>
      <c r="E96" s="2"/>
      <c r="F96" s="7">
        <f t="shared" si="50"/>
        <v>0</v>
      </c>
      <c r="G96" s="2"/>
      <c r="H96" s="6"/>
      <c r="I96" s="2"/>
      <c r="J96" s="7">
        <f t="shared" si="51"/>
        <v>0</v>
      </c>
      <c r="K96" s="2"/>
      <c r="L96" s="6">
        <f t="shared" si="52"/>
        <v>0</v>
      </c>
      <c r="M96" s="2"/>
      <c r="N96" s="7">
        <f t="shared" si="53"/>
        <v>0</v>
      </c>
      <c r="O96" s="11"/>
      <c r="P96" s="6">
        <v>7593.03</v>
      </c>
      <c r="Q96" s="2"/>
      <c r="R96" s="7">
        <f t="shared" si="54"/>
        <v>1.5404036606873823E-3</v>
      </c>
      <c r="S96" s="2"/>
      <c r="T96" s="6">
        <v>21707.11</v>
      </c>
      <c r="U96" s="2"/>
      <c r="V96" s="7">
        <f t="shared" si="55"/>
        <v>3.615598485950197E-3</v>
      </c>
      <c r="W96" s="2"/>
      <c r="X96" s="6">
        <f t="shared" si="56"/>
        <v>-14114.080000000002</v>
      </c>
      <c r="Y96" s="2"/>
      <c r="Z96" s="7">
        <f t="shared" si="57"/>
        <v>-0.65020539353234963</v>
      </c>
    </row>
    <row r="97" spans="1:26" s="27" customFormat="1" outlineLevel="1" collapsed="1" x14ac:dyDescent="0.25">
      <c r="A97" s="25"/>
      <c r="B97" s="13" t="str">
        <f>CONCATENATE("     ","Inventory Adjustment                              ")</f>
        <v xml:space="preserve">     Inventory Adjustment                              </v>
      </c>
      <c r="C97" s="13"/>
      <c r="D97" s="1">
        <f>SUM(OSRRefD22_8x_0)</f>
        <v>1000</v>
      </c>
      <c r="E97" s="1"/>
      <c r="F97" s="5">
        <f t="shared" si="50"/>
        <v>1.6492318125601861E-2</v>
      </c>
      <c r="G97" s="1"/>
      <c r="H97" s="1">
        <f>SUM(OSRRefH22_8x_0)</f>
        <v>6950</v>
      </c>
      <c r="I97" s="1"/>
      <c r="J97" s="5">
        <f t="shared" si="51"/>
        <v>6.810579937050644E-2</v>
      </c>
      <c r="K97" s="1"/>
      <c r="L97" s="1">
        <f t="shared" si="52"/>
        <v>-5950</v>
      </c>
      <c r="M97" s="1"/>
      <c r="N97" s="5">
        <f t="shared" si="53"/>
        <v>-0.85611510791366907</v>
      </c>
      <c r="O97" s="13"/>
      <c r="P97" s="1">
        <f>SUM(OSRRefP22_8x_0)</f>
        <v>16800</v>
      </c>
      <c r="Q97" s="1"/>
      <c r="R97" s="5">
        <f t="shared" si="54"/>
        <v>3.4082285332137532E-3</v>
      </c>
      <c r="S97" s="1"/>
      <c r="T97" s="1">
        <f>SUM(OSRRefT22_8x_0)</f>
        <v>76450</v>
      </c>
      <c r="U97" s="1"/>
      <c r="V97" s="5">
        <f t="shared" si="55"/>
        <v>1.273373121760071E-2</v>
      </c>
      <c r="W97" s="1"/>
      <c r="X97" s="1">
        <f t="shared" si="56"/>
        <v>-59650</v>
      </c>
      <c r="Y97" s="1"/>
      <c r="Z97" s="5">
        <f t="shared" si="57"/>
        <v>-0.78024852844996728</v>
      </c>
    </row>
    <row r="98" spans="1:26" s="24" customFormat="1" hidden="1" outlineLevel="2" x14ac:dyDescent="0.25">
      <c r="A98" s="26"/>
      <c r="B98" s="11" t="str">
        <f>CONCATENATE("          ", "6408", " - ", "INVENTORY ADJUSTMENT")</f>
        <v xml:space="preserve">          6408 - INVENTORY ADJUSTMENT</v>
      </c>
      <c r="C98" s="11"/>
      <c r="D98" s="6">
        <v>1000</v>
      </c>
      <c r="E98" s="2"/>
      <c r="F98" s="7">
        <f t="shared" si="50"/>
        <v>1.6492318125601861E-2</v>
      </c>
      <c r="G98" s="2"/>
      <c r="H98" s="6">
        <v>6950</v>
      </c>
      <c r="I98" s="2"/>
      <c r="J98" s="7">
        <f t="shared" si="51"/>
        <v>6.810579937050644E-2</v>
      </c>
      <c r="K98" s="2"/>
      <c r="L98" s="6">
        <f t="shared" si="52"/>
        <v>-5950</v>
      </c>
      <c r="M98" s="2"/>
      <c r="N98" s="7">
        <f t="shared" si="53"/>
        <v>-0.85611510791366907</v>
      </c>
      <c r="O98" s="11"/>
      <c r="P98" s="6">
        <v>16800</v>
      </c>
      <c r="Q98" s="2"/>
      <c r="R98" s="7">
        <f t="shared" si="54"/>
        <v>3.4082285332137532E-3</v>
      </c>
      <c r="S98" s="2"/>
      <c r="T98" s="6">
        <v>76450</v>
      </c>
      <c r="U98" s="2"/>
      <c r="V98" s="7">
        <f t="shared" si="55"/>
        <v>1.273373121760071E-2</v>
      </c>
      <c r="W98" s="2"/>
      <c r="X98" s="6">
        <f t="shared" si="56"/>
        <v>-59650</v>
      </c>
      <c r="Y98" s="2"/>
      <c r="Z98" s="7">
        <f t="shared" si="57"/>
        <v>-0.78024852844996728</v>
      </c>
    </row>
    <row r="99" spans="1:26" s="27" customFormat="1" outlineLevel="1" collapsed="1" x14ac:dyDescent="0.25">
      <c r="A99" s="25"/>
      <c r="B99" s="13" t="str">
        <f>CONCATENATE("     ","Repair and Maintenance                            ")</f>
        <v xml:space="preserve">     Repair and Maintenance                            </v>
      </c>
      <c r="C99" s="13"/>
      <c r="D99" s="1">
        <f>SUM(OSRRefD22_9x_0)</f>
        <v>45.72</v>
      </c>
      <c r="E99" s="1"/>
      <c r="F99" s="5">
        <f t="shared" si="50"/>
        <v>7.5402878470251706E-4</v>
      </c>
      <c r="G99" s="1"/>
      <c r="H99" s="1">
        <f>SUM(OSRRefH22_9x_0)</f>
        <v>13235.28</v>
      </c>
      <c r="I99" s="1"/>
      <c r="J99" s="5">
        <f t="shared" si="51"/>
        <v>0.12969774450251462</v>
      </c>
      <c r="K99" s="1"/>
      <c r="L99" s="1">
        <f t="shared" si="52"/>
        <v>-13189.560000000001</v>
      </c>
      <c r="M99" s="1"/>
      <c r="N99" s="5">
        <f t="shared" si="53"/>
        <v>-0.99654559631530282</v>
      </c>
      <c r="O99" s="13"/>
      <c r="P99" s="1">
        <f>SUM(OSRRefP22_9x_0)</f>
        <v>288.17</v>
      </c>
      <c r="Q99" s="1"/>
      <c r="R99" s="5">
        <f t="shared" si="54"/>
        <v>5.8461262881917096E-5</v>
      </c>
      <c r="S99" s="1"/>
      <c r="T99" s="1">
        <f>SUM(OSRRefT22_9x_0)</f>
        <v>8516.5400000000009</v>
      </c>
      <c r="U99" s="1"/>
      <c r="V99" s="5">
        <f t="shared" si="55"/>
        <v>1.418539323269394E-3</v>
      </c>
      <c r="W99" s="1"/>
      <c r="X99" s="1">
        <f t="shared" si="56"/>
        <v>-8228.3700000000008</v>
      </c>
      <c r="Y99" s="1"/>
      <c r="Z99" s="5">
        <f t="shared" si="57"/>
        <v>-0.96616348892860249</v>
      </c>
    </row>
    <row r="100" spans="1:26" s="24" customFormat="1" hidden="1" outlineLevel="2" x14ac:dyDescent="0.25">
      <c r="A100" s="26"/>
      <c r="B100" s="11" t="str">
        <f>CONCATENATE("          ", "6371", " - ", "COMPUTER SOFTWARE MAINTENANCE")</f>
        <v xml:space="preserve">          6371 - COMPUTER SOFTWARE MAINTENANCE</v>
      </c>
      <c r="C100" s="11"/>
      <c r="D100" s="6"/>
      <c r="E100" s="2"/>
      <c r="F100" s="7">
        <f t="shared" si="50"/>
        <v>0</v>
      </c>
      <c r="G100" s="2"/>
      <c r="H100" s="6">
        <v>11500</v>
      </c>
      <c r="I100" s="2"/>
      <c r="J100" s="7">
        <f t="shared" si="51"/>
        <v>0.11269304931810419</v>
      </c>
      <c r="K100" s="2"/>
      <c r="L100" s="6">
        <f t="shared" si="52"/>
        <v>-11500</v>
      </c>
      <c r="M100" s="2"/>
      <c r="N100" s="7">
        <f t="shared" si="53"/>
        <v>-1</v>
      </c>
      <c r="O100" s="11"/>
      <c r="P100" s="6"/>
      <c r="Q100" s="2"/>
      <c r="R100" s="7">
        <f t="shared" si="54"/>
        <v>0</v>
      </c>
      <c r="S100" s="2"/>
      <c r="T100" s="6">
        <v>5950</v>
      </c>
      <c r="U100" s="2"/>
      <c r="V100" s="7">
        <f t="shared" si="55"/>
        <v>9.9104906140908087E-4</v>
      </c>
      <c r="W100" s="2"/>
      <c r="X100" s="6">
        <f t="shared" si="56"/>
        <v>-5950</v>
      </c>
      <c r="Y100" s="2"/>
      <c r="Z100" s="7">
        <f t="shared" si="57"/>
        <v>-1</v>
      </c>
    </row>
    <row r="101" spans="1:26" s="24" customFormat="1" hidden="1" outlineLevel="2" x14ac:dyDescent="0.25">
      <c r="A101" s="26"/>
      <c r="B101" s="11" t="str">
        <f>CONCATENATE("          ", "6373", " - ", "MAINTENANCE CONTRACTS")</f>
        <v xml:space="preserve">          6373 - MAINTENANCE CONTRACTS</v>
      </c>
      <c r="C101" s="11"/>
      <c r="D101" s="6">
        <v>45.72</v>
      </c>
      <c r="E101" s="2"/>
      <c r="F101" s="7">
        <f t="shared" si="50"/>
        <v>7.5402878470251706E-4</v>
      </c>
      <c r="G101" s="2"/>
      <c r="H101" s="6">
        <v>1735.28</v>
      </c>
      <c r="I101" s="2"/>
      <c r="J101" s="7">
        <f t="shared" si="51"/>
        <v>1.7004695184410421E-2</v>
      </c>
      <c r="K101" s="2"/>
      <c r="L101" s="6">
        <f t="shared" si="52"/>
        <v>-1689.56</v>
      </c>
      <c r="M101" s="2"/>
      <c r="N101" s="7">
        <f t="shared" si="53"/>
        <v>-0.97365266700474851</v>
      </c>
      <c r="O101" s="11"/>
      <c r="P101" s="6">
        <v>288.17</v>
      </c>
      <c r="Q101" s="2"/>
      <c r="R101" s="7">
        <f t="shared" si="54"/>
        <v>5.8461262881917096E-5</v>
      </c>
      <c r="S101" s="2"/>
      <c r="T101" s="6">
        <v>2020.54</v>
      </c>
      <c r="U101" s="2"/>
      <c r="V101" s="7">
        <f t="shared" si="55"/>
        <v>3.3654693622512673E-4</v>
      </c>
      <c r="W101" s="2"/>
      <c r="X101" s="6">
        <f t="shared" si="56"/>
        <v>-1732.37</v>
      </c>
      <c r="Y101" s="2"/>
      <c r="Z101" s="7">
        <f t="shared" si="57"/>
        <v>-0.85737971037445426</v>
      </c>
    </row>
    <row r="102" spans="1:26" s="24" customFormat="1" hidden="1" outlineLevel="2" x14ac:dyDescent="0.25">
      <c r="A102" s="26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50"/>
        <v>0</v>
      </c>
      <c r="G102" s="2"/>
      <c r="H102" s="6"/>
      <c r="I102" s="2"/>
      <c r="J102" s="7">
        <f t="shared" si="51"/>
        <v>0</v>
      </c>
      <c r="K102" s="2"/>
      <c r="L102" s="6">
        <f t="shared" si="52"/>
        <v>0</v>
      </c>
      <c r="M102" s="2"/>
      <c r="N102" s="7">
        <f t="shared" si="53"/>
        <v>0</v>
      </c>
      <c r="O102" s="11"/>
      <c r="P102" s="6"/>
      <c r="Q102" s="2"/>
      <c r="R102" s="7">
        <f t="shared" si="54"/>
        <v>0</v>
      </c>
      <c r="S102" s="2"/>
      <c r="T102" s="6">
        <v>546</v>
      </c>
      <c r="U102" s="2"/>
      <c r="V102" s="7">
        <f t="shared" si="55"/>
        <v>9.0943325635186242E-5</v>
      </c>
      <c r="W102" s="2"/>
      <c r="X102" s="6">
        <f t="shared" si="56"/>
        <v>-546</v>
      </c>
      <c r="Y102" s="2"/>
      <c r="Z102" s="7">
        <f t="shared" si="57"/>
        <v>-1</v>
      </c>
    </row>
    <row r="103" spans="1:26" s="27" customFormat="1" outlineLevel="1" collapsed="1" x14ac:dyDescent="0.25">
      <c r="A103" s="25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SUM(OSRRefD22_10x_0)</f>
        <v>260</v>
      </c>
      <c r="E103" s="1"/>
      <c r="F103" s="5">
        <f t="shared" ref="F103:F105" si="58">IF(D$12=0,0,D103/D$12)</f>
        <v>4.2880027126564833E-3</v>
      </c>
      <c r="G103" s="1"/>
      <c r="H103" s="1">
        <f>SUM(OSRRefH22_10x_0)</f>
        <v>250</v>
      </c>
      <c r="I103" s="1"/>
      <c r="J103" s="5">
        <f t="shared" ref="J103:J105" si="59">IF(H$12=0,0,H103/H$12)</f>
        <v>2.4498488982196563E-3</v>
      </c>
      <c r="K103" s="1"/>
      <c r="L103" s="1">
        <f t="shared" ref="L103:L105" si="60">+D103-H103</f>
        <v>10</v>
      </c>
      <c r="M103" s="1"/>
      <c r="N103" s="5">
        <f t="shared" ref="N103:N105" si="61">IF(H103=0,0,L103/H103)</f>
        <v>0.04</v>
      </c>
      <c r="O103" s="13"/>
      <c r="P103" s="1">
        <f>SUM(OSRRefP22_10x_0)</f>
        <v>5310.5599999999995</v>
      </c>
      <c r="Q103" s="1"/>
      <c r="R103" s="5">
        <f t="shared" ref="R103:R105" si="62">IF(P$12=0,0,P103/P$12)</f>
        <v>1.0773572690085493E-3</v>
      </c>
      <c r="S103" s="1"/>
      <c r="T103" s="1">
        <f>SUM(OSRRefT22_10x_0)</f>
        <v>6983.67</v>
      </c>
      <c r="U103" s="1"/>
      <c r="V103" s="5">
        <f t="shared" ref="V103:V105" si="63">IF(T$12=0,0,T103/T$12)</f>
        <v>1.163220100620295E-3</v>
      </c>
      <c r="W103" s="1"/>
      <c r="X103" s="1">
        <f t="shared" ref="X103:X105" si="64">+P103-T103</f>
        <v>-1673.1100000000006</v>
      </c>
      <c r="Y103" s="1"/>
      <c r="Z103" s="5">
        <f t="shared" ref="Z103:Z105" si="65">IF(T103=0,0,X103/T103)</f>
        <v>-0.23957460762034868</v>
      </c>
    </row>
    <row r="104" spans="1:26" s="24" customFormat="1" hidden="1" outlineLevel="2" x14ac:dyDescent="0.25">
      <c r="A104" s="26"/>
      <c r="B104" s="11" t="str">
        <f>CONCATENATE("          ", "6258", " - ", "MEMBERSHIP DUES")</f>
        <v xml:space="preserve">          6258 - MEMBERSHIP DUES</v>
      </c>
      <c r="C104" s="11"/>
      <c r="D104" s="6">
        <v>260</v>
      </c>
      <c r="E104" s="2"/>
      <c r="F104" s="7">
        <f t="shared" si="58"/>
        <v>4.2880027126564833E-3</v>
      </c>
      <c r="G104" s="2"/>
      <c r="H104" s="6">
        <v>250</v>
      </c>
      <c r="I104" s="2"/>
      <c r="J104" s="7">
        <f t="shared" si="59"/>
        <v>2.4498488982196563E-3</v>
      </c>
      <c r="K104" s="2"/>
      <c r="L104" s="6">
        <f t="shared" si="60"/>
        <v>10</v>
      </c>
      <c r="M104" s="2"/>
      <c r="N104" s="7">
        <f t="shared" si="61"/>
        <v>0.04</v>
      </c>
      <c r="O104" s="11"/>
      <c r="P104" s="6">
        <v>3458.48</v>
      </c>
      <c r="Q104" s="2"/>
      <c r="R104" s="7">
        <f t="shared" si="62"/>
        <v>7.0162441771125597E-4</v>
      </c>
      <c r="S104" s="2"/>
      <c r="T104" s="6">
        <v>5185.53</v>
      </c>
      <c r="U104" s="2"/>
      <c r="V104" s="7">
        <f t="shared" si="63"/>
        <v>8.6371674611909754E-4</v>
      </c>
      <c r="W104" s="2"/>
      <c r="X104" s="6">
        <f t="shared" si="64"/>
        <v>-1727.0499999999997</v>
      </c>
      <c r="Y104" s="2"/>
      <c r="Z104" s="7">
        <f t="shared" si="65"/>
        <v>-0.33305178062801677</v>
      </c>
    </row>
    <row r="105" spans="1:26" s="24" customFormat="1" hidden="1" outlineLevel="2" x14ac:dyDescent="0.25">
      <c r="A105" s="26"/>
      <c r="B105" s="11" t="str">
        <f>CONCATENATE("          ", "6275", " - ", "SUBSCRIPTIONS")</f>
        <v xml:space="preserve">          6275 - SUBSCRIPTIONS</v>
      </c>
      <c r="C105" s="11"/>
      <c r="D105" s="6"/>
      <c r="E105" s="2"/>
      <c r="F105" s="7">
        <f t="shared" si="58"/>
        <v>0</v>
      </c>
      <c r="G105" s="2"/>
      <c r="H105" s="6"/>
      <c r="I105" s="2"/>
      <c r="J105" s="7">
        <f t="shared" si="59"/>
        <v>0</v>
      </c>
      <c r="K105" s="2"/>
      <c r="L105" s="6">
        <f t="shared" si="60"/>
        <v>0</v>
      </c>
      <c r="M105" s="2"/>
      <c r="N105" s="7">
        <f t="shared" si="61"/>
        <v>0</v>
      </c>
      <c r="O105" s="11"/>
      <c r="P105" s="6">
        <v>1852.08</v>
      </c>
      <c r="Q105" s="2"/>
      <c r="R105" s="7">
        <f t="shared" si="62"/>
        <v>3.7573285129729328E-4</v>
      </c>
      <c r="S105" s="2"/>
      <c r="T105" s="6">
        <v>1798.14</v>
      </c>
      <c r="U105" s="2"/>
      <c r="V105" s="7">
        <f t="shared" si="63"/>
        <v>2.9950335450119739E-4</v>
      </c>
      <c r="W105" s="2"/>
      <c r="X105" s="6">
        <f t="shared" si="64"/>
        <v>53.939999999999827</v>
      </c>
      <c r="Y105" s="2"/>
      <c r="Z105" s="7">
        <f t="shared" si="65"/>
        <v>2.9997664253061398E-2</v>
      </c>
    </row>
    <row r="106" spans="1:26" s="27" customFormat="1" outlineLevel="1" collapsed="1" x14ac:dyDescent="0.25">
      <c r="A106" s="25"/>
      <c r="B106" s="13" t="str">
        <f>CONCATENATE("     ","Supplies                                          ")</f>
        <v xml:space="preserve">     Supplies                                          </v>
      </c>
      <c r="C106" s="13"/>
      <c r="D106" s="1">
        <f>SUM(OSRRefD22_11x_0)</f>
        <v>772.5</v>
      </c>
      <c r="E106" s="1"/>
      <c r="F106" s="5">
        <f t="shared" ref="F106:F110" si="66">IF(D$12=0,0,D106/D$12)</f>
        <v>1.2740315752027437E-2</v>
      </c>
      <c r="G106" s="1"/>
      <c r="H106" s="1">
        <f>SUM(OSRRefH22_11x_0)</f>
        <v>798.26</v>
      </c>
      <c r="I106" s="1"/>
      <c r="J106" s="5">
        <f t="shared" ref="J106:J110" si="67">IF(H$12=0,0,H106/H$12)</f>
        <v>7.8224655259712915E-3</v>
      </c>
      <c r="K106" s="1"/>
      <c r="L106" s="1">
        <f t="shared" ref="L106:L110" si="68">+D106-H106</f>
        <v>-25.759999999999991</v>
      </c>
      <c r="M106" s="1"/>
      <c r="N106" s="5">
        <f t="shared" ref="N106:N110" si="69">IF(H106=0,0,L106/H106)</f>
        <v>-3.2270187658156479E-2</v>
      </c>
      <c r="O106" s="13"/>
      <c r="P106" s="1">
        <f>SUM(OSRRefP22_11x_0)</f>
        <v>13520.43</v>
      </c>
      <c r="Q106" s="1"/>
      <c r="R106" s="5">
        <f t="shared" ref="R106:R110" si="70">IF(P$12=0,0,P106/P$12)</f>
        <v>2.7428997206737633E-3</v>
      </c>
      <c r="S106" s="1"/>
      <c r="T106" s="1">
        <f>SUM(OSRRefT22_11x_0)</f>
        <v>18031.46</v>
      </c>
      <c r="U106" s="1"/>
      <c r="V106" s="5">
        <f t="shared" ref="V106:V110" si="71">IF(T$12=0,0,T106/T$12)</f>
        <v>3.0033716821572074E-3</v>
      </c>
      <c r="W106" s="1"/>
      <c r="X106" s="1">
        <f t="shared" ref="X106:X110" si="72">+P106-T106</f>
        <v>-4511.0299999999988</v>
      </c>
      <c r="Y106" s="1"/>
      <c r="Z106" s="5">
        <f t="shared" ref="Z106:Z110" si="73">IF(T106=0,0,X106/T106)</f>
        <v>-0.25017552655192643</v>
      </c>
    </row>
    <row r="107" spans="1:26" s="24" customFormat="1" hidden="1" outlineLevel="2" x14ac:dyDescent="0.25">
      <c r="A107" s="26"/>
      <c r="B107" s="11" t="str">
        <f>CONCATENATE("          ", "6234", " - ", "EXPENDABLE SUPPLIES &amp; EQUIPMEN")</f>
        <v xml:space="preserve">          6234 - EXPENDABLE SUPPLIES &amp; EQUIPMEN</v>
      </c>
      <c r="C107" s="11"/>
      <c r="D107" s="6"/>
      <c r="E107" s="2"/>
      <c r="F107" s="7">
        <f t="shared" si="66"/>
        <v>0</v>
      </c>
      <c r="G107" s="2"/>
      <c r="H107" s="6"/>
      <c r="I107" s="2"/>
      <c r="J107" s="7">
        <f t="shared" si="67"/>
        <v>0</v>
      </c>
      <c r="K107" s="2"/>
      <c r="L107" s="6">
        <f t="shared" si="68"/>
        <v>0</v>
      </c>
      <c r="M107" s="2"/>
      <c r="N107" s="7">
        <f t="shared" si="69"/>
        <v>0</v>
      </c>
      <c r="O107" s="11"/>
      <c r="P107" s="6"/>
      <c r="Q107" s="2"/>
      <c r="R107" s="7">
        <f t="shared" si="70"/>
        <v>0</v>
      </c>
      <c r="S107" s="2"/>
      <c r="T107" s="6">
        <v>272.45999999999998</v>
      </c>
      <c r="U107" s="2"/>
      <c r="V107" s="7">
        <f t="shared" si="71"/>
        <v>4.5381718869162708E-5</v>
      </c>
      <c r="W107" s="2"/>
      <c r="X107" s="6">
        <f t="shared" si="72"/>
        <v>-272.45999999999998</v>
      </c>
      <c r="Y107" s="2"/>
      <c r="Z107" s="7">
        <f t="shared" si="73"/>
        <v>-1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250.63</v>
      </c>
      <c r="E108" s="2"/>
      <c r="F108" s="7">
        <f t="shared" si="66"/>
        <v>4.1334696918195945E-3</v>
      </c>
      <c r="G108" s="2"/>
      <c r="H108" s="6">
        <v>387.08</v>
      </c>
      <c r="I108" s="2"/>
      <c r="J108" s="7">
        <f t="shared" si="67"/>
        <v>3.7931500460914582E-3</v>
      </c>
      <c r="K108" s="2"/>
      <c r="L108" s="6">
        <f t="shared" si="68"/>
        <v>-136.44999999999999</v>
      </c>
      <c r="M108" s="2"/>
      <c r="N108" s="7">
        <f t="shared" si="69"/>
        <v>-0.35251110881471531</v>
      </c>
      <c r="O108" s="11"/>
      <c r="P108" s="6">
        <v>4278.49</v>
      </c>
      <c r="Q108" s="2"/>
      <c r="R108" s="7">
        <f t="shared" si="70"/>
        <v>8.6798045815891128E-4</v>
      </c>
      <c r="S108" s="2"/>
      <c r="T108" s="6">
        <v>8470.4</v>
      </c>
      <c r="U108" s="2"/>
      <c r="V108" s="7">
        <f t="shared" si="71"/>
        <v>1.410854112564618E-3</v>
      </c>
      <c r="W108" s="2"/>
      <c r="X108" s="6">
        <f t="shared" si="72"/>
        <v>-4191.91</v>
      </c>
      <c r="Y108" s="2"/>
      <c r="Z108" s="7">
        <f t="shared" si="73"/>
        <v>-0.49488926142803175</v>
      </c>
    </row>
    <row r="109" spans="1:26" s="24" customFormat="1" hidden="1" outlineLevel="2" x14ac:dyDescent="0.25">
      <c r="A109" s="26"/>
      <c r="B109" s="11" t="str">
        <f>CONCATENATE("          ", "6245", " - ", "PRINTING")</f>
        <v xml:space="preserve">          6245 - PRINTING</v>
      </c>
      <c r="C109" s="11"/>
      <c r="D109" s="6"/>
      <c r="E109" s="2"/>
      <c r="F109" s="7">
        <f t="shared" si="66"/>
        <v>0</v>
      </c>
      <c r="G109" s="2"/>
      <c r="H109" s="6">
        <v>45.86</v>
      </c>
      <c r="I109" s="2"/>
      <c r="J109" s="7">
        <f t="shared" si="67"/>
        <v>4.4940028188941375E-4</v>
      </c>
      <c r="K109" s="2"/>
      <c r="L109" s="6">
        <f t="shared" si="68"/>
        <v>-45.86</v>
      </c>
      <c r="M109" s="2"/>
      <c r="N109" s="7">
        <f t="shared" si="69"/>
        <v>-1</v>
      </c>
      <c r="O109" s="11"/>
      <c r="P109" s="6">
        <v>5198.58</v>
      </c>
      <c r="Q109" s="2"/>
      <c r="R109" s="7">
        <f t="shared" si="70"/>
        <v>1.0546398028687114E-3</v>
      </c>
      <c r="S109" s="2"/>
      <c r="T109" s="6">
        <v>611.15</v>
      </c>
      <c r="U109" s="2"/>
      <c r="V109" s="7">
        <f t="shared" si="71"/>
        <v>1.01794896450447E-4</v>
      </c>
      <c r="W109" s="2"/>
      <c r="X109" s="6">
        <f t="shared" si="72"/>
        <v>4587.43</v>
      </c>
      <c r="Y109" s="2"/>
      <c r="Z109" s="7">
        <f t="shared" si="73"/>
        <v>7.5062259674384366</v>
      </c>
    </row>
    <row r="110" spans="1:26" s="24" customFormat="1" hidden="1" outlineLevel="2" x14ac:dyDescent="0.25">
      <c r="A110" s="26"/>
      <c r="B110" s="11" t="str">
        <f>CONCATENATE("          ", "6247", " - ", "STORE SUPPLIES")</f>
        <v xml:space="preserve">          6247 - STORE SUPPLIES</v>
      </c>
      <c r="C110" s="11"/>
      <c r="D110" s="6">
        <v>521.87</v>
      </c>
      <c r="E110" s="2"/>
      <c r="F110" s="7">
        <f t="shared" si="66"/>
        <v>8.6068460602078435E-3</v>
      </c>
      <c r="G110" s="2"/>
      <c r="H110" s="6">
        <v>365.32</v>
      </c>
      <c r="I110" s="2"/>
      <c r="J110" s="7">
        <f t="shared" si="67"/>
        <v>3.5799151979904191E-3</v>
      </c>
      <c r="K110" s="2"/>
      <c r="L110" s="6">
        <f t="shared" si="68"/>
        <v>156.55000000000001</v>
      </c>
      <c r="M110" s="2"/>
      <c r="N110" s="7">
        <f t="shared" si="69"/>
        <v>0.42852841344574621</v>
      </c>
      <c r="O110" s="11"/>
      <c r="P110" s="6">
        <v>4043.36</v>
      </c>
      <c r="Q110" s="2"/>
      <c r="R110" s="7">
        <f t="shared" si="70"/>
        <v>8.2027945964614052E-4</v>
      </c>
      <c r="S110" s="2"/>
      <c r="T110" s="6">
        <v>8677.4500000000007</v>
      </c>
      <c r="U110" s="2"/>
      <c r="V110" s="7">
        <f t="shared" si="71"/>
        <v>1.4453409542729797E-3</v>
      </c>
      <c r="W110" s="2"/>
      <c r="X110" s="6">
        <f t="shared" si="72"/>
        <v>-4634.09</v>
      </c>
      <c r="Y110" s="2"/>
      <c r="Z110" s="7">
        <f t="shared" si="73"/>
        <v>-0.53403822551556046</v>
      </c>
    </row>
    <row r="111" spans="1:26" s="27" customFormat="1" outlineLevel="1" collapsed="1" x14ac:dyDescent="0.25">
      <c r="A111" s="25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SUM(OSRRefD22_12x_0)</f>
        <v>1113.05</v>
      </c>
      <c r="E111" s="1"/>
      <c r="F111" s="5">
        <f t="shared" ref="F111:F113" si="74">IF(D$12=0,0,D111/D$12)</f>
        <v>1.835677468970115E-2</v>
      </c>
      <c r="G111" s="1"/>
      <c r="H111" s="1">
        <f>SUM(OSRRefH22_12x_0)</f>
        <v>1058.8499999999999</v>
      </c>
      <c r="I111" s="1"/>
      <c r="J111" s="5">
        <f t="shared" ref="J111:J113" si="75">IF(H$12=0,0,H111/H$12)</f>
        <v>1.0376090023519531E-2</v>
      </c>
      <c r="K111" s="1"/>
      <c r="L111" s="1">
        <f t="shared" ref="L111:L113" si="76">+D111-H111</f>
        <v>54.200000000000045</v>
      </c>
      <c r="M111" s="1"/>
      <c r="N111" s="5">
        <f t="shared" ref="N111:N113" si="77">IF(H111=0,0,L111/H111)</f>
        <v>5.1187609198658973E-2</v>
      </c>
      <c r="O111" s="13"/>
      <c r="P111" s="1">
        <f>SUM(OSRRefP22_12x_0)</f>
        <v>8259.0400000000009</v>
      </c>
      <c r="Q111" s="1"/>
      <c r="R111" s="5">
        <f t="shared" ref="R111:R113" si="78">IF(P$12=0,0,P111/P$12)</f>
        <v>1.6755176062472452E-3</v>
      </c>
      <c r="S111" s="1"/>
      <c r="T111" s="1">
        <f>SUM(OSRRefT22_12x_0)</f>
        <v>8660.1</v>
      </c>
      <c r="U111" s="1"/>
      <c r="V111" s="5">
        <f t="shared" ref="V111:V113" si="79">IF(T$12=0,0,T111/T$12)</f>
        <v>1.4424510885224842E-3</v>
      </c>
      <c r="W111" s="1"/>
      <c r="X111" s="1">
        <f t="shared" ref="X111:X113" si="80">+P111-T111</f>
        <v>-401.05999999999949</v>
      </c>
      <c r="Y111" s="1"/>
      <c r="Z111" s="5">
        <f t="shared" ref="Z111:Z113" si="81">IF(T111=0,0,X111/T111)</f>
        <v>-4.6311243519127895E-2</v>
      </c>
    </row>
    <row r="112" spans="1:26" s="24" customFormat="1" hidden="1" outlineLevel="2" x14ac:dyDescent="0.25">
      <c r="A112" s="26"/>
      <c r="B112" s="11" t="str">
        <f>CONCATENATE("          ", "6303", " - ", "DATA PHONE LINES")</f>
        <v xml:space="preserve">          6303 - DATA PHONE LINES</v>
      </c>
      <c r="C112" s="11"/>
      <c r="D112" s="6">
        <v>590</v>
      </c>
      <c r="E112" s="2"/>
      <c r="F112" s="7">
        <f t="shared" si="74"/>
        <v>9.7304676941050976E-3</v>
      </c>
      <c r="G112" s="2"/>
      <c r="H112" s="6">
        <v>590</v>
      </c>
      <c r="I112" s="2"/>
      <c r="J112" s="7">
        <f t="shared" si="75"/>
        <v>5.7816433997983892E-3</v>
      </c>
      <c r="K112" s="2"/>
      <c r="L112" s="6">
        <f t="shared" si="76"/>
        <v>0</v>
      </c>
      <c r="M112" s="2"/>
      <c r="N112" s="7">
        <f t="shared" si="77"/>
        <v>0</v>
      </c>
      <c r="O112" s="11"/>
      <c r="P112" s="6">
        <v>2950</v>
      </c>
      <c r="Q112" s="2"/>
      <c r="R112" s="7">
        <f t="shared" si="78"/>
        <v>5.9846870077265302E-4</v>
      </c>
      <c r="S112" s="2"/>
      <c r="T112" s="6">
        <v>3245</v>
      </c>
      <c r="U112" s="2"/>
      <c r="V112" s="7">
        <f t="shared" si="79"/>
        <v>5.4049650491974242E-4</v>
      </c>
      <c r="W112" s="2"/>
      <c r="X112" s="6">
        <f t="shared" si="80"/>
        <v>-295</v>
      </c>
      <c r="Y112" s="2"/>
      <c r="Z112" s="7">
        <f t="shared" si="81"/>
        <v>-9.0909090909090912E-2</v>
      </c>
    </row>
    <row r="113" spans="1:26" s="24" customFormat="1" hidden="1" outlineLevel="2" x14ac:dyDescent="0.25">
      <c r="A113" s="26"/>
      <c r="B113" s="11" t="str">
        <f>CONCATENATE("          ", "6309", " - ", "TELEPHONE")</f>
        <v xml:space="preserve">          6309 - TELEPHONE</v>
      </c>
      <c r="C113" s="11"/>
      <c r="D113" s="6">
        <v>523.04999999999995</v>
      </c>
      <c r="E113" s="2"/>
      <c r="F113" s="7">
        <f t="shared" si="74"/>
        <v>8.626306995596052E-3</v>
      </c>
      <c r="G113" s="2"/>
      <c r="H113" s="6">
        <v>468.85</v>
      </c>
      <c r="I113" s="2"/>
      <c r="J113" s="7">
        <f t="shared" si="75"/>
        <v>4.5944466237211436E-3</v>
      </c>
      <c r="K113" s="2"/>
      <c r="L113" s="6">
        <f t="shared" si="76"/>
        <v>54.199999999999932</v>
      </c>
      <c r="M113" s="2"/>
      <c r="N113" s="7">
        <f t="shared" si="77"/>
        <v>0.11560200490561999</v>
      </c>
      <c r="O113" s="11"/>
      <c r="P113" s="6">
        <v>5309.04</v>
      </c>
      <c r="Q113" s="2"/>
      <c r="R113" s="7">
        <f t="shared" si="78"/>
        <v>1.0770489054745919E-3</v>
      </c>
      <c r="S113" s="2"/>
      <c r="T113" s="6">
        <v>5415.1</v>
      </c>
      <c r="U113" s="2"/>
      <c r="V113" s="7">
        <f t="shared" si="79"/>
        <v>9.0195458360274182E-4</v>
      </c>
      <c r="W113" s="2"/>
      <c r="X113" s="6">
        <f t="shared" si="80"/>
        <v>-106.0600000000004</v>
      </c>
      <c r="Y113" s="2"/>
      <c r="Z113" s="7">
        <f t="shared" si="81"/>
        <v>-1.958597255821691E-2</v>
      </c>
    </row>
    <row r="114" spans="1:26" s="27" customFormat="1" outlineLevel="1" collapsed="1" x14ac:dyDescent="0.25">
      <c r="A114" s="25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SUM(OSRRefD22_13x_0)</f>
        <v>0</v>
      </c>
      <c r="E114" s="1"/>
      <c r="F114" s="5">
        <f t="shared" ref="F114:F117" si="82">IF(D$12=0,0,D114/D$12)</f>
        <v>0</v>
      </c>
      <c r="G114" s="1"/>
      <c r="H114" s="1">
        <f>SUM(OSRRefH22_13x_0)</f>
        <v>39.299999999999997</v>
      </c>
      <c r="I114" s="1"/>
      <c r="J114" s="5">
        <f t="shared" ref="J114:J117" si="83">IF(H$12=0,0,H114/H$12)</f>
        <v>3.8511624680012994E-4</v>
      </c>
      <c r="K114" s="1"/>
      <c r="L114" s="1">
        <f t="shared" ref="L114:L117" si="84">+D114-H114</f>
        <v>-39.299999999999997</v>
      </c>
      <c r="M114" s="1"/>
      <c r="N114" s="5">
        <f t="shared" ref="N114:N117" si="85">IF(H114=0,0,L114/H114)</f>
        <v>-1</v>
      </c>
      <c r="O114" s="13"/>
      <c r="P114" s="1">
        <f>SUM(OSRRefP22_13x_0)</f>
        <v>4157.1499999999996</v>
      </c>
      <c r="Q114" s="1"/>
      <c r="R114" s="5">
        <f t="shared" ref="R114:R117" si="86">IF(P$12=0,0,P114/P$12)</f>
        <v>8.4336412183628291E-4</v>
      </c>
      <c r="S114" s="1"/>
      <c r="T114" s="1">
        <f>SUM(OSRRefT22_13x_0)</f>
        <v>3130.28</v>
      </c>
      <c r="U114" s="1"/>
      <c r="V114" s="5">
        <f t="shared" ref="V114:V117" si="87">IF(T$12=0,0,T114/T$12)</f>
        <v>5.213884127643055E-4</v>
      </c>
      <c r="W114" s="1"/>
      <c r="X114" s="1">
        <f t="shared" ref="X114:X117" si="88">+P114-T114</f>
        <v>1026.8699999999994</v>
      </c>
      <c r="Y114" s="1"/>
      <c r="Z114" s="5">
        <f t="shared" ref="Z114:Z117" si="89">IF(T114=0,0,X114/T114)</f>
        <v>0.32804413662675524</v>
      </c>
    </row>
    <row r="115" spans="1:26" s="24" customFormat="1" hidden="1" outlineLevel="2" x14ac:dyDescent="0.25">
      <c r="A115" s="26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82"/>
        <v>0</v>
      </c>
      <c r="G115" s="2"/>
      <c r="H115" s="6">
        <v>39.299999999999997</v>
      </c>
      <c r="I115" s="2"/>
      <c r="J115" s="7">
        <f t="shared" si="83"/>
        <v>3.8511624680012994E-4</v>
      </c>
      <c r="K115" s="2"/>
      <c r="L115" s="6">
        <f t="shared" si="84"/>
        <v>-39.299999999999997</v>
      </c>
      <c r="M115" s="2"/>
      <c r="N115" s="7">
        <f t="shared" si="85"/>
        <v>-1</v>
      </c>
      <c r="O115" s="11"/>
      <c r="P115" s="6">
        <v>4157.1499999999996</v>
      </c>
      <c r="Q115" s="2"/>
      <c r="R115" s="7">
        <f t="shared" si="86"/>
        <v>8.4336412183628291E-4</v>
      </c>
      <c r="S115" s="2"/>
      <c r="T115" s="6">
        <v>3130.28</v>
      </c>
      <c r="U115" s="2"/>
      <c r="V115" s="7">
        <f t="shared" si="87"/>
        <v>5.213884127643055E-4</v>
      </c>
      <c r="W115" s="2"/>
      <c r="X115" s="6">
        <f t="shared" si="88"/>
        <v>1026.8699999999994</v>
      </c>
      <c r="Y115" s="2"/>
      <c r="Z115" s="7">
        <f t="shared" si="89"/>
        <v>0.32804413662675524</v>
      </c>
    </row>
    <row r="116" spans="1:26" s="27" customFormat="1" outlineLevel="1" collapsed="1" x14ac:dyDescent="0.25">
      <c r="A116" s="25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SUM(OSRRefD22_14x_0)</f>
        <v>0</v>
      </c>
      <c r="E116" s="1"/>
      <c r="F116" s="5">
        <f t="shared" si="82"/>
        <v>0</v>
      </c>
      <c r="G116" s="1"/>
      <c r="H116" s="1">
        <f>SUM(OSRRefH22_14x_0)</f>
        <v>0</v>
      </c>
      <c r="I116" s="1"/>
      <c r="J116" s="5">
        <f t="shared" si="83"/>
        <v>0</v>
      </c>
      <c r="K116" s="1"/>
      <c r="L116" s="1">
        <f t="shared" si="84"/>
        <v>0</v>
      </c>
      <c r="M116" s="1"/>
      <c r="N116" s="5">
        <f t="shared" si="85"/>
        <v>0</v>
      </c>
      <c r="O116" s="13"/>
      <c r="P116" s="1">
        <f>SUM(OSRRefP22_14x_0)</f>
        <v>83.93</v>
      </c>
      <c r="Q116" s="1"/>
      <c r="R116" s="5">
        <f t="shared" si="86"/>
        <v>1.7026941713847042E-5</v>
      </c>
      <c r="S116" s="1"/>
      <c r="T116" s="1">
        <f>SUM(OSRRefT22_14x_0)</f>
        <v>68.27</v>
      </c>
      <c r="U116" s="1"/>
      <c r="V116" s="5">
        <f t="shared" si="87"/>
        <v>1.1371246961747554E-5</v>
      </c>
      <c r="W116" s="1"/>
      <c r="X116" s="1">
        <f t="shared" si="88"/>
        <v>15.660000000000011</v>
      </c>
      <c r="Y116" s="1"/>
      <c r="Z116" s="5">
        <f t="shared" si="89"/>
        <v>0.22938333089204646</v>
      </c>
    </row>
    <row r="117" spans="1:26" s="24" customFormat="1" hidden="1" outlineLevel="2" x14ac:dyDescent="0.25">
      <c r="A117" s="26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82"/>
        <v>0</v>
      </c>
      <c r="G117" s="2"/>
      <c r="H117" s="6"/>
      <c r="I117" s="2"/>
      <c r="J117" s="7">
        <f t="shared" si="83"/>
        <v>0</v>
      </c>
      <c r="K117" s="2"/>
      <c r="L117" s="6">
        <f t="shared" si="84"/>
        <v>0</v>
      </c>
      <c r="M117" s="2"/>
      <c r="N117" s="7">
        <f t="shared" si="85"/>
        <v>0</v>
      </c>
      <c r="O117" s="11"/>
      <c r="P117" s="6">
        <v>83.93</v>
      </c>
      <c r="Q117" s="2"/>
      <c r="R117" s="7">
        <f t="shared" si="86"/>
        <v>1.7026941713847042E-5</v>
      </c>
      <c r="S117" s="2"/>
      <c r="T117" s="6">
        <v>68.27</v>
      </c>
      <c r="U117" s="2"/>
      <c r="V117" s="7">
        <f t="shared" si="87"/>
        <v>1.1371246961747554E-5</v>
      </c>
      <c r="W117" s="2"/>
      <c r="X117" s="6">
        <f t="shared" si="88"/>
        <v>15.660000000000011</v>
      </c>
      <c r="Y117" s="2"/>
      <c r="Z117" s="7">
        <f t="shared" si="89"/>
        <v>0.22938333089204646</v>
      </c>
    </row>
    <row r="118" spans="1:26" s="58" customFormat="1" x14ac:dyDescent="0.25">
      <c r="A118" s="37"/>
      <c r="B118" s="37"/>
      <c r="C118" s="37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8" t="s">
        <v>0</v>
      </c>
      <c r="C119" s="10"/>
      <c r="D119" s="4">
        <f>SUM(OSRRefD25x_0)</f>
        <v>5867.1100000000006</v>
      </c>
      <c r="E119" s="4"/>
      <c r="F119" s="12">
        <f t="shared" ref="F119:F122" si="90">IF(D$12=0,0,D119/D$12)</f>
        <v>9.6762244597899935E-2</v>
      </c>
      <c r="G119" s="4"/>
      <c r="H119" s="4">
        <f>SUM(OSRRefH25x_0)</f>
        <v>7197.31</v>
      </c>
      <c r="I119" s="4"/>
      <c r="J119" s="12">
        <f t="shared" ref="J119:J122" si="91">IF(H$12=0,0,H119/H$12)</f>
        <v>7.0529287894581266E-2</v>
      </c>
      <c r="K119" s="4"/>
      <c r="L119" s="4">
        <f t="shared" ref="L119:L122" si="92">+D119-H119</f>
        <v>-1330.1999999999998</v>
      </c>
      <c r="M119" s="4"/>
      <c r="N119" s="12">
        <f t="shared" ref="N119:N122" si="93">IF(H119=0,0,L119/H119)</f>
        <v>-0.18481905045079339</v>
      </c>
      <c r="O119" s="10"/>
      <c r="P119" s="4">
        <f>SUM(OSRRefP25x_0)</f>
        <v>193909.89</v>
      </c>
      <c r="Q119" s="4"/>
      <c r="R119" s="12">
        <f t="shared" ref="R119:R122" si="94">IF(P$12=0,0,P119/P$12)</f>
        <v>3.9338644045853584E-2</v>
      </c>
      <c r="S119" s="4"/>
      <c r="T119" s="4">
        <f>SUM(OSRRefT25x_0)</f>
        <v>104645.31</v>
      </c>
      <c r="U119" s="4"/>
      <c r="V119" s="12">
        <f t="shared" ref="V119:V122" si="95">IF(T$12=0,0,T119/T$12)</f>
        <v>1.7430022900228957E-2</v>
      </c>
      <c r="W119" s="4"/>
      <c r="X119" s="4">
        <f t="shared" ref="X119:X122" si="96">+P119-T119</f>
        <v>89264.580000000016</v>
      </c>
      <c r="Y119" s="4"/>
      <c r="Z119" s="12">
        <f t="shared" ref="Z119:Z122" si="97">IF(T119=0,0,X119/T119)</f>
        <v>0.85302035991866254</v>
      </c>
    </row>
    <row r="120" spans="1:26" s="24" customFormat="1" hidden="1" outlineLevel="1" x14ac:dyDescent="0.25">
      <c r="A120" s="44"/>
      <c r="B120" s="11" t="str">
        <f>CONCATENATE("          ", "9150", " - ", "MISC. INCOME")</f>
        <v xml:space="preserve">          9150 - MISC. INCOME</v>
      </c>
      <c r="C120" s="11"/>
      <c r="D120" s="2">
        <f>--774.27</f>
        <v>774.27</v>
      </c>
      <c r="E120" s="2"/>
      <c r="F120" s="19">
        <f t="shared" si="90"/>
        <v>1.2769507155109753E-2</v>
      </c>
      <c r="G120" s="2"/>
      <c r="H120" s="2">
        <f>--6654.56</f>
        <v>6654.56</v>
      </c>
      <c r="I120" s="2"/>
      <c r="J120" s="19">
        <f t="shared" si="91"/>
        <v>6.5210665936546383E-2</v>
      </c>
      <c r="K120" s="2"/>
      <c r="L120" s="2">
        <f t="shared" si="92"/>
        <v>-5880.2900000000009</v>
      </c>
      <c r="M120" s="2"/>
      <c r="N120" s="19">
        <f t="shared" si="93"/>
        <v>-0.88364820514053533</v>
      </c>
      <c r="O120" s="11"/>
      <c r="P120" s="2">
        <f>--21290.7</f>
        <v>21290.7</v>
      </c>
      <c r="Q120" s="2"/>
      <c r="R120" s="19">
        <f t="shared" si="94"/>
        <v>4.3192601923865512E-3</v>
      </c>
      <c r="S120" s="2"/>
      <c r="T120" s="2">
        <f>--93405.67</f>
        <v>93405.67</v>
      </c>
      <c r="U120" s="2"/>
      <c r="V120" s="19">
        <f t="shared" si="95"/>
        <v>1.5557916232569132E-2</v>
      </c>
      <c r="W120" s="2"/>
      <c r="X120" s="2">
        <f t="shared" si="96"/>
        <v>-72114.97</v>
      </c>
      <c r="Y120" s="2"/>
      <c r="Z120" s="19">
        <f t="shared" si="97"/>
        <v>-0.77206201722015377</v>
      </c>
    </row>
    <row r="121" spans="1:26" s="24" customFormat="1" hidden="1" outlineLevel="1" x14ac:dyDescent="0.25">
      <c r="A121" s="44"/>
      <c r="B121" s="11" t="str">
        <f>CONCATENATE("          ", "9151", " - ", "MISC. INCOME")</f>
        <v xml:space="preserve">          9151 - MISC. INCOME</v>
      </c>
      <c r="C121" s="11"/>
      <c r="D121" s="2">
        <f>0</f>
        <v>0</v>
      </c>
      <c r="E121" s="2"/>
      <c r="F121" s="19">
        <f t="shared" si="90"/>
        <v>0</v>
      </c>
      <c r="G121" s="2"/>
      <c r="H121" s="2">
        <f>0</f>
        <v>0</v>
      </c>
      <c r="I121" s="2"/>
      <c r="J121" s="19">
        <f t="shared" si="91"/>
        <v>0</v>
      </c>
      <c r="K121" s="2"/>
      <c r="L121" s="2">
        <f t="shared" si="92"/>
        <v>0</v>
      </c>
      <c r="M121" s="2"/>
      <c r="N121" s="19">
        <f t="shared" si="93"/>
        <v>0</v>
      </c>
      <c r="O121" s="11"/>
      <c r="P121" s="2">
        <f>--162744.3</f>
        <v>162744.29999999999</v>
      </c>
      <c r="Q121" s="2"/>
      <c r="R121" s="19">
        <f t="shared" si="94"/>
        <v>3.3016057552255888E-2</v>
      </c>
      <c r="S121" s="2"/>
      <c r="T121" s="2">
        <f>0</f>
        <v>0</v>
      </c>
      <c r="U121" s="2"/>
      <c r="V121" s="19">
        <f t="shared" si="95"/>
        <v>0</v>
      </c>
      <c r="W121" s="2"/>
      <c r="X121" s="2">
        <f t="shared" si="96"/>
        <v>162744.29999999999</v>
      </c>
      <c r="Y121" s="2"/>
      <c r="Z121" s="19">
        <f t="shared" si="97"/>
        <v>0</v>
      </c>
    </row>
    <row r="122" spans="1:26" s="24" customFormat="1" hidden="1" outlineLevel="1" x14ac:dyDescent="0.25">
      <c r="A122" s="44"/>
      <c r="B122" s="11" t="str">
        <f>CONCATENATE("          ", "9152", " - ", "MISC. INCOME")</f>
        <v xml:space="preserve">          9152 - MISC. INCOME</v>
      </c>
      <c r="C122" s="11"/>
      <c r="D122" s="2">
        <f>--5092.84</f>
        <v>5092.84</v>
      </c>
      <c r="E122" s="2"/>
      <c r="F122" s="19">
        <f t="shared" si="90"/>
        <v>8.3992737442790177E-2</v>
      </c>
      <c r="G122" s="2"/>
      <c r="H122" s="2">
        <f>--542.75</f>
        <v>542.75</v>
      </c>
      <c r="I122" s="2"/>
      <c r="J122" s="19">
        <f t="shared" si="91"/>
        <v>5.3186219580348736E-3</v>
      </c>
      <c r="K122" s="2"/>
      <c r="L122" s="2">
        <f t="shared" si="92"/>
        <v>4550.09</v>
      </c>
      <c r="M122" s="2"/>
      <c r="N122" s="19">
        <f t="shared" si="93"/>
        <v>8.3833993551358823</v>
      </c>
      <c r="O122" s="11"/>
      <c r="P122" s="2">
        <f>--9874.89</f>
        <v>9874.89</v>
      </c>
      <c r="Q122" s="2"/>
      <c r="R122" s="19">
        <f t="shared" si="94"/>
        <v>2.0033263012111404E-3</v>
      </c>
      <c r="S122" s="2"/>
      <c r="T122" s="2">
        <f>--11239.64</f>
        <v>11239.64</v>
      </c>
      <c r="U122" s="2"/>
      <c r="V122" s="19">
        <f t="shared" si="95"/>
        <v>1.8721066676598253E-3</v>
      </c>
      <c r="W122" s="2"/>
      <c r="X122" s="2">
        <f t="shared" si="96"/>
        <v>-1364.75</v>
      </c>
      <c r="Y122" s="2"/>
      <c r="Z122" s="19">
        <f t="shared" si="97"/>
        <v>-0.12142292813648836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9" t="s">
        <v>3</v>
      </c>
      <c r="C124" s="29"/>
      <c r="D124" s="21">
        <f>+D64-D66+D119</f>
        <v>-23063.450000000004</v>
      </c>
      <c r="E124" s="14"/>
      <c r="F124" s="20">
        <f>IF(D$12=0,0,D124/D$12)</f>
        <v>-0.3803697544739123</v>
      </c>
      <c r="G124" s="14"/>
      <c r="H124" s="21">
        <f>+H64-H66+H119</f>
        <v>-15166.970000000048</v>
      </c>
      <c r="I124" s="14"/>
      <c r="J124" s="20">
        <f>IF(H$12=0,0,H124/H$12)</f>
        <v>-0.14862713897532279</v>
      </c>
      <c r="K124" s="16"/>
      <c r="L124" s="21">
        <f>+D124-H124</f>
        <v>-7896.4799999999559</v>
      </c>
      <c r="M124" s="16"/>
      <c r="N124" s="20">
        <f>IF(H124=0,0,L124/H124)</f>
        <v>0.52063662023462376</v>
      </c>
      <c r="O124" s="28"/>
      <c r="P124" s="21">
        <f>+P64-P66+P119</f>
        <v>1078550.4699999974</v>
      </c>
      <c r="Q124" s="14"/>
      <c r="R124" s="20">
        <f>IF(P$12=0,0,P124/P$12)</f>
        <v>0.21880633847411279</v>
      </c>
      <c r="S124" s="14"/>
      <c r="T124" s="21">
        <f>+T64-T66+T119</f>
        <v>1121413.4099999992</v>
      </c>
      <c r="U124" s="14"/>
      <c r="V124" s="20">
        <f>IF(T$12=0,0,T124/T$12)</f>
        <v>0.18678583318185812</v>
      </c>
      <c r="W124" s="16"/>
      <c r="X124" s="21">
        <f>+P124-T124</f>
        <v>-42862.940000001807</v>
      </c>
      <c r="Y124" s="16"/>
      <c r="Z124" s="20">
        <f>IF(T124=0,0,X124/T124)</f>
        <v>-3.8222246691344483E-2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1"/>
      <c r="B126" s="10" t="s">
        <v>13</v>
      </c>
      <c r="C126" s="10"/>
      <c r="D126" s="4">
        <v>30903.699999999997</v>
      </c>
      <c r="E126" s="4"/>
      <c r="F126" s="12">
        <f>IF(D$12=0,0,D126/D$12)</f>
        <v>0.50967365165816214</v>
      </c>
      <c r="G126" s="4"/>
      <c r="H126" s="4">
        <v>10945.02</v>
      </c>
      <c r="I126" s="4"/>
      <c r="J126" s="12">
        <f>IF(H$12=0,0,H126/H$12)</f>
        <v>0.10725458075196842</v>
      </c>
      <c r="K126" s="4"/>
      <c r="L126" s="4">
        <f>+D126-H126</f>
        <v>19958.679999999997</v>
      </c>
      <c r="M126" s="4"/>
      <c r="N126" s="12">
        <f>IF(H126=0,0,L126/H126)</f>
        <v>1.8235398382095231</v>
      </c>
      <c r="O126" s="10"/>
      <c r="P126" s="4">
        <v>583699.82000000007</v>
      </c>
      <c r="Q126" s="4"/>
      <c r="R126" s="12">
        <f>IF(P$12=0,0,P126/P$12)</f>
        <v>0.11841561793784118</v>
      </c>
      <c r="S126" s="4"/>
      <c r="T126" s="4">
        <v>624476.37</v>
      </c>
      <c r="U126" s="4"/>
      <c r="V126" s="12">
        <f>IF(T$12=0,0,T126/T$12)</f>
        <v>0.10401457485052938</v>
      </c>
      <c r="W126" s="4"/>
      <c r="X126" s="4">
        <f>+P126-T126</f>
        <v>-40776.54999999993</v>
      </c>
      <c r="Y126" s="4"/>
      <c r="Z126" s="12">
        <f>IF(T126=0,0,X126/T126)</f>
        <v>-6.5297186505231461E-2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4</v>
      </c>
      <c r="C128" s="29"/>
      <c r="D128" s="35">
        <f>+D124-D126</f>
        <v>-53967.15</v>
      </c>
      <c r="E128" s="14"/>
      <c r="F128" s="32">
        <f>IF(D$12=0,0,D128/D$12)</f>
        <v>-0.89004340613207444</v>
      </c>
      <c r="G128" s="14"/>
      <c r="H128" s="35">
        <f>+H124-H126</f>
        <v>-26111.990000000049</v>
      </c>
      <c r="I128" s="14"/>
      <c r="J128" s="32">
        <f>IF(H$12=0,0,H128/H$12)</f>
        <v>-0.25588171972729123</v>
      </c>
      <c r="K128" s="16"/>
      <c r="L128" s="35">
        <f>D128-H128</f>
        <v>-27855.159999999953</v>
      </c>
      <c r="M128" s="16"/>
      <c r="N128" s="32">
        <f>IF(H128=0,0,L128/H128)</f>
        <v>1.0667574551001244</v>
      </c>
      <c r="O128" s="28"/>
      <c r="P128" s="35">
        <f>+P124-P126</f>
        <v>494850.64999999735</v>
      </c>
      <c r="Q128" s="14"/>
      <c r="R128" s="32">
        <f>IF(P$12=0,0,P128/P$12)</f>
        <v>0.10039072053627163</v>
      </c>
      <c r="S128" s="14"/>
      <c r="T128" s="35">
        <f>+T124-T126</f>
        <v>496937.03999999922</v>
      </c>
      <c r="U128" s="14"/>
      <c r="V128" s="32">
        <f>IF(T$12=0,0,T128/T$12)</f>
        <v>8.2771258331328756E-2</v>
      </c>
      <c r="W128" s="16"/>
      <c r="X128" s="35">
        <f>P128-T128</f>
        <v>-2086.3900000018766</v>
      </c>
      <c r="Y128" s="16"/>
      <c r="Z128" s="32">
        <f>IF(T128=0,0,X128/T128)</f>
        <v>-4.1984996731213274E-3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5</v>
      </c>
      <c r="C131" s="29"/>
      <c r="D131" s="36">
        <f>SUM(D128:D130)</f>
        <v>-53967.15</v>
      </c>
      <c r="E131" s="14"/>
      <c r="F131" s="33">
        <f>IF(D$12=0,0,D131/D$12)</f>
        <v>-0.89004340613207444</v>
      </c>
      <c r="G131" s="14"/>
      <c r="H131" s="36">
        <f>SUM(H128:H130)</f>
        <v>-26111.990000000049</v>
      </c>
      <c r="I131" s="14"/>
      <c r="J131" s="33">
        <f>IF(H$12=0,0,H131/H$12)</f>
        <v>-0.25588171972729123</v>
      </c>
      <c r="K131" s="16"/>
      <c r="L131" s="36">
        <f>+D131-H131</f>
        <v>-27855.159999999953</v>
      </c>
      <c r="M131" s="16"/>
      <c r="N131" s="33">
        <f>IF(H131=0,0,L131/H131)</f>
        <v>1.0667574551001244</v>
      </c>
      <c r="O131" s="28"/>
      <c r="P131" s="36">
        <f>SUM(P128:P130)</f>
        <v>494850.64999999735</v>
      </c>
      <c r="Q131" s="14"/>
      <c r="R131" s="33">
        <f>IF(P$12=0,0,P131/P$12)</f>
        <v>0.10039072053627163</v>
      </c>
      <c r="S131" s="14"/>
      <c r="T131" s="36">
        <f>SUM(T128:T130)</f>
        <v>496937.03999999922</v>
      </c>
      <c r="U131" s="14"/>
      <c r="V131" s="33">
        <f>IF(T$12=0,0,T131/T$12)</f>
        <v>8.2771258331328756E-2</v>
      </c>
      <c r="W131" s="16"/>
      <c r="X131" s="36">
        <f>+P131-T131</f>
        <v>-2086.3900000018766</v>
      </c>
      <c r="Y131" s="16"/>
      <c r="Z131" s="33">
        <f>IF(T131=0,0,X131/T131)</f>
        <v>-4.1984996731213274E-3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5">
        <v>43992.374880821757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62" t="s">
        <v>313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3"/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38394.049999999996</v>
      </c>
      <c r="E12" s="4"/>
      <c r="F12" s="12"/>
      <c r="G12" s="4"/>
      <c r="H12" s="4">
        <f>SUM(OSRRefH13x_0)</f>
        <v>68287.579999999987</v>
      </c>
      <c r="I12" s="4"/>
      <c r="J12" s="12"/>
      <c r="K12" s="4"/>
      <c r="L12" s="4">
        <f t="shared" ref="L12:L42" si="0">+D12-H12</f>
        <v>-29893.529999999992</v>
      </c>
      <c r="M12" s="4"/>
      <c r="N12" s="12">
        <f t="shared" ref="N12:N42" si="1">IF(H12=0,0,L12/H12)</f>
        <v>-0.43775939929340002</v>
      </c>
      <c r="O12" s="10"/>
      <c r="P12" s="4">
        <f>SUM(OSRRefP13x_0)</f>
        <v>3331407.1599999992</v>
      </c>
      <c r="Q12" s="4"/>
      <c r="R12" s="12"/>
      <c r="S12" s="4"/>
      <c r="T12" s="4">
        <f>SUM(OSRRefT13x_0)</f>
        <v>3901266.060000001</v>
      </c>
      <c r="U12" s="4"/>
      <c r="V12" s="12"/>
      <c r="W12" s="4"/>
      <c r="X12" s="4">
        <f t="shared" ref="X12:X42" si="2">+P12-T12</f>
        <v>-569858.90000000177</v>
      </c>
      <c r="Y12" s="4"/>
      <c r="Z12" s="12">
        <f t="shared" ref="Z12:Z42" si="3">IF(T12=0,0,X12/T12)</f>
        <v>-0.14607024776977184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--24452.17</f>
        <v>24452.17</v>
      </c>
      <c r="E13" s="2"/>
      <c r="F13" s="19"/>
      <c r="G13" s="2"/>
      <c r="H13" s="2">
        <f>--34971.91</f>
        <v>34971.910000000003</v>
      </c>
      <c r="I13" s="2"/>
      <c r="J13" s="19"/>
      <c r="K13" s="2"/>
      <c r="L13" s="2">
        <f t="shared" si="0"/>
        <v>-10519.740000000005</v>
      </c>
      <c r="M13" s="2"/>
      <c r="N13" s="19">
        <f t="shared" si="1"/>
        <v>-0.30080541783391312</v>
      </c>
      <c r="O13" s="11"/>
      <c r="P13" s="2">
        <f>--2014029.79</f>
        <v>2014029.79</v>
      </c>
      <c r="Q13" s="2"/>
      <c r="R13" s="19"/>
      <c r="S13" s="2"/>
      <c r="T13" s="2">
        <f>--2540185.33</f>
        <v>2540185.33</v>
      </c>
      <c r="U13" s="2"/>
      <c r="V13" s="19"/>
      <c r="W13" s="2"/>
      <c r="X13" s="2">
        <f t="shared" si="2"/>
        <v>-526155.54</v>
      </c>
      <c r="Y13" s="2"/>
      <c r="Z13" s="19">
        <f t="shared" si="3"/>
        <v>-0.20713273704324558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--7309.6</f>
        <v>7309.6</v>
      </c>
      <c r="E14" s="2"/>
      <c r="F14" s="19"/>
      <c r="G14" s="2"/>
      <c r="H14" s="2">
        <f>--15154.77</f>
        <v>15154.77</v>
      </c>
      <c r="I14" s="2"/>
      <c r="J14" s="19"/>
      <c r="K14" s="2"/>
      <c r="L14" s="2">
        <f t="shared" si="0"/>
        <v>-7845.17</v>
      </c>
      <c r="M14" s="2"/>
      <c r="N14" s="19">
        <f t="shared" si="1"/>
        <v>-0.51767001412756508</v>
      </c>
      <c r="O14" s="11"/>
      <c r="P14" s="2">
        <f>--687263.85</f>
        <v>687263.85</v>
      </c>
      <c r="Q14" s="2"/>
      <c r="R14" s="19"/>
      <c r="S14" s="2"/>
      <c r="T14" s="2">
        <f>--645648.29</f>
        <v>645648.29</v>
      </c>
      <c r="U14" s="2"/>
      <c r="V14" s="19"/>
      <c r="W14" s="2"/>
      <c r="X14" s="2">
        <f t="shared" si="2"/>
        <v>41615.559999999939</v>
      </c>
      <c r="Y14" s="2"/>
      <c r="Z14" s="19">
        <f t="shared" si="3"/>
        <v>6.4455463825359063E-2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--69.99</f>
        <v>69.989999999999995</v>
      </c>
      <c r="E15" s="2"/>
      <c r="F15" s="19"/>
      <c r="G15" s="2"/>
      <c r="H15" s="2">
        <f>--107</f>
        <v>107</v>
      </c>
      <c r="I15" s="2"/>
      <c r="J15" s="19"/>
      <c r="K15" s="2"/>
      <c r="L15" s="2">
        <f t="shared" si="0"/>
        <v>-37.010000000000005</v>
      </c>
      <c r="M15" s="2"/>
      <c r="N15" s="19">
        <f t="shared" si="1"/>
        <v>-0.34588785046728976</v>
      </c>
      <c r="O15" s="11"/>
      <c r="P15" s="2">
        <f>--33764.88</f>
        <v>33764.879999999997</v>
      </c>
      <c r="Q15" s="2"/>
      <c r="R15" s="19"/>
      <c r="S15" s="2"/>
      <c r="T15" s="2">
        <f>--15254.65</f>
        <v>15254.65</v>
      </c>
      <c r="U15" s="2"/>
      <c r="V15" s="19"/>
      <c r="W15" s="2"/>
      <c r="X15" s="2">
        <f t="shared" si="2"/>
        <v>18510.229999999996</v>
      </c>
      <c r="Y15" s="2"/>
      <c r="Z15" s="19">
        <f t="shared" si="3"/>
        <v>1.2134155814784342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8" si="4">0</f>
        <v>0</v>
      </c>
      <c r="E16" s="2"/>
      <c r="F16" s="19"/>
      <c r="G16" s="2"/>
      <c r="H16" s="2">
        <f>--227.95</f>
        <v>227.95</v>
      </c>
      <c r="I16" s="2"/>
      <c r="J16" s="19"/>
      <c r="K16" s="2"/>
      <c r="L16" s="2">
        <f t="shared" si="0"/>
        <v>-227.95</v>
      </c>
      <c r="M16" s="2"/>
      <c r="N16" s="19">
        <f t="shared" si="1"/>
        <v>-1</v>
      </c>
      <c r="O16" s="11"/>
      <c r="P16" s="2">
        <f>--42195.3</f>
        <v>42195.3</v>
      </c>
      <c r="Q16" s="2"/>
      <c r="R16" s="19"/>
      <c r="S16" s="2"/>
      <c r="T16" s="2">
        <f>--70418.64</f>
        <v>70418.64</v>
      </c>
      <c r="U16" s="2"/>
      <c r="V16" s="19"/>
      <c r="W16" s="2"/>
      <c r="X16" s="2">
        <f t="shared" si="2"/>
        <v>-28223.339999999997</v>
      </c>
      <c r="Y16" s="2"/>
      <c r="Z16" s="19">
        <f t="shared" si="3"/>
        <v>-0.40079359669542036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>
        <f>--5.83</f>
        <v>5.83</v>
      </c>
      <c r="U17" s="2"/>
      <c r="V17" s="19"/>
      <c r="W17" s="2"/>
      <c r="X17" s="2">
        <f t="shared" si="2"/>
        <v>1046.6500000000001</v>
      </c>
      <c r="Y17" s="2"/>
      <c r="Z17" s="19">
        <f t="shared" si="3"/>
        <v>179.52830188679246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--483.81</f>
        <v>483.81</v>
      </c>
      <c r="I18" s="2"/>
      <c r="J18" s="19"/>
      <c r="K18" s="2"/>
      <c r="L18" s="2">
        <f t="shared" si="0"/>
        <v>-483.81</v>
      </c>
      <c r="M18" s="2"/>
      <c r="N18" s="19">
        <f t="shared" si="1"/>
        <v>-1</v>
      </c>
      <c r="O18" s="11"/>
      <c r="P18" s="2">
        <f>--2713.36</f>
        <v>2713.36</v>
      </c>
      <c r="Q18" s="2"/>
      <c r="R18" s="19"/>
      <c r="S18" s="2"/>
      <c r="T18" s="2">
        <f>--6715.03</f>
        <v>6715.03</v>
      </c>
      <c r="U18" s="2"/>
      <c r="V18" s="19"/>
      <c r="W18" s="2"/>
      <c r="X18" s="2">
        <f t="shared" si="2"/>
        <v>-4001.6699999999996</v>
      </c>
      <c r="Y18" s="2"/>
      <c r="Z18" s="19">
        <f t="shared" si="3"/>
        <v>-0.59592734507515233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--0.8</f>
        <v>0.8</v>
      </c>
      <c r="E19" s="2"/>
      <c r="F19" s="19"/>
      <c r="G19" s="2"/>
      <c r="H19" s="2">
        <f>--95.48</f>
        <v>95.48</v>
      </c>
      <c r="I19" s="2"/>
      <c r="J19" s="19"/>
      <c r="K19" s="2"/>
      <c r="L19" s="2">
        <f t="shared" si="0"/>
        <v>-94.68</v>
      </c>
      <c r="M19" s="2"/>
      <c r="N19" s="19">
        <f t="shared" si="1"/>
        <v>-0.99162128194386256</v>
      </c>
      <c r="O19" s="11"/>
      <c r="P19" s="2">
        <f>--1219.98</f>
        <v>1219.98</v>
      </c>
      <c r="Q19" s="2"/>
      <c r="R19" s="19"/>
      <c r="S19" s="2"/>
      <c r="T19" s="2">
        <f>--2127.75</f>
        <v>2127.75</v>
      </c>
      <c r="U19" s="2"/>
      <c r="V19" s="19"/>
      <c r="W19" s="2"/>
      <c r="X19" s="2">
        <f t="shared" si="2"/>
        <v>-907.77</v>
      </c>
      <c r="Y19" s="2"/>
      <c r="Z19" s="19">
        <f t="shared" si="3"/>
        <v>-0.42663376806485726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--24.99</f>
        <v>24.99</v>
      </c>
      <c r="E20" s="2"/>
      <c r="F20" s="19"/>
      <c r="G20" s="2"/>
      <c r="H20" s="2">
        <f>--308.38</f>
        <v>308.38</v>
      </c>
      <c r="I20" s="2"/>
      <c r="J20" s="19"/>
      <c r="K20" s="2"/>
      <c r="L20" s="2">
        <f t="shared" si="0"/>
        <v>-283.39</v>
      </c>
      <c r="M20" s="2"/>
      <c r="N20" s="19">
        <f t="shared" si="1"/>
        <v>-0.91896361631753032</v>
      </c>
      <c r="O20" s="11"/>
      <c r="P20" s="2">
        <f>--4179.3</f>
        <v>4179.3</v>
      </c>
      <c r="Q20" s="2"/>
      <c r="R20" s="19"/>
      <c r="S20" s="2"/>
      <c r="T20" s="2">
        <f>--6383.46</f>
        <v>6383.46</v>
      </c>
      <c r="U20" s="2"/>
      <c r="V20" s="19"/>
      <c r="W20" s="2"/>
      <c r="X20" s="2">
        <f t="shared" si="2"/>
        <v>-2204.16</v>
      </c>
      <c r="Y20" s="2"/>
      <c r="Z20" s="19">
        <f t="shared" si="3"/>
        <v>-0.34529236495568233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--7118.9</f>
        <v>7118.9</v>
      </c>
      <c r="E21" s="2"/>
      <c r="F21" s="19"/>
      <c r="G21" s="2"/>
      <c r="H21" s="2">
        <f>--14829.63</f>
        <v>14829.63</v>
      </c>
      <c r="I21" s="2"/>
      <c r="J21" s="19"/>
      <c r="K21" s="2"/>
      <c r="L21" s="2">
        <f t="shared" si="0"/>
        <v>-7710.73</v>
      </c>
      <c r="M21" s="2"/>
      <c r="N21" s="19">
        <f t="shared" si="1"/>
        <v>-0.51995430769344886</v>
      </c>
      <c r="O21" s="11"/>
      <c r="P21" s="2">
        <f>--151282.34</f>
        <v>151282.34</v>
      </c>
      <c r="Q21" s="2"/>
      <c r="R21" s="19"/>
      <c r="S21" s="2"/>
      <c r="T21" s="2">
        <f>--280944.1</f>
        <v>280944.09999999998</v>
      </c>
      <c r="U21" s="2"/>
      <c r="V21" s="19"/>
      <c r="W21" s="2"/>
      <c r="X21" s="2">
        <f t="shared" si="2"/>
        <v>-129661.75999999998</v>
      </c>
      <c r="Y21" s="2"/>
      <c r="Z21" s="19">
        <f t="shared" si="3"/>
        <v>-0.4615215624745278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--565.56</f>
        <v>565.55999999999995</v>
      </c>
      <c r="E22" s="2"/>
      <c r="F22" s="19"/>
      <c r="G22" s="2"/>
      <c r="H22" s="2">
        <f>--3752.48</f>
        <v>3752.48</v>
      </c>
      <c r="I22" s="2"/>
      <c r="J22" s="19"/>
      <c r="K22" s="2"/>
      <c r="L22" s="2">
        <f t="shared" si="0"/>
        <v>-3186.92</v>
      </c>
      <c r="M22" s="2"/>
      <c r="N22" s="19">
        <f t="shared" si="1"/>
        <v>-0.84928367373043967</v>
      </c>
      <c r="O22" s="11"/>
      <c r="P22" s="2">
        <f>--70225.46</f>
        <v>70225.460000000006</v>
      </c>
      <c r="Q22" s="2"/>
      <c r="R22" s="19"/>
      <c r="S22" s="2"/>
      <c r="T22" s="2">
        <f>--96349.95</f>
        <v>96349.95</v>
      </c>
      <c r="U22" s="2"/>
      <c r="V22" s="19"/>
      <c r="W22" s="2"/>
      <c r="X22" s="2">
        <f t="shared" si="2"/>
        <v>-26124.489999999991</v>
      </c>
      <c r="Y22" s="2"/>
      <c r="Z22" s="19">
        <f t="shared" si="3"/>
        <v>-0.27114170790955255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--321</f>
        <v>321</v>
      </c>
      <c r="I23" s="2"/>
      <c r="J23" s="19"/>
      <c r="K23" s="2"/>
      <c r="L23" s="2">
        <f t="shared" si="0"/>
        <v>-321</v>
      </c>
      <c r="M23" s="2"/>
      <c r="N23" s="19">
        <f t="shared" si="1"/>
        <v>-1</v>
      </c>
      <c r="O23" s="11"/>
      <c r="P23" s="2">
        <f>--664.97</f>
        <v>664.97</v>
      </c>
      <c r="Q23" s="2"/>
      <c r="R23" s="19"/>
      <c r="S23" s="2"/>
      <c r="T23" s="2">
        <f>--830.85</f>
        <v>830.85</v>
      </c>
      <c r="U23" s="2"/>
      <c r="V23" s="19"/>
      <c r="W23" s="2"/>
      <c r="X23" s="2">
        <f t="shared" si="2"/>
        <v>-165.88</v>
      </c>
      <c r="Y23" s="2"/>
      <c r="Z23" s="19">
        <f t="shared" si="3"/>
        <v>-0.19965095986038392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--4949.29</f>
        <v>4949.29</v>
      </c>
      <c r="E24" s="2"/>
      <c r="F24" s="19"/>
      <c r="G24" s="2"/>
      <c r="H24" s="2">
        <f>--4706.96</f>
        <v>4706.96</v>
      </c>
      <c r="I24" s="2"/>
      <c r="J24" s="19"/>
      <c r="K24" s="2"/>
      <c r="L24" s="2">
        <f t="shared" si="0"/>
        <v>242.32999999999993</v>
      </c>
      <c r="M24" s="2"/>
      <c r="N24" s="19">
        <f t="shared" si="1"/>
        <v>5.1483335316212568E-2</v>
      </c>
      <c r="O24" s="11"/>
      <c r="P24" s="2">
        <f>--531803.38</f>
        <v>531803.38</v>
      </c>
      <c r="Q24" s="2"/>
      <c r="R24" s="19"/>
      <c r="S24" s="2"/>
      <c r="T24" s="2">
        <f>--533442.25</f>
        <v>533442.25</v>
      </c>
      <c r="U24" s="2"/>
      <c r="V24" s="19"/>
      <c r="W24" s="2"/>
      <c r="X24" s="2">
        <f t="shared" si="2"/>
        <v>-1638.8699999999953</v>
      </c>
      <c r="Y24" s="2"/>
      <c r="Z24" s="19">
        <f t="shared" si="3"/>
        <v>-3.0722538381614791E-3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--340.46</f>
        <v>340.46</v>
      </c>
      <c r="E25" s="2"/>
      <c r="F25" s="19"/>
      <c r="G25" s="2"/>
      <c r="H25" s="2">
        <f>--2277.54</f>
        <v>2277.54</v>
      </c>
      <c r="I25" s="2"/>
      <c r="J25" s="19"/>
      <c r="K25" s="2"/>
      <c r="L25" s="2">
        <f t="shared" si="0"/>
        <v>-1937.08</v>
      </c>
      <c r="M25" s="2"/>
      <c r="N25" s="19">
        <f t="shared" si="1"/>
        <v>-0.85051415123334828</v>
      </c>
      <c r="O25" s="11"/>
      <c r="P25" s="2">
        <f>--15663.46</f>
        <v>15663.46</v>
      </c>
      <c r="Q25" s="2"/>
      <c r="R25" s="19"/>
      <c r="S25" s="2"/>
      <c r="T25" s="2">
        <f>--21891.78</f>
        <v>21891.78</v>
      </c>
      <c r="U25" s="2"/>
      <c r="V25" s="19"/>
      <c r="W25" s="2"/>
      <c r="X25" s="2">
        <f t="shared" si="2"/>
        <v>-6228.32</v>
      </c>
      <c r="Y25" s="2"/>
      <c r="Z25" s="19">
        <f t="shared" si="3"/>
        <v>-0.28450496030930333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--24.24</f>
        <v>24.24</v>
      </c>
      <c r="E26" s="2"/>
      <c r="F26" s="19"/>
      <c r="G26" s="2"/>
      <c r="H26" s="2">
        <f t="shared" ref="H26:H28" si="5">0</f>
        <v>0</v>
      </c>
      <c r="I26" s="2"/>
      <c r="J26" s="19"/>
      <c r="K26" s="2"/>
      <c r="L26" s="2">
        <f t="shared" si="0"/>
        <v>24.24</v>
      </c>
      <c r="M26" s="2"/>
      <c r="N26" s="19">
        <f t="shared" si="1"/>
        <v>0</v>
      </c>
      <c r="O26" s="11"/>
      <c r="P26" s="2">
        <f>--8266.16</f>
        <v>8266.16</v>
      </c>
      <c r="Q26" s="2"/>
      <c r="R26" s="19"/>
      <c r="S26" s="2"/>
      <c r="T26" s="2">
        <f>--3773</f>
        <v>3773</v>
      </c>
      <c r="U26" s="2"/>
      <c r="V26" s="19"/>
      <c r="W26" s="2"/>
      <c r="X26" s="2">
        <f t="shared" si="2"/>
        <v>4493.16</v>
      </c>
      <c r="Y26" s="2"/>
      <c r="Z26" s="19">
        <f t="shared" si="3"/>
        <v>1.1908719851576994</v>
      </c>
    </row>
    <row r="27" spans="1:26" s="24" customFormat="1" hidden="1" outlineLevel="1" x14ac:dyDescent="0.25">
      <c r="A27" s="44"/>
      <c r="B27" s="11" t="str">
        <f>CONCATENATE("          ", "4114", " - ", "NON-TAXABLE SALES-REMAINDERS")</f>
        <v xml:space="preserve">          4114 - NON-TAXABLE SALES-REMAINDERS</v>
      </c>
      <c r="C27" s="11"/>
      <c r="D27" s="2">
        <f>--3.19</f>
        <v>3.19</v>
      </c>
      <c r="E27" s="2"/>
      <c r="F27" s="19"/>
      <c r="G27" s="2"/>
      <c r="H27" s="2">
        <f t="shared" si="5"/>
        <v>0</v>
      </c>
      <c r="I27" s="2"/>
      <c r="J27" s="19"/>
      <c r="K27" s="2"/>
      <c r="L27" s="2">
        <f t="shared" si="0"/>
        <v>3.19</v>
      </c>
      <c r="M27" s="2"/>
      <c r="N27" s="19">
        <f t="shared" si="1"/>
        <v>0</v>
      </c>
      <c r="O27" s="11"/>
      <c r="P27" s="2">
        <f>--3.19</f>
        <v>3.19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3.19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--40</f>
        <v>40</v>
      </c>
      <c r="E28" s="2"/>
      <c r="F28" s="19"/>
      <c r="G28" s="2"/>
      <c r="H28" s="2">
        <f t="shared" si="5"/>
        <v>0</v>
      </c>
      <c r="I28" s="2"/>
      <c r="J28" s="19"/>
      <c r="K28" s="2"/>
      <c r="L28" s="2">
        <f t="shared" si="0"/>
        <v>40</v>
      </c>
      <c r="M28" s="2"/>
      <c r="N28" s="19">
        <f t="shared" si="1"/>
        <v>0</v>
      </c>
      <c r="O28" s="11"/>
      <c r="P28" s="2">
        <f>--115.94</f>
        <v>115.94</v>
      </c>
      <c r="Q28" s="2"/>
      <c r="R28" s="19"/>
      <c r="S28" s="2"/>
      <c r="T28" s="2">
        <f>--266.48</f>
        <v>266.48</v>
      </c>
      <c r="U28" s="2"/>
      <c r="V28" s="19"/>
      <c r="W28" s="2"/>
      <c r="X28" s="2">
        <f t="shared" si="2"/>
        <v>-150.54000000000002</v>
      </c>
      <c r="Y28" s="2"/>
      <c r="Z28" s="19">
        <f t="shared" si="3"/>
        <v>-0.56492044431101773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-228.6</f>
        <v>-228.6</v>
      </c>
      <c r="E29" s="2"/>
      <c r="F29" s="19"/>
      <c r="G29" s="2"/>
      <c r="H29" s="2">
        <f>-3052.25</f>
        <v>-3052.25</v>
      </c>
      <c r="I29" s="2"/>
      <c r="J29" s="19"/>
      <c r="K29" s="2"/>
      <c r="L29" s="2">
        <f t="shared" si="0"/>
        <v>2823.65</v>
      </c>
      <c r="M29" s="2"/>
      <c r="N29" s="19">
        <f t="shared" si="1"/>
        <v>-0.92510443115734298</v>
      </c>
      <c r="O29" s="11"/>
      <c r="P29" s="2">
        <f>-121451.61</f>
        <v>-121451.61</v>
      </c>
      <c r="Q29" s="2"/>
      <c r="R29" s="19"/>
      <c r="S29" s="2"/>
      <c r="T29" s="2">
        <f>-178747.85</f>
        <v>-178747.85</v>
      </c>
      <c r="U29" s="2"/>
      <c r="V29" s="19"/>
      <c r="W29" s="2"/>
      <c r="X29" s="2">
        <f t="shared" si="2"/>
        <v>57296.240000000005</v>
      </c>
      <c r="Y29" s="2"/>
      <c r="Z29" s="19">
        <f t="shared" si="3"/>
        <v>-0.32054226106775552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-60.4</f>
        <v>-60.4</v>
      </c>
      <c r="E30" s="2"/>
      <c r="F30" s="19"/>
      <c r="G30" s="2"/>
      <c r="H30" s="2">
        <f>-1655.5</f>
        <v>-1655.5</v>
      </c>
      <c r="I30" s="2"/>
      <c r="J30" s="19"/>
      <c r="K30" s="2"/>
      <c r="L30" s="2">
        <f t="shared" si="0"/>
        <v>1595.1</v>
      </c>
      <c r="M30" s="2"/>
      <c r="N30" s="19">
        <f t="shared" si="1"/>
        <v>-0.96351555421322854</v>
      </c>
      <c r="O30" s="11"/>
      <c r="P30" s="2">
        <f>-45613.11</f>
        <v>-45613.11</v>
      </c>
      <c r="Q30" s="2"/>
      <c r="R30" s="19"/>
      <c r="S30" s="2"/>
      <c r="T30" s="2">
        <f>-47295.45</f>
        <v>-47295.45</v>
      </c>
      <c r="U30" s="2"/>
      <c r="V30" s="19"/>
      <c r="W30" s="2"/>
      <c r="X30" s="2">
        <f t="shared" si="2"/>
        <v>1682.3399999999965</v>
      </c>
      <c r="Y30" s="2"/>
      <c r="Z30" s="19">
        <f t="shared" si="3"/>
        <v>-3.5570863582014688E-2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5" si="6"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6"/>
        <v>0</v>
      </c>
      <c r="E32" s="2"/>
      <c r="F32" s="19"/>
      <c r="G32" s="2"/>
      <c r="H32" s="2">
        <f>-43.25</f>
        <v>-43.25</v>
      </c>
      <c r="I32" s="2"/>
      <c r="J32" s="19"/>
      <c r="K32" s="2"/>
      <c r="L32" s="2">
        <f t="shared" si="0"/>
        <v>43.25</v>
      </c>
      <c r="M32" s="2"/>
      <c r="N32" s="19">
        <f t="shared" si="1"/>
        <v>-1</v>
      </c>
      <c r="O32" s="11"/>
      <c r="P32" s="2">
        <f>-17255.33</f>
        <v>-17255.330000000002</v>
      </c>
      <c r="Q32" s="2"/>
      <c r="R32" s="19"/>
      <c r="S32" s="2"/>
      <c r="T32" s="2">
        <f>-27102.9</f>
        <v>-27102.9</v>
      </c>
      <c r="U32" s="2"/>
      <c r="V32" s="19"/>
      <c r="W32" s="2"/>
      <c r="X32" s="2">
        <f t="shared" si="2"/>
        <v>9847.57</v>
      </c>
      <c r="Y32" s="2"/>
      <c r="Z32" s="19">
        <f t="shared" si="3"/>
        <v>-0.36334008537831741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6"/>
        <v>0</v>
      </c>
      <c r="E33" s="2"/>
      <c r="F33" s="19"/>
      <c r="G33" s="2"/>
      <c r="H33" s="2">
        <f t="shared" ref="H33:H35" si="7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-2768.67</f>
        <v>-2768.67</v>
      </c>
      <c r="Q33" s="2"/>
      <c r="R33" s="19"/>
      <c r="S33" s="2"/>
      <c r="T33" s="2">
        <f>-1548.35</f>
        <v>-1548.35</v>
      </c>
      <c r="U33" s="2"/>
      <c r="V33" s="19"/>
      <c r="W33" s="2"/>
      <c r="X33" s="2">
        <f t="shared" si="2"/>
        <v>-1220.3200000000002</v>
      </c>
      <c r="Y33" s="2"/>
      <c r="Z33" s="19">
        <f t="shared" si="3"/>
        <v>0.7881422159072563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si="6"/>
        <v>0</v>
      </c>
      <c r="E34" s="2"/>
      <c r="F34" s="19"/>
      <c r="G34" s="2"/>
      <c r="H34" s="2">
        <f t="shared" si="7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>
        <f>-19.84</f>
        <v>-19.84</v>
      </c>
      <c r="U34" s="2"/>
      <c r="V34" s="19"/>
      <c r="W34" s="2"/>
      <c r="X34" s="2">
        <f t="shared" si="2"/>
        <v>7.9</v>
      </c>
      <c r="Y34" s="2"/>
      <c r="Z34" s="19">
        <f t="shared" si="3"/>
        <v>-0.39818548387096775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6"/>
        <v>0</v>
      </c>
      <c r="E35" s="2"/>
      <c r="F35" s="19"/>
      <c r="G35" s="2"/>
      <c r="H35" s="2">
        <f t="shared" si="7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>
        <f>-67.6</f>
        <v>-67.599999999999994</v>
      </c>
      <c r="U35" s="2"/>
      <c r="V35" s="19"/>
      <c r="W35" s="2"/>
      <c r="X35" s="2">
        <f t="shared" si="2"/>
        <v>28.349999999999994</v>
      </c>
      <c r="Y35" s="2"/>
      <c r="Z35" s="19">
        <f t="shared" si="3"/>
        <v>-0.41937869822485202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-5710.44</f>
        <v>-5710.44</v>
      </c>
      <c r="E36" s="2"/>
      <c r="F36" s="19"/>
      <c r="G36" s="2"/>
      <c r="H36" s="2">
        <f>-1917.11</f>
        <v>-1917.11</v>
      </c>
      <c r="I36" s="2"/>
      <c r="J36" s="19"/>
      <c r="K36" s="2"/>
      <c r="L36" s="2">
        <f t="shared" si="0"/>
        <v>-3793.33</v>
      </c>
      <c r="M36" s="2"/>
      <c r="N36" s="19">
        <f t="shared" si="1"/>
        <v>1.9786710204422282</v>
      </c>
      <c r="O36" s="11"/>
      <c r="P36" s="2">
        <f>-21289.87</f>
        <v>-21289.87</v>
      </c>
      <c r="Q36" s="2"/>
      <c r="R36" s="19"/>
      <c r="S36" s="2"/>
      <c r="T36" s="2">
        <f>-51488.2</f>
        <v>-51488.2</v>
      </c>
      <c r="U36" s="2"/>
      <c r="V36" s="19"/>
      <c r="W36" s="2"/>
      <c r="X36" s="2">
        <f t="shared" si="2"/>
        <v>30198.329999999998</v>
      </c>
      <c r="Y36" s="2"/>
      <c r="Z36" s="19">
        <f t="shared" si="3"/>
        <v>-0.58650972455824835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-67.5</f>
        <v>-67.5</v>
      </c>
      <c r="E37" s="2"/>
      <c r="F37" s="19"/>
      <c r="G37" s="2"/>
      <c r="H37" s="2">
        <f>-1539.55</f>
        <v>-1539.55</v>
      </c>
      <c r="I37" s="2"/>
      <c r="J37" s="19"/>
      <c r="K37" s="2"/>
      <c r="L37" s="2">
        <f t="shared" si="0"/>
        <v>1472.05</v>
      </c>
      <c r="M37" s="2"/>
      <c r="N37" s="19">
        <f t="shared" si="1"/>
        <v>-0.95615601961612162</v>
      </c>
      <c r="O37" s="11"/>
      <c r="P37" s="2">
        <f>-1379.87</f>
        <v>-1379.87</v>
      </c>
      <c r="Q37" s="2"/>
      <c r="R37" s="19"/>
      <c r="S37" s="2"/>
      <c r="T37" s="2">
        <f>-6328.25</f>
        <v>-6328.25</v>
      </c>
      <c r="U37" s="2"/>
      <c r="V37" s="19"/>
      <c r="W37" s="2"/>
      <c r="X37" s="2">
        <f t="shared" si="2"/>
        <v>4948.38</v>
      </c>
      <c r="Y37" s="2"/>
      <c r="Z37" s="19">
        <f t="shared" si="3"/>
        <v>-0.78195077628096232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-438.2</f>
        <v>-438.2</v>
      </c>
      <c r="E39" s="2"/>
      <c r="F39" s="19"/>
      <c r="G39" s="2"/>
      <c r="H39" s="2">
        <f>-379.96</f>
        <v>-379.96</v>
      </c>
      <c r="I39" s="2"/>
      <c r="J39" s="19"/>
      <c r="K39" s="2"/>
      <c r="L39" s="2">
        <f t="shared" si="0"/>
        <v>-58.240000000000009</v>
      </c>
      <c r="M39" s="2"/>
      <c r="N39" s="19">
        <f t="shared" si="1"/>
        <v>0.15327929255711131</v>
      </c>
      <c r="O39" s="11"/>
      <c r="P39" s="2">
        <f>-19474.33</f>
        <v>-19474.330000000002</v>
      </c>
      <c r="Q39" s="2"/>
      <c r="R39" s="19"/>
      <c r="S39" s="2"/>
      <c r="T39" s="2">
        <f>-6047.96</f>
        <v>-6047.96</v>
      </c>
      <c r="U39" s="2"/>
      <c r="V39" s="19"/>
      <c r="W39" s="2"/>
      <c r="X39" s="2">
        <f t="shared" si="2"/>
        <v>-13426.370000000003</v>
      </c>
      <c r="Y39" s="2"/>
      <c r="Z39" s="19">
        <f t="shared" si="3"/>
        <v>2.2199832670851003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 t="shared" ref="D40:D42" si="8">0</f>
        <v>0</v>
      </c>
      <c r="E40" s="2"/>
      <c r="F40" s="19"/>
      <c r="G40" s="2"/>
      <c r="H40" s="2">
        <f>-361.71</f>
        <v>-361.71</v>
      </c>
      <c r="I40" s="2"/>
      <c r="J40" s="19"/>
      <c r="K40" s="2"/>
      <c r="L40" s="2">
        <f t="shared" si="0"/>
        <v>361.71</v>
      </c>
      <c r="M40" s="2"/>
      <c r="N40" s="19">
        <f t="shared" si="1"/>
        <v>-1</v>
      </c>
      <c r="O40" s="11"/>
      <c r="P40" s="2">
        <f>-941.28</f>
        <v>-941.28</v>
      </c>
      <c r="Q40" s="2"/>
      <c r="R40" s="19"/>
      <c r="S40" s="2"/>
      <c r="T40" s="2">
        <f>-2110.54</f>
        <v>-2110.54</v>
      </c>
      <c r="U40" s="2"/>
      <c r="V40" s="19"/>
      <c r="W40" s="2"/>
      <c r="X40" s="2">
        <f t="shared" si="2"/>
        <v>1169.26</v>
      </c>
      <c r="Y40" s="2"/>
      <c r="Z40" s="19">
        <f t="shared" si="3"/>
        <v>-0.55400987425019188</v>
      </c>
    </row>
    <row r="41" spans="1:26" s="24" customFormat="1" hidden="1" outlineLevel="1" x14ac:dyDescent="0.25">
      <c r="A41" s="44"/>
      <c r="B41" s="11" t="str">
        <f>CONCATENATE("          ", "4313", " - ", "SALES RETURN NON TAXABLE-TRADE")</f>
        <v xml:space="preserve">          4313 - SALES RETURN NON TAXABLE-TRADE</v>
      </c>
      <c r="C41" s="11"/>
      <c r="D41" s="2">
        <f t="shared" si="8"/>
        <v>0</v>
      </c>
      <c r="E41" s="2"/>
      <c r="F41" s="19"/>
      <c r="G41" s="2"/>
      <c r="H41" s="2">
        <f t="shared" ref="H41:H42" si="9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-2481.44</f>
        <v>-2481.44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-2481.44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"4318", " - ", "SALES RETURN NON TAXABLE-STUDY")</f>
        <v xml:space="preserve">          4318 - SALES RETURN NON TAXABLE-STUDY</v>
      </c>
      <c r="C42" s="11"/>
      <c r="D42" s="2">
        <f t="shared" si="8"/>
        <v>0</v>
      </c>
      <c r="E42" s="2"/>
      <c r="F42" s="19"/>
      <c r="G42" s="2"/>
      <c r="H42" s="2">
        <f t="shared" si="9"/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0</f>
        <v>0</v>
      </c>
      <c r="Q42" s="2"/>
      <c r="R42" s="19"/>
      <c r="S42" s="2"/>
      <c r="T42" s="2">
        <f>-5.04</f>
        <v>-5.04</v>
      </c>
      <c r="U42" s="2"/>
      <c r="V42" s="19"/>
      <c r="W42" s="2"/>
      <c r="X42" s="2">
        <f t="shared" si="2"/>
        <v>5.04</v>
      </c>
      <c r="Y42" s="2"/>
      <c r="Z42" s="19">
        <f t="shared" si="3"/>
        <v>-1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43311.700000000012</v>
      </c>
      <c r="E44" s="4"/>
      <c r="F44" s="12">
        <f t="shared" ref="F44:F60" si="10">IF(D$12=0,0,D44/D$12)</f>
        <v>1.1280836483778089</v>
      </c>
      <c r="G44" s="4"/>
      <c r="H44" s="4">
        <f>SUM(OSRRefH16x_0)</f>
        <v>43300.860000000008</v>
      </c>
      <c r="I44" s="4"/>
      <c r="J44" s="12">
        <f t="shared" ref="J44:J60" si="11">IF(H$12=0,0,H44/H$12)</f>
        <v>0.63409568767849167</v>
      </c>
      <c r="K44" s="4"/>
      <c r="L44" s="4">
        <f t="shared" ref="L44:L60" si="12">+D44-H44</f>
        <v>10.840000000003783</v>
      </c>
      <c r="M44" s="4"/>
      <c r="N44" s="12">
        <f t="shared" ref="N44:N60" si="13">IF(H44=0,0,L44/H44)</f>
        <v>2.5034144818379548E-4</v>
      </c>
      <c r="O44" s="10"/>
      <c r="P44" s="4">
        <f>SUM(OSRRefP16x_0)</f>
        <v>2360877.1200000006</v>
      </c>
      <c r="Q44" s="4"/>
      <c r="R44" s="12">
        <f t="shared" ref="R44:R60" si="14">IF(P$12=0,0,P44/P$12)</f>
        <v>0.70867264390462592</v>
      </c>
      <c r="S44" s="4"/>
      <c r="T44" s="4">
        <f>SUM(OSRRefT16x_0)</f>
        <v>2785899.93</v>
      </c>
      <c r="U44" s="4"/>
      <c r="V44" s="12">
        <f t="shared" ref="V44:V60" si="15">IF(T$12=0,0,T44/T$12)</f>
        <v>0.71410149606663831</v>
      </c>
      <c r="W44" s="4"/>
      <c r="X44" s="4">
        <f t="shared" ref="X44:X60" si="16">+P44-T44</f>
        <v>-425022.80999999959</v>
      </c>
      <c r="Y44" s="4"/>
      <c r="Z44" s="12">
        <f t="shared" ref="Z44:Z60" si="17">IF(T44=0,0,X44/T44)</f>
        <v>-0.15256212379458997</v>
      </c>
    </row>
    <row r="45" spans="1:26" s="24" customFormat="1" hidden="1" outlineLevel="1" x14ac:dyDescent="0.25">
      <c r="A45" s="44"/>
      <c r="B45" s="11" t="str">
        <f>CONCATENATE("          ", "5001", " - ", "PURCHASES @ COST-NEW TEXT")</f>
        <v xml:space="preserve">          5001 - PURCHASES @ COST-NEW TEXT</v>
      </c>
      <c r="C45" s="11"/>
      <c r="D45" s="2">
        <v>69416.47</v>
      </c>
      <c r="E45" s="2"/>
      <c r="F45" s="19">
        <f t="shared" si="10"/>
        <v>1.8080007188613862</v>
      </c>
      <c r="G45" s="2"/>
      <c r="H45" s="2">
        <v>68485.34</v>
      </c>
      <c r="I45" s="2"/>
      <c r="J45" s="19">
        <f t="shared" si="11"/>
        <v>1.0028959878209187</v>
      </c>
      <c r="K45" s="2"/>
      <c r="L45" s="2">
        <f t="shared" si="12"/>
        <v>931.13000000000466</v>
      </c>
      <c r="M45" s="2"/>
      <c r="N45" s="19">
        <f t="shared" si="13"/>
        <v>1.3596048438979855E-2</v>
      </c>
      <c r="O45" s="11"/>
      <c r="P45" s="2">
        <v>1153896.26</v>
      </c>
      <c r="Q45" s="2"/>
      <c r="R45" s="19">
        <f t="shared" si="14"/>
        <v>0.3463690280355885</v>
      </c>
      <c r="S45" s="2"/>
      <c r="T45" s="2">
        <v>1738006.1700000002</v>
      </c>
      <c r="U45" s="2"/>
      <c r="V45" s="19">
        <f t="shared" si="15"/>
        <v>0.44549798533863638</v>
      </c>
      <c r="W45" s="2"/>
      <c r="X45" s="2">
        <f t="shared" si="16"/>
        <v>-584109.91000000015</v>
      </c>
      <c r="Y45" s="2"/>
      <c r="Z45" s="19">
        <f t="shared" si="17"/>
        <v>-0.33608045821839638</v>
      </c>
    </row>
    <row r="46" spans="1:26" s="24" customFormat="1" hidden="1" outlineLevel="1" x14ac:dyDescent="0.25">
      <c r="A46" s="44"/>
      <c r="B46" s="11" t="str">
        <f>CONCATENATE("          ", "5002", " - ", "PURCHASES @ COST-USED TEXT")</f>
        <v xml:space="preserve">          5002 - PURCHASES @ COST-USED TEXT</v>
      </c>
      <c r="C46" s="11"/>
      <c r="D46" s="2">
        <v>8828.2900000000009</v>
      </c>
      <c r="E46" s="2"/>
      <c r="F46" s="19">
        <f t="shared" si="10"/>
        <v>0.22993901398784453</v>
      </c>
      <c r="G46" s="2"/>
      <c r="H46" s="2">
        <v>17154.75</v>
      </c>
      <c r="I46" s="2"/>
      <c r="J46" s="19">
        <f t="shared" si="11"/>
        <v>0.25121332458991813</v>
      </c>
      <c r="K46" s="2"/>
      <c r="L46" s="2">
        <f t="shared" si="12"/>
        <v>-8326.4599999999991</v>
      </c>
      <c r="M46" s="2"/>
      <c r="N46" s="19">
        <f t="shared" si="13"/>
        <v>-0.48537343884346895</v>
      </c>
      <c r="O46" s="11"/>
      <c r="P46" s="2">
        <v>-76795.039999999994</v>
      </c>
      <c r="Q46" s="2"/>
      <c r="R46" s="19">
        <f t="shared" si="14"/>
        <v>-2.3051832547541264E-2</v>
      </c>
      <c r="S46" s="2"/>
      <c r="T46" s="2">
        <v>-437637.1</v>
      </c>
      <c r="U46" s="2"/>
      <c r="V46" s="19">
        <f t="shared" si="15"/>
        <v>-0.11217822452232337</v>
      </c>
      <c r="W46" s="2"/>
      <c r="X46" s="2">
        <f t="shared" si="16"/>
        <v>360842.06</v>
      </c>
      <c r="Y46" s="2"/>
      <c r="Z46" s="19">
        <f t="shared" si="17"/>
        <v>-0.82452346933109655</v>
      </c>
    </row>
    <row r="47" spans="1:26" s="24" customFormat="1" hidden="1" outlineLevel="1" x14ac:dyDescent="0.25">
      <c r="A47" s="44"/>
      <c r="B47" s="11" t="str">
        <f>CONCATENATE("          ", "5003", " - ", "PURCHASES @ COST-RENTAL TEXT")</f>
        <v xml:space="preserve">          5003 - PURCHASES @ COST-RENTAL TEXT</v>
      </c>
      <c r="C47" s="11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1"/>
      <c r="P47" s="2">
        <v>-78.400000000000006</v>
      </c>
      <c r="Q47" s="2"/>
      <c r="R47" s="19">
        <f t="shared" si="14"/>
        <v>-2.3533598937213075E-5</v>
      </c>
      <c r="S47" s="2"/>
      <c r="T47" s="2">
        <v>15629.58</v>
      </c>
      <c r="U47" s="2"/>
      <c r="V47" s="19">
        <f t="shared" si="15"/>
        <v>4.0062840523109556E-3</v>
      </c>
      <c r="W47" s="2"/>
      <c r="X47" s="2">
        <f t="shared" si="16"/>
        <v>-15707.98</v>
      </c>
      <c r="Y47" s="2"/>
      <c r="Z47" s="19">
        <f t="shared" si="17"/>
        <v>-1.0050161296720705</v>
      </c>
    </row>
    <row r="48" spans="1:26" s="24" customFormat="1" hidden="1" outlineLevel="1" x14ac:dyDescent="0.25">
      <c r="A48" s="44"/>
      <c r="B48" s="11" t="str">
        <f>CONCATENATE("          ", "5004", " - ", "PURCHASES @ COST-DIGITAL TEXT")</f>
        <v xml:space="preserve">          5004 - PURCHASES @ COST-DIGITAL TEXT</v>
      </c>
      <c r="C48" s="11"/>
      <c r="D48" s="2">
        <v>-46518.259999999995</v>
      </c>
      <c r="E48" s="2"/>
      <c r="F48" s="19">
        <f t="shared" si="10"/>
        <v>-1.2116007558462836</v>
      </c>
      <c r="G48" s="2"/>
      <c r="H48" s="2">
        <v>17888.12</v>
      </c>
      <c r="I48" s="2"/>
      <c r="J48" s="19">
        <f t="shared" si="11"/>
        <v>0.26195275919867128</v>
      </c>
      <c r="K48" s="2"/>
      <c r="L48" s="2">
        <f t="shared" si="12"/>
        <v>-64406.37999999999</v>
      </c>
      <c r="M48" s="2"/>
      <c r="N48" s="19">
        <f t="shared" si="13"/>
        <v>-3.6005114008626951</v>
      </c>
      <c r="O48" s="11"/>
      <c r="P48" s="2">
        <v>446269.65</v>
      </c>
      <c r="Q48" s="2"/>
      <c r="R48" s="19">
        <f t="shared" si="14"/>
        <v>0.13395830307334758</v>
      </c>
      <c r="S48" s="2"/>
      <c r="T48" s="2">
        <v>501578.98</v>
      </c>
      <c r="U48" s="2"/>
      <c r="V48" s="19">
        <f t="shared" si="15"/>
        <v>0.12856825765941221</v>
      </c>
      <c r="W48" s="2"/>
      <c r="X48" s="2">
        <f t="shared" si="16"/>
        <v>-55309.329999999958</v>
      </c>
      <c r="Y48" s="2"/>
      <c r="Z48" s="19">
        <f t="shared" si="17"/>
        <v>-0.11027043039164033</v>
      </c>
    </row>
    <row r="49" spans="1:26" s="24" customFormat="1" hidden="1" outlineLevel="1" x14ac:dyDescent="0.25">
      <c r="A49" s="44"/>
      <c r="B49" s="11" t="str">
        <f>CONCATENATE("          ", "5011", " - ", "PURCHASES @ COST-NO VALUE TEXT")</f>
        <v xml:space="preserve">          5011 - PURCHASES @ COST-NO VALUE TEXT</v>
      </c>
      <c r="C49" s="11"/>
      <c r="D49" s="2"/>
      <c r="E49" s="2"/>
      <c r="F49" s="19">
        <f t="shared" si="10"/>
        <v>0</v>
      </c>
      <c r="G49" s="2"/>
      <c r="H49" s="2">
        <v>237</v>
      </c>
      <c r="I49" s="2"/>
      <c r="J49" s="19">
        <f t="shared" si="11"/>
        <v>3.4706164722779756E-3</v>
      </c>
      <c r="K49" s="2"/>
      <c r="L49" s="2">
        <f t="shared" si="12"/>
        <v>-237</v>
      </c>
      <c r="M49" s="2"/>
      <c r="N49" s="19">
        <f t="shared" si="13"/>
        <v>-1</v>
      </c>
      <c r="O49" s="11"/>
      <c r="P49" s="2">
        <v>6363</v>
      </c>
      <c r="Q49" s="2"/>
      <c r="R49" s="19">
        <f t="shared" si="14"/>
        <v>1.9100036994577395E-3</v>
      </c>
      <c r="S49" s="2"/>
      <c r="T49" s="2">
        <v>3744</v>
      </c>
      <c r="U49" s="2"/>
      <c r="V49" s="19">
        <f t="shared" si="15"/>
        <v>9.596884555984369E-4</v>
      </c>
      <c r="W49" s="2"/>
      <c r="X49" s="2">
        <f t="shared" si="16"/>
        <v>2619</v>
      </c>
      <c r="Y49" s="2"/>
      <c r="Z49" s="19">
        <f t="shared" si="17"/>
        <v>0.69951923076923073</v>
      </c>
    </row>
    <row r="50" spans="1:26" s="24" customFormat="1" hidden="1" outlineLevel="1" x14ac:dyDescent="0.25">
      <c r="A50" s="44"/>
      <c r="B50" s="11" t="str">
        <f>CONCATENATE("          ", "5013", " - ", "PURCHASES @ COST-TRADE BOOKS")</f>
        <v xml:space="preserve">          5013 - PURCHASES @ COST-TRADE BOOKS</v>
      </c>
      <c r="C50" s="11"/>
      <c r="D50" s="2"/>
      <c r="E50" s="2"/>
      <c r="F50" s="19">
        <f t="shared" si="10"/>
        <v>0</v>
      </c>
      <c r="G50" s="2"/>
      <c r="H50" s="2">
        <v>-265.93</v>
      </c>
      <c r="I50" s="2"/>
      <c r="J50" s="19">
        <f t="shared" si="11"/>
        <v>-3.8942659851176459E-3</v>
      </c>
      <c r="K50" s="2"/>
      <c r="L50" s="2">
        <f t="shared" si="12"/>
        <v>265.93</v>
      </c>
      <c r="M50" s="2"/>
      <c r="N50" s="19">
        <f t="shared" si="13"/>
        <v>-1</v>
      </c>
      <c r="O50" s="11"/>
      <c r="P50" s="2">
        <v>3197.85</v>
      </c>
      <c r="Q50" s="2"/>
      <c r="R50" s="19">
        <f t="shared" si="14"/>
        <v>9.5990968573171967E-4</v>
      </c>
      <c r="S50" s="2"/>
      <c r="T50" s="2">
        <v>5875.74</v>
      </c>
      <c r="U50" s="2"/>
      <c r="V50" s="19">
        <f t="shared" si="15"/>
        <v>1.506111070004797E-3</v>
      </c>
      <c r="W50" s="2"/>
      <c r="X50" s="2">
        <f t="shared" si="16"/>
        <v>-2677.89</v>
      </c>
      <c r="Y50" s="2"/>
      <c r="Z50" s="19">
        <f t="shared" si="17"/>
        <v>-0.45575365826261882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/>
      <c r="E51" s="2"/>
      <c r="F51" s="19">
        <f t="shared" si="10"/>
        <v>0</v>
      </c>
      <c r="G51" s="2"/>
      <c r="H51" s="2">
        <v>76.91</v>
      </c>
      <c r="I51" s="2"/>
      <c r="J51" s="19">
        <f t="shared" si="11"/>
        <v>1.1262662990839624E-3</v>
      </c>
      <c r="K51" s="2"/>
      <c r="L51" s="2">
        <f t="shared" si="12"/>
        <v>-76.91</v>
      </c>
      <c r="M51" s="2"/>
      <c r="N51" s="19">
        <f t="shared" si="13"/>
        <v>-1</v>
      </c>
      <c r="O51" s="11"/>
      <c r="P51" s="2">
        <v>600.61</v>
      </c>
      <c r="Q51" s="2"/>
      <c r="R51" s="19">
        <f t="shared" si="14"/>
        <v>1.8028717930713704E-4</v>
      </c>
      <c r="S51" s="2"/>
      <c r="T51" s="2">
        <v>1199.07</v>
      </c>
      <c r="U51" s="2"/>
      <c r="V51" s="19">
        <f t="shared" si="15"/>
        <v>3.0735406956581667E-4</v>
      </c>
      <c r="W51" s="2"/>
      <c r="X51" s="2">
        <f t="shared" si="16"/>
        <v>-598.45999999999992</v>
      </c>
      <c r="Y51" s="2"/>
      <c r="Z51" s="19">
        <f t="shared" si="17"/>
        <v>-0.4991034718573561</v>
      </c>
    </row>
    <row r="52" spans="1:26" s="24" customFormat="1" hidden="1" outlineLevel="1" x14ac:dyDescent="0.25">
      <c r="A52" s="44"/>
      <c r="B52" s="11" t="str">
        <f>CONCATENATE("          ", "5018", " - ", "PURCHASES @ COST-STUDY GUIDES")</f>
        <v xml:space="preserve">          5018 - PURCHASES @ COST-STUDY GUIDES</v>
      </c>
      <c r="C52" s="11"/>
      <c r="D52" s="2"/>
      <c r="E52" s="2"/>
      <c r="F52" s="19">
        <f t="shared" si="10"/>
        <v>0</v>
      </c>
      <c r="G52" s="2"/>
      <c r="H52" s="2">
        <v>289.08</v>
      </c>
      <c r="I52" s="2"/>
      <c r="J52" s="19">
        <f t="shared" si="11"/>
        <v>4.2332734590975404E-3</v>
      </c>
      <c r="K52" s="2"/>
      <c r="L52" s="2">
        <f t="shared" si="12"/>
        <v>-289.08</v>
      </c>
      <c r="M52" s="2"/>
      <c r="N52" s="19">
        <f t="shared" si="13"/>
        <v>-1</v>
      </c>
      <c r="O52" s="11"/>
      <c r="P52" s="2">
        <v>-205.14</v>
      </c>
      <c r="Q52" s="2"/>
      <c r="R52" s="19">
        <f t="shared" si="14"/>
        <v>-6.1577582729335323E-5</v>
      </c>
      <c r="S52" s="2"/>
      <c r="T52" s="2">
        <v>2683</v>
      </c>
      <c r="U52" s="2"/>
      <c r="V52" s="19">
        <f t="shared" si="15"/>
        <v>6.8772546110326021E-4</v>
      </c>
      <c r="W52" s="2"/>
      <c r="X52" s="2">
        <f t="shared" si="16"/>
        <v>-2888.14</v>
      </c>
      <c r="Y52" s="2"/>
      <c r="Z52" s="19">
        <f t="shared" si="17"/>
        <v>-1.0764591874767051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-32085</v>
      </c>
      <c r="E53" s="2"/>
      <c r="F53" s="19">
        <f t="shared" si="10"/>
        <v>-0.83567636131119283</v>
      </c>
      <c r="G53" s="2"/>
      <c r="H53" s="2">
        <v>-105609</v>
      </c>
      <c r="I53" s="2"/>
      <c r="J53" s="19">
        <f t="shared" si="11"/>
        <v>-1.5465330591595137</v>
      </c>
      <c r="K53" s="2"/>
      <c r="L53" s="2">
        <f t="shared" si="12"/>
        <v>73524</v>
      </c>
      <c r="M53" s="2"/>
      <c r="N53" s="19">
        <f t="shared" si="13"/>
        <v>-0.69619066556827547</v>
      </c>
      <c r="O53" s="11"/>
      <c r="P53" s="2">
        <v>-1618852</v>
      </c>
      <c r="Q53" s="2"/>
      <c r="R53" s="19">
        <f t="shared" si="14"/>
        <v>-0.48593639932022009</v>
      </c>
      <c r="S53" s="2"/>
      <c r="T53" s="2">
        <v>-1909627</v>
      </c>
      <c r="U53" s="2"/>
      <c r="V53" s="19">
        <f t="shared" si="15"/>
        <v>-0.48948904551257383</v>
      </c>
      <c r="W53" s="2"/>
      <c r="X53" s="2">
        <f t="shared" si="16"/>
        <v>290775</v>
      </c>
      <c r="Y53" s="2"/>
      <c r="Z53" s="19">
        <f t="shared" si="17"/>
        <v>-0.15226795599350029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43312</v>
      </c>
      <c r="E54" s="2"/>
      <c r="F54" s="19">
        <f t="shared" si="10"/>
        <v>1.128091462088527</v>
      </c>
      <c r="G54" s="2"/>
      <c r="H54" s="2">
        <v>43301</v>
      </c>
      <c r="I54" s="2"/>
      <c r="J54" s="19">
        <f t="shared" si="11"/>
        <v>0.634097737831682</v>
      </c>
      <c r="K54" s="2"/>
      <c r="L54" s="2">
        <f t="shared" si="12"/>
        <v>11</v>
      </c>
      <c r="M54" s="2"/>
      <c r="N54" s="19">
        <f t="shared" si="13"/>
        <v>2.5403570356342811E-4</v>
      </c>
      <c r="O54" s="11"/>
      <c r="P54" s="2">
        <v>2360840.4700000002</v>
      </c>
      <c r="Q54" s="2"/>
      <c r="R54" s="19">
        <f t="shared" si="14"/>
        <v>0.70866164254746955</v>
      </c>
      <c r="S54" s="2"/>
      <c r="T54" s="2">
        <v>2785727</v>
      </c>
      <c r="U54" s="2"/>
      <c r="V54" s="19">
        <f t="shared" si="15"/>
        <v>0.71405716943078712</v>
      </c>
      <c r="W54" s="2"/>
      <c r="X54" s="2">
        <f t="shared" si="16"/>
        <v>-424886.5299999998</v>
      </c>
      <c r="Y54" s="2"/>
      <c r="Z54" s="19">
        <f t="shared" si="17"/>
        <v>-0.15252267361446395</v>
      </c>
    </row>
    <row r="55" spans="1:26" s="24" customFormat="1" hidden="1" outlineLevel="1" x14ac:dyDescent="0.25">
      <c r="A55" s="44"/>
      <c r="B55" s="11" t="str">
        <f>CONCATENATE("          ", "5500", " - ", "FREIGHT-IN")</f>
        <v xml:space="preserve">          5500 - FREIGHT-IN</v>
      </c>
      <c r="C55" s="11"/>
      <c r="D55" s="2"/>
      <c r="E55" s="2"/>
      <c r="F55" s="19">
        <f t="shared" si="10"/>
        <v>0</v>
      </c>
      <c r="G55" s="2"/>
      <c r="H55" s="2"/>
      <c r="I55" s="2"/>
      <c r="J55" s="19">
        <f t="shared" si="11"/>
        <v>0</v>
      </c>
      <c r="K55" s="2"/>
      <c r="L55" s="2">
        <f t="shared" si="12"/>
        <v>0</v>
      </c>
      <c r="M55" s="2"/>
      <c r="N55" s="19">
        <f t="shared" si="13"/>
        <v>0</v>
      </c>
      <c r="O55" s="11"/>
      <c r="P55" s="2">
        <v>41.25</v>
      </c>
      <c r="Q55" s="2"/>
      <c r="R55" s="19">
        <f t="shared" si="14"/>
        <v>1.2382155053061725E-5</v>
      </c>
      <c r="S55" s="2"/>
      <c r="T55" s="2">
        <v>174.83</v>
      </c>
      <c r="U55" s="2"/>
      <c r="V55" s="19">
        <f t="shared" si="15"/>
        <v>4.4813657236184495E-5</v>
      </c>
      <c r="W55" s="2"/>
      <c r="X55" s="2">
        <f t="shared" si="16"/>
        <v>-133.58000000000001</v>
      </c>
      <c r="Y55" s="2"/>
      <c r="Z55" s="19">
        <f t="shared" si="17"/>
        <v>-0.7640565120402677</v>
      </c>
    </row>
    <row r="56" spans="1:26" s="24" customFormat="1" hidden="1" outlineLevel="1" x14ac:dyDescent="0.25">
      <c r="A56" s="44"/>
      <c r="B56" s="11" t="str">
        <f>CONCATENATE("          ", "5501", " - ", "FREIGHT-IN-NEW TEXT")</f>
        <v xml:space="preserve">          5501 - FREIGHT-IN-NEW TEXT</v>
      </c>
      <c r="C56" s="11"/>
      <c r="D56" s="2">
        <v>-21.22</v>
      </c>
      <c r="E56" s="2"/>
      <c r="F56" s="19">
        <f t="shared" si="10"/>
        <v>-5.526898048004834E-4</v>
      </c>
      <c r="G56" s="2"/>
      <c r="H56" s="2">
        <v>1437.4</v>
      </c>
      <c r="I56" s="2"/>
      <c r="J56" s="19">
        <f t="shared" si="11"/>
        <v>2.1049215684609126E-2</v>
      </c>
      <c r="K56" s="2"/>
      <c r="L56" s="2">
        <f t="shared" si="12"/>
        <v>-1458.6200000000001</v>
      </c>
      <c r="M56" s="2"/>
      <c r="N56" s="19">
        <f t="shared" si="13"/>
        <v>-1.0147627661054681</v>
      </c>
      <c r="O56" s="11"/>
      <c r="P56" s="2">
        <v>69747.73000000001</v>
      </c>
      <c r="Q56" s="2"/>
      <c r="R56" s="19">
        <f t="shared" si="14"/>
        <v>2.0936417150523273E-2</v>
      </c>
      <c r="S56" s="2"/>
      <c r="T56" s="2">
        <v>64203.939999999995</v>
      </c>
      <c r="U56" s="2"/>
      <c r="V56" s="19">
        <f t="shared" si="15"/>
        <v>1.6457206202439824E-2</v>
      </c>
      <c r="W56" s="2"/>
      <c r="X56" s="2">
        <f t="shared" si="16"/>
        <v>5543.7900000000154</v>
      </c>
      <c r="Y56" s="2"/>
      <c r="Z56" s="19">
        <f t="shared" si="17"/>
        <v>8.6346570008009105E-2</v>
      </c>
    </row>
    <row r="57" spans="1:26" s="24" customFormat="1" hidden="1" outlineLevel="1" x14ac:dyDescent="0.25">
      <c r="A57" s="44"/>
      <c r="B57" s="11" t="str">
        <f>CONCATENATE("          ", "5502", " - ", "FREIGHT-IN-USED TEXT")</f>
        <v xml:space="preserve">          5502 - FREIGHT-IN-USED TEXT</v>
      </c>
      <c r="C57" s="11"/>
      <c r="D57" s="2">
        <v>379.42</v>
      </c>
      <c r="E57" s="2"/>
      <c r="F57" s="19">
        <f t="shared" si="10"/>
        <v>9.8822604023279664E-3</v>
      </c>
      <c r="G57" s="2"/>
      <c r="H57" s="2">
        <v>306.19</v>
      </c>
      <c r="I57" s="2"/>
      <c r="J57" s="19">
        <f t="shared" si="11"/>
        <v>4.483831466864107E-3</v>
      </c>
      <c r="K57" s="2"/>
      <c r="L57" s="2">
        <f t="shared" si="12"/>
        <v>73.230000000000018</v>
      </c>
      <c r="M57" s="2"/>
      <c r="N57" s="19">
        <f t="shared" si="13"/>
        <v>0.23916522420719166</v>
      </c>
      <c r="O57" s="11"/>
      <c r="P57" s="2">
        <v>15680.76</v>
      </c>
      <c r="Q57" s="2"/>
      <c r="R57" s="19">
        <f t="shared" si="14"/>
        <v>4.7069479192690467E-3</v>
      </c>
      <c r="S57" s="2"/>
      <c r="T57" s="2">
        <v>14043.29</v>
      </c>
      <c r="U57" s="2"/>
      <c r="V57" s="19">
        <f t="shared" si="15"/>
        <v>3.5996750244714141E-3</v>
      </c>
      <c r="W57" s="2"/>
      <c r="X57" s="2">
        <f t="shared" si="16"/>
        <v>1637.4699999999993</v>
      </c>
      <c r="Y57" s="2"/>
      <c r="Z57" s="19">
        <f t="shared" si="17"/>
        <v>0.11660159407090498</v>
      </c>
    </row>
    <row r="58" spans="1:26" s="24" customFormat="1" hidden="1" outlineLevel="1" x14ac:dyDescent="0.25">
      <c r="A58" s="44"/>
      <c r="B58" s="11" t="str">
        <f>CONCATENATE("          ", "5504", " - ", "FREIGHT-IN-DIGITAL TEXT")</f>
        <v xml:space="preserve">          5504 - FREIGHT-IN-DIGITAL TEXT</v>
      </c>
      <c r="C58" s="11"/>
      <c r="D58" s="2"/>
      <c r="E58" s="2"/>
      <c r="F58" s="19">
        <f t="shared" si="10"/>
        <v>0</v>
      </c>
      <c r="G58" s="2"/>
      <c r="H58" s="2"/>
      <c r="I58" s="2"/>
      <c r="J58" s="19">
        <f t="shared" si="11"/>
        <v>0</v>
      </c>
      <c r="K58" s="2"/>
      <c r="L58" s="2">
        <f t="shared" si="12"/>
        <v>0</v>
      </c>
      <c r="M58" s="2"/>
      <c r="N58" s="19">
        <f t="shared" si="13"/>
        <v>0</v>
      </c>
      <c r="O58" s="11"/>
      <c r="P58" s="2">
        <v>118.75</v>
      </c>
      <c r="Q58" s="2"/>
      <c r="R58" s="19">
        <f t="shared" si="14"/>
        <v>3.5645597880026176E-5</v>
      </c>
      <c r="S58" s="2"/>
      <c r="T58" s="2">
        <v>243.53</v>
      </c>
      <c r="U58" s="2"/>
      <c r="V58" s="19">
        <f t="shared" si="15"/>
        <v>6.242332521150838E-5</v>
      </c>
      <c r="W58" s="2"/>
      <c r="X58" s="2">
        <f t="shared" si="16"/>
        <v>-124.78</v>
      </c>
      <c r="Y58" s="2"/>
      <c r="Z58" s="19">
        <f t="shared" si="17"/>
        <v>-0.5123804048782491</v>
      </c>
    </row>
    <row r="59" spans="1:26" s="24" customFormat="1" hidden="1" outlineLevel="1" x14ac:dyDescent="0.25">
      <c r="A59" s="44"/>
      <c r="B59" s="11" t="str">
        <f>CONCATENATE("          ", "5513", " - ", "FREIGHT-IN-TRADE BOOKS")</f>
        <v xml:space="preserve">          5513 - FREIGHT-IN-TRADE BOOKS</v>
      </c>
      <c r="C59" s="11"/>
      <c r="D59" s="2"/>
      <c r="E59" s="2"/>
      <c r="F59" s="19">
        <f t="shared" si="10"/>
        <v>0</v>
      </c>
      <c r="G59" s="2"/>
      <c r="H59" s="2"/>
      <c r="I59" s="2"/>
      <c r="J59" s="19">
        <f t="shared" si="11"/>
        <v>0</v>
      </c>
      <c r="K59" s="2"/>
      <c r="L59" s="2">
        <f t="shared" si="12"/>
        <v>0</v>
      </c>
      <c r="M59" s="2"/>
      <c r="N59" s="19">
        <f t="shared" si="13"/>
        <v>0</v>
      </c>
      <c r="O59" s="11"/>
      <c r="P59" s="2">
        <v>30.24</v>
      </c>
      <c r="Q59" s="2"/>
      <c r="R59" s="19">
        <f t="shared" si="14"/>
        <v>9.0772453043536135E-6</v>
      </c>
      <c r="S59" s="2"/>
      <c r="T59" s="2">
        <v>54.9</v>
      </c>
      <c r="U59" s="2"/>
      <c r="V59" s="19">
        <f t="shared" si="15"/>
        <v>1.4072354757573234E-5</v>
      </c>
      <c r="W59" s="2"/>
      <c r="X59" s="2">
        <f t="shared" si="16"/>
        <v>-24.66</v>
      </c>
      <c r="Y59" s="2"/>
      <c r="Z59" s="19">
        <f t="shared" si="17"/>
        <v>-0.44918032786885248</v>
      </c>
    </row>
    <row r="60" spans="1:26" s="24" customFormat="1" hidden="1" outlineLevel="1" x14ac:dyDescent="0.25">
      <c r="A60" s="44"/>
      <c r="B60" s="11" t="str">
        <f>CONCATENATE("          ", "5518", " - ", "FREIGHT-IN-STUDY GUIDES")</f>
        <v xml:space="preserve">          5518 - FREIGHT-IN-STUDY GUIDES</v>
      </c>
      <c r="C60" s="11"/>
      <c r="D60" s="2"/>
      <c r="E60" s="2"/>
      <c r="F60" s="19">
        <f t="shared" si="10"/>
        <v>0</v>
      </c>
      <c r="G60" s="2"/>
      <c r="H60" s="2"/>
      <c r="I60" s="2"/>
      <c r="J60" s="19">
        <f t="shared" si="11"/>
        <v>0</v>
      </c>
      <c r="K60" s="2"/>
      <c r="L60" s="2">
        <f t="shared" si="12"/>
        <v>0</v>
      </c>
      <c r="M60" s="2"/>
      <c r="N60" s="19">
        <f t="shared" si="13"/>
        <v>0</v>
      </c>
      <c r="O60" s="11"/>
      <c r="P60" s="2">
        <v>21.13</v>
      </c>
      <c r="Q60" s="2"/>
      <c r="R60" s="19">
        <f t="shared" si="14"/>
        <v>6.3426651217259211E-6</v>
      </c>
      <c r="S60" s="2"/>
      <c r="T60" s="2"/>
      <c r="U60" s="2"/>
      <c r="V60" s="19">
        <f t="shared" si="15"/>
        <v>0</v>
      </c>
      <c r="W60" s="2"/>
      <c r="X60" s="2">
        <f t="shared" si="16"/>
        <v>21.13</v>
      </c>
      <c r="Y60" s="2"/>
      <c r="Z60" s="19">
        <f t="shared" si="17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6</v>
      </c>
      <c r="C62" s="29"/>
      <c r="D62" s="21">
        <f>D12-D44</f>
        <v>-4917.650000000016</v>
      </c>
      <c r="E62" s="14"/>
      <c r="F62" s="20">
        <f>IF(D$12=0,0,D62/D$12)</f>
        <v>-0.12808364837780897</v>
      </c>
      <c r="G62" s="14"/>
      <c r="H62" s="21">
        <f>H12-H44</f>
        <v>24986.719999999979</v>
      </c>
      <c r="I62" s="14"/>
      <c r="J62" s="20">
        <f>IF(H$12=0,0,H62/H$12)</f>
        <v>0.36590431232150833</v>
      </c>
      <c r="K62" s="16"/>
      <c r="L62" s="21">
        <f>+D62-H62</f>
        <v>-29904.369999999995</v>
      </c>
      <c r="M62" s="16"/>
      <c r="N62" s="20">
        <f>IF(H62=0,0,L62/H62)</f>
        <v>-1.1968105457619096</v>
      </c>
      <c r="O62" s="28"/>
      <c r="P62" s="21">
        <f>P12-P44</f>
        <v>970530.03999999864</v>
      </c>
      <c r="Q62" s="14"/>
      <c r="R62" s="20">
        <f>IF(P$12=0,0,P62/P$12)</f>
        <v>0.29132735609537408</v>
      </c>
      <c r="S62" s="14"/>
      <c r="T62" s="21">
        <f>T12-T44</f>
        <v>1115366.1300000008</v>
      </c>
      <c r="U62" s="14"/>
      <c r="V62" s="20">
        <f>IF(T$12=0,0,T62/T$12)</f>
        <v>0.28589850393336169</v>
      </c>
      <c r="W62" s="16"/>
      <c r="X62" s="21">
        <f>+P62-T62</f>
        <v>-144836.09000000218</v>
      </c>
      <c r="Y62" s="16"/>
      <c r="Z62" s="20">
        <f>IF(T62=0,0,X62/T62)</f>
        <v>-0.1298551983105333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9</v>
      </c>
      <c r="C64" s="10"/>
      <c r="D64" s="22">
        <f>SUM(OSRRefD22x_0)</f>
        <v>38231.100000000013</v>
      </c>
      <c r="E64" s="22"/>
      <c r="F64" s="31">
        <f t="shared" ref="F64:F74" si="18">IF(D$12=0,0,D64/D$12)</f>
        <v>0.99575585279489964</v>
      </c>
      <c r="G64" s="22"/>
      <c r="H64" s="22">
        <f>SUM(OSRRefH22x_0)</f>
        <v>71286.460000000006</v>
      </c>
      <c r="I64" s="22"/>
      <c r="J64" s="31">
        <f t="shared" ref="J64:J74" si="19">IF(H$12=0,0,H64/H$12)</f>
        <v>1.0439154528539454</v>
      </c>
      <c r="K64" s="4"/>
      <c r="L64" s="22">
        <f t="shared" ref="L64:L74" si="20">+D64-H64</f>
        <v>-33055.359999999993</v>
      </c>
      <c r="M64" s="4"/>
      <c r="N64" s="31">
        <f t="shared" ref="N64:N74" si="21">IF(H64=0,0,L64/H64)</f>
        <v>-0.46369759418548756</v>
      </c>
      <c r="O64" s="10"/>
      <c r="P64" s="22">
        <f>SUM(OSRRefP22x_0)</f>
        <v>509228.60000000003</v>
      </c>
      <c r="Q64" s="22"/>
      <c r="R64" s="31">
        <f t="shared" ref="R64:R74" si="22">IF(P$12=0,0,P64/P$12)</f>
        <v>0.15285690867038904</v>
      </c>
      <c r="S64" s="22"/>
      <c r="T64" s="22">
        <f>SUM(OSRRefT22x_0)</f>
        <v>672114.01000000013</v>
      </c>
      <c r="U64" s="22"/>
      <c r="V64" s="31">
        <f t="shared" ref="V64:V74" si="23">IF(T$12=0,0,T64/T$12)</f>
        <v>0.17228099792814436</v>
      </c>
      <c r="W64" s="4"/>
      <c r="X64" s="22">
        <f t="shared" ref="X64:X74" si="24">+P64-T64</f>
        <v>-162885.41000000009</v>
      </c>
      <c r="Y64" s="4"/>
      <c r="Z64" s="31">
        <f t="shared" ref="Z64:Z74" si="25">IF(T64=0,0,X64/T64)</f>
        <v>-0.24234788678188698</v>
      </c>
    </row>
    <row r="65" spans="1:26" s="27" customFormat="1" outlineLevel="1" collapsed="1" x14ac:dyDescent="0.25">
      <c r="A65" s="25"/>
      <c r="B65" s="13" t="str">
        <f>CONCATENATE("     ","*Benefits                                         ")</f>
        <v xml:space="preserve">     *Benefits                                         </v>
      </c>
      <c r="C65" s="13"/>
      <c r="D65" s="1">
        <f>SUM(OSRRefD22_0x_0)</f>
        <v>10281.040000000001</v>
      </c>
      <c r="E65" s="1"/>
      <c r="F65" s="5">
        <f t="shared" si="18"/>
        <v>0.26777690814071459</v>
      </c>
      <c r="G65" s="1"/>
      <c r="H65" s="1">
        <f>SUM(OSRRefH22_0x_0)</f>
        <v>13767.57</v>
      </c>
      <c r="I65" s="1"/>
      <c r="J65" s="5">
        <f t="shared" si="19"/>
        <v>0.20161162542295397</v>
      </c>
      <c r="K65" s="1"/>
      <c r="L65" s="1">
        <f t="shared" si="20"/>
        <v>-3486.5299999999988</v>
      </c>
      <c r="M65" s="1"/>
      <c r="N65" s="5">
        <f t="shared" si="21"/>
        <v>-0.25324222066784474</v>
      </c>
      <c r="O65" s="13"/>
      <c r="P65" s="1">
        <f>SUM(OSRRefP22_0x_0)</f>
        <v>116667.29000000001</v>
      </c>
      <c r="Q65" s="1"/>
      <c r="R65" s="5">
        <f t="shared" si="22"/>
        <v>3.5020423621830735E-2</v>
      </c>
      <c r="S65" s="1"/>
      <c r="T65" s="1">
        <f>SUM(OSRRefT22_0x_0)</f>
        <v>139476.25999999998</v>
      </c>
      <c r="U65" s="1"/>
      <c r="V65" s="5">
        <f t="shared" si="23"/>
        <v>3.5751537540610584E-2</v>
      </c>
      <c r="W65" s="1"/>
      <c r="X65" s="1">
        <f t="shared" si="24"/>
        <v>-22808.969999999972</v>
      </c>
      <c r="Y65" s="1"/>
      <c r="Z65" s="5">
        <f t="shared" si="25"/>
        <v>-0.16353299120581508</v>
      </c>
    </row>
    <row r="66" spans="1:26" s="24" customFormat="1" hidden="1" outlineLevel="2" x14ac:dyDescent="0.25">
      <c r="A66" s="26"/>
      <c r="B66" s="11" t="str">
        <f>CONCATENATE("          ", "6111", " - ", "F.I.C.A.")</f>
        <v xml:space="preserve">          6111 - F.I.C.A.</v>
      </c>
      <c r="C66" s="11"/>
      <c r="D66" s="6">
        <v>1559.66</v>
      </c>
      <c r="E66" s="2"/>
      <c r="F66" s="7">
        <f t="shared" si="18"/>
        <v>4.0622440195811599E-2</v>
      </c>
      <c r="G66" s="2"/>
      <c r="H66" s="6">
        <v>2584.59</v>
      </c>
      <c r="I66" s="2"/>
      <c r="J66" s="7">
        <f t="shared" si="19"/>
        <v>3.7848610245084111E-2</v>
      </c>
      <c r="K66" s="2"/>
      <c r="L66" s="6">
        <f t="shared" si="20"/>
        <v>-1024.93</v>
      </c>
      <c r="M66" s="2"/>
      <c r="N66" s="7">
        <f t="shared" si="21"/>
        <v>-0.39655419234772249</v>
      </c>
      <c r="O66" s="11"/>
      <c r="P66" s="6">
        <v>19849.41</v>
      </c>
      <c r="Q66" s="2"/>
      <c r="R66" s="7">
        <f t="shared" si="22"/>
        <v>5.9582659959222769E-3</v>
      </c>
      <c r="S66" s="2"/>
      <c r="T66" s="6">
        <v>22206.639999999999</v>
      </c>
      <c r="U66" s="2"/>
      <c r="V66" s="7">
        <f t="shared" si="23"/>
        <v>5.6921624053500198E-3</v>
      </c>
      <c r="W66" s="2"/>
      <c r="X66" s="6">
        <f t="shared" si="24"/>
        <v>-2357.2299999999996</v>
      </c>
      <c r="Y66" s="2"/>
      <c r="Z66" s="7">
        <f t="shared" si="25"/>
        <v>-0.10614978222729776</v>
      </c>
    </row>
    <row r="67" spans="1:26" s="24" customFormat="1" hidden="1" outlineLevel="2" x14ac:dyDescent="0.25">
      <c r="A67" s="26"/>
      <c r="B67" s="11" t="str">
        <f>CONCATENATE("          ", "6112", " - ", "COMPENSATION INSURANCE")</f>
        <v xml:space="preserve">          6112 - COMPENSATION INSURANCE</v>
      </c>
      <c r="C67" s="11"/>
      <c r="D67" s="6">
        <v>226.23</v>
      </c>
      <c r="E67" s="2"/>
      <c r="F67" s="7">
        <f t="shared" si="18"/>
        <v>5.8923192525925242E-3</v>
      </c>
      <c r="G67" s="2"/>
      <c r="H67" s="6">
        <v>89.82</v>
      </c>
      <c r="I67" s="2"/>
      <c r="J67" s="7">
        <f t="shared" si="19"/>
        <v>1.3153197111392732E-3</v>
      </c>
      <c r="K67" s="2"/>
      <c r="L67" s="6">
        <f t="shared" si="20"/>
        <v>136.41</v>
      </c>
      <c r="M67" s="2"/>
      <c r="N67" s="7">
        <f t="shared" si="21"/>
        <v>1.5187040748162994</v>
      </c>
      <c r="O67" s="11"/>
      <c r="P67" s="6">
        <v>1091.83</v>
      </c>
      <c r="Q67" s="2"/>
      <c r="R67" s="7">
        <f t="shared" si="22"/>
        <v>3.277383842808335E-4</v>
      </c>
      <c r="S67" s="2"/>
      <c r="T67" s="6">
        <v>877.85</v>
      </c>
      <c r="U67" s="2"/>
      <c r="V67" s="7">
        <f t="shared" si="23"/>
        <v>2.2501669624655125E-4</v>
      </c>
      <c r="W67" s="2"/>
      <c r="X67" s="6">
        <f t="shared" si="24"/>
        <v>213.9799999999999</v>
      </c>
      <c r="Y67" s="2"/>
      <c r="Z67" s="7">
        <f t="shared" si="25"/>
        <v>0.24375462778378984</v>
      </c>
    </row>
    <row r="68" spans="1:26" s="24" customFormat="1" hidden="1" outlineLevel="2" x14ac:dyDescent="0.25">
      <c r="A68" s="26"/>
      <c r="B68" s="11" t="str">
        <f>CONCATENATE("          ", "6113", " - ", "GROUP INSURANCE")</f>
        <v xml:space="preserve">          6113 - GROUP INSURANCE</v>
      </c>
      <c r="C68" s="11"/>
      <c r="D68" s="6">
        <v>4248.21</v>
      </c>
      <c r="E68" s="2"/>
      <c r="F68" s="7">
        <f t="shared" si="18"/>
        <v>0.11064761336717539</v>
      </c>
      <c r="G68" s="2"/>
      <c r="H68" s="6">
        <v>5576.65</v>
      </c>
      <c r="I68" s="2"/>
      <c r="J68" s="7">
        <f t="shared" si="19"/>
        <v>8.1664191350755158E-2</v>
      </c>
      <c r="K68" s="2"/>
      <c r="L68" s="6">
        <f t="shared" si="20"/>
        <v>-1328.4399999999996</v>
      </c>
      <c r="M68" s="2"/>
      <c r="N68" s="7">
        <f t="shared" si="21"/>
        <v>-0.23821469878869925</v>
      </c>
      <c r="O68" s="11"/>
      <c r="P68" s="6">
        <v>46252.47</v>
      </c>
      <c r="Q68" s="2"/>
      <c r="R68" s="7">
        <f t="shared" si="22"/>
        <v>1.3883763760656627E-2</v>
      </c>
      <c r="S68" s="2"/>
      <c r="T68" s="6">
        <v>58116.689999999995</v>
      </c>
      <c r="U68" s="2"/>
      <c r="V68" s="7">
        <f t="shared" si="23"/>
        <v>1.489687939919688E-2</v>
      </c>
      <c r="W68" s="2"/>
      <c r="X68" s="6">
        <f t="shared" si="24"/>
        <v>-11864.219999999994</v>
      </c>
      <c r="Y68" s="2"/>
      <c r="Z68" s="7">
        <f t="shared" si="25"/>
        <v>-0.20414479902417007</v>
      </c>
    </row>
    <row r="69" spans="1:26" s="24" customFormat="1" hidden="1" outlineLevel="2" x14ac:dyDescent="0.25">
      <c r="A69" s="26"/>
      <c r="B69" s="11" t="str">
        <f>CONCATENATE("          ", "6114", " - ", "STATE UNEMPLOYMENT INSURANCE")</f>
        <v xml:space="preserve">          6114 - STATE UNEMPLOYMENT INSURANCE</v>
      </c>
      <c r="C69" s="11"/>
      <c r="D69" s="6">
        <v>91.38</v>
      </c>
      <c r="E69" s="2"/>
      <c r="F69" s="7">
        <f t="shared" si="18"/>
        <v>2.3800562847628736E-3</v>
      </c>
      <c r="G69" s="2"/>
      <c r="H69" s="6">
        <v>65.66</v>
      </c>
      <c r="I69" s="2"/>
      <c r="J69" s="7">
        <f t="shared" si="19"/>
        <v>9.6152184628595723E-4</v>
      </c>
      <c r="K69" s="2"/>
      <c r="L69" s="6">
        <f t="shared" si="20"/>
        <v>25.72</v>
      </c>
      <c r="M69" s="2"/>
      <c r="N69" s="7">
        <f t="shared" si="21"/>
        <v>0.39171489491318917</v>
      </c>
      <c r="O69" s="11"/>
      <c r="P69" s="6">
        <v>745.41</v>
      </c>
      <c r="Q69" s="2"/>
      <c r="R69" s="7">
        <f t="shared" si="22"/>
        <v>2.2375229571158157E-4</v>
      </c>
      <c r="S69" s="2"/>
      <c r="T69" s="6">
        <v>825.36</v>
      </c>
      <c r="U69" s="2"/>
      <c r="V69" s="7">
        <f t="shared" si="23"/>
        <v>2.1156208966686057E-4</v>
      </c>
      <c r="W69" s="2"/>
      <c r="X69" s="6">
        <f t="shared" si="24"/>
        <v>-79.950000000000045</v>
      </c>
      <c r="Y69" s="2"/>
      <c r="Z69" s="7">
        <f t="shared" si="25"/>
        <v>-9.6866821750508925E-2</v>
      </c>
    </row>
    <row r="70" spans="1:26" s="24" customFormat="1" hidden="1" outlineLevel="2" x14ac:dyDescent="0.25">
      <c r="A70" s="26"/>
      <c r="B70" s="11" t="str">
        <f>CONCATENATE("          ", "6115", " - ", "P.E.R.S.")</f>
        <v xml:space="preserve">          6115 - P.E.R.S.</v>
      </c>
      <c r="C70" s="11"/>
      <c r="D70" s="6">
        <v>1363.4</v>
      </c>
      <c r="E70" s="2"/>
      <c r="F70" s="7">
        <f t="shared" si="18"/>
        <v>3.5510710643966978E-2</v>
      </c>
      <c r="G70" s="2"/>
      <c r="H70" s="6">
        <v>1209.17</v>
      </c>
      <c r="I70" s="2"/>
      <c r="J70" s="7">
        <f t="shared" si="19"/>
        <v>1.7707026665756794E-2</v>
      </c>
      <c r="K70" s="2"/>
      <c r="L70" s="6">
        <f t="shared" si="20"/>
        <v>154.23000000000002</v>
      </c>
      <c r="M70" s="2"/>
      <c r="N70" s="7">
        <f t="shared" si="21"/>
        <v>0.12755030310047388</v>
      </c>
      <c r="O70" s="11"/>
      <c r="P70" s="6">
        <v>15839.689999999999</v>
      </c>
      <c r="Q70" s="2"/>
      <c r="R70" s="7">
        <f t="shared" si="22"/>
        <v>4.7546544866043945E-3</v>
      </c>
      <c r="S70" s="2"/>
      <c r="T70" s="6">
        <v>15019.929999999998</v>
      </c>
      <c r="U70" s="2"/>
      <c r="V70" s="7">
        <f t="shared" si="23"/>
        <v>3.8500142694702535E-3</v>
      </c>
      <c r="W70" s="2"/>
      <c r="X70" s="6">
        <f t="shared" si="24"/>
        <v>819.76000000000022</v>
      </c>
      <c r="Y70" s="2"/>
      <c r="Z70" s="7">
        <f t="shared" si="25"/>
        <v>5.457815049737251E-2</v>
      </c>
    </row>
    <row r="71" spans="1:26" s="24" customFormat="1" hidden="1" outlineLevel="2" x14ac:dyDescent="0.25">
      <c r="A71" s="26"/>
      <c r="B71" s="11" t="str">
        <f>CONCATENATE("          ", "6117", " - ", "RETIREMENT STAFF HOURLY")</f>
        <v xml:space="preserve">          6117 - RETIREMENT STAFF HOURLY</v>
      </c>
      <c r="C71" s="11"/>
      <c r="D71" s="6">
        <v>219.6</v>
      </c>
      <c r="E71" s="2"/>
      <c r="F71" s="7">
        <f t="shared" si="18"/>
        <v>5.7196362457203661E-3</v>
      </c>
      <c r="G71" s="2"/>
      <c r="H71" s="6">
        <v>255.75</v>
      </c>
      <c r="I71" s="2"/>
      <c r="J71" s="7">
        <f t="shared" si="19"/>
        <v>3.7451905602746511E-3</v>
      </c>
      <c r="K71" s="2"/>
      <c r="L71" s="6">
        <f t="shared" si="20"/>
        <v>-36.150000000000006</v>
      </c>
      <c r="M71" s="2"/>
      <c r="N71" s="7">
        <f t="shared" si="21"/>
        <v>-0.14134897360703816</v>
      </c>
      <c r="O71" s="11"/>
      <c r="P71" s="6">
        <v>1789.27</v>
      </c>
      <c r="Q71" s="2"/>
      <c r="R71" s="7">
        <f t="shared" si="22"/>
        <v>5.3709135931616369E-4</v>
      </c>
      <c r="S71" s="2"/>
      <c r="T71" s="6">
        <v>2901.9</v>
      </c>
      <c r="U71" s="2"/>
      <c r="V71" s="7">
        <f t="shared" si="23"/>
        <v>7.4383545120221804E-4</v>
      </c>
      <c r="W71" s="2"/>
      <c r="X71" s="6">
        <f t="shared" si="24"/>
        <v>-1112.6300000000001</v>
      </c>
      <c r="Y71" s="2"/>
      <c r="Z71" s="7">
        <f t="shared" si="25"/>
        <v>-0.38341431475929566</v>
      </c>
    </row>
    <row r="72" spans="1:26" s="24" customFormat="1" hidden="1" outlineLevel="2" x14ac:dyDescent="0.25">
      <c r="A72" s="26"/>
      <c r="B72" s="11" t="str">
        <f>CONCATENATE("          ", "6118", " - ", "VACATION")</f>
        <v xml:space="preserve">          6118 - VACATION</v>
      </c>
      <c r="C72" s="11"/>
      <c r="D72" s="6">
        <v>1355.16</v>
      </c>
      <c r="E72" s="2"/>
      <c r="F72" s="7">
        <f t="shared" si="18"/>
        <v>3.5296094056240492E-2</v>
      </c>
      <c r="G72" s="2"/>
      <c r="H72" s="6">
        <v>1852.26</v>
      </c>
      <c r="I72" s="2"/>
      <c r="J72" s="7">
        <f t="shared" si="19"/>
        <v>2.7124405345745162E-2</v>
      </c>
      <c r="K72" s="2"/>
      <c r="L72" s="6">
        <f t="shared" si="20"/>
        <v>-497.09999999999991</v>
      </c>
      <c r="M72" s="2"/>
      <c r="N72" s="7">
        <f t="shared" si="21"/>
        <v>-0.2683748501830196</v>
      </c>
      <c r="O72" s="11"/>
      <c r="P72" s="6">
        <v>11998.22</v>
      </c>
      <c r="Q72" s="2"/>
      <c r="R72" s="7">
        <f t="shared" si="22"/>
        <v>3.601547161230212E-3</v>
      </c>
      <c r="S72" s="2"/>
      <c r="T72" s="6">
        <v>17367.009999999998</v>
      </c>
      <c r="U72" s="2"/>
      <c r="V72" s="7">
        <f t="shared" si="23"/>
        <v>4.4516343496962098E-3</v>
      </c>
      <c r="W72" s="2"/>
      <c r="X72" s="6">
        <f t="shared" si="24"/>
        <v>-5368.7899999999991</v>
      </c>
      <c r="Y72" s="2"/>
      <c r="Z72" s="7">
        <f t="shared" si="25"/>
        <v>-0.30913726657611179</v>
      </c>
    </row>
    <row r="73" spans="1:26" s="24" customFormat="1" hidden="1" outlineLevel="2" x14ac:dyDescent="0.25">
      <c r="A73" s="26"/>
      <c r="B73" s="11" t="str">
        <f>CONCATENATE("          ", "6119", " - ", "SICK LEAVE")</f>
        <v xml:space="preserve">          6119 - SICK LEAVE</v>
      </c>
      <c r="C73" s="11"/>
      <c r="D73" s="6">
        <v>944.6</v>
      </c>
      <c r="E73" s="2"/>
      <c r="F73" s="7">
        <f t="shared" si="18"/>
        <v>2.4602770481363653E-2</v>
      </c>
      <c r="G73" s="2"/>
      <c r="H73" s="6">
        <v>1406.94</v>
      </c>
      <c r="I73" s="2"/>
      <c r="J73" s="7">
        <f t="shared" si="19"/>
        <v>2.0603160926188926E-2</v>
      </c>
      <c r="K73" s="2"/>
      <c r="L73" s="6">
        <f t="shared" si="20"/>
        <v>-462.34000000000003</v>
      </c>
      <c r="M73" s="2"/>
      <c r="N73" s="7">
        <f t="shared" si="21"/>
        <v>-0.32861387123829022</v>
      </c>
      <c r="O73" s="11"/>
      <c r="P73" s="6">
        <v>12958.89</v>
      </c>
      <c r="Q73" s="2"/>
      <c r="R73" s="7">
        <f t="shared" si="22"/>
        <v>3.8899147950441468E-3</v>
      </c>
      <c r="S73" s="2"/>
      <c r="T73" s="6">
        <v>14409.69</v>
      </c>
      <c r="U73" s="2"/>
      <c r="V73" s="7">
        <f t="shared" si="23"/>
        <v>3.6935932536731413E-3</v>
      </c>
      <c r="W73" s="2"/>
      <c r="X73" s="6">
        <f t="shared" si="24"/>
        <v>-1450.8000000000011</v>
      </c>
      <c r="Y73" s="2"/>
      <c r="Z73" s="7">
        <f t="shared" si="25"/>
        <v>-0.10068224923645137</v>
      </c>
    </row>
    <row r="74" spans="1:26" s="24" customFormat="1" hidden="1" outlineLevel="2" x14ac:dyDescent="0.25">
      <c r="A74" s="26"/>
      <c r="B74" s="11" t="str">
        <f>CONCATENATE("          ", "6156", " - ", "EMPLOYEE MEALS")</f>
        <v xml:space="preserve">          6156 - EMPLOYEE MEALS</v>
      </c>
      <c r="C74" s="11"/>
      <c r="D74" s="6">
        <v>272.8</v>
      </c>
      <c r="E74" s="2"/>
      <c r="F74" s="7">
        <f t="shared" si="18"/>
        <v>7.1052676130806741E-3</v>
      </c>
      <c r="G74" s="2"/>
      <c r="H74" s="6">
        <v>726.73</v>
      </c>
      <c r="I74" s="2"/>
      <c r="J74" s="7">
        <f t="shared" si="19"/>
        <v>1.0642198771723939E-2</v>
      </c>
      <c r="K74" s="2"/>
      <c r="L74" s="6">
        <f t="shared" si="20"/>
        <v>-453.93</v>
      </c>
      <c r="M74" s="2"/>
      <c r="N74" s="7">
        <f t="shared" si="21"/>
        <v>-0.6246198725799128</v>
      </c>
      <c r="O74" s="11"/>
      <c r="P74" s="6">
        <v>6142.1</v>
      </c>
      <c r="Q74" s="2"/>
      <c r="R74" s="7">
        <f t="shared" si="22"/>
        <v>1.8436953830644951E-3</v>
      </c>
      <c r="S74" s="2"/>
      <c r="T74" s="6">
        <v>7751.19</v>
      </c>
      <c r="U74" s="2"/>
      <c r="V74" s="7">
        <f t="shared" si="23"/>
        <v>1.9868396261084531E-3</v>
      </c>
      <c r="W74" s="2"/>
      <c r="X74" s="6">
        <f t="shared" si="24"/>
        <v>-1609.0899999999992</v>
      </c>
      <c r="Y74" s="2"/>
      <c r="Z74" s="7">
        <f t="shared" si="25"/>
        <v>-0.20759264061389274</v>
      </c>
    </row>
    <row r="75" spans="1:26" s="27" customFormat="1" outlineLevel="1" collapsed="1" x14ac:dyDescent="0.25">
      <c r="A75" s="25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23297.91</v>
      </c>
      <c r="E75" s="1"/>
      <c r="F75" s="5">
        <f t="shared" ref="F75:F80" si="26">IF(D$12=0,0,D75/D$12)</f>
        <v>0.60681043026198078</v>
      </c>
      <c r="G75" s="1"/>
      <c r="H75" s="1">
        <f>SUM(OSRRefH22_1x_0)</f>
        <v>30975.88</v>
      </c>
      <c r="I75" s="1"/>
      <c r="J75" s="5">
        <f t="shared" ref="J75:J80" si="27">IF(H$12=0,0,H75/H$12)</f>
        <v>0.45360928004770423</v>
      </c>
      <c r="K75" s="1"/>
      <c r="L75" s="1">
        <f t="shared" ref="L75:L80" si="28">+D75-H75</f>
        <v>-7677.9700000000012</v>
      </c>
      <c r="M75" s="1"/>
      <c r="N75" s="5">
        <f t="shared" ref="N75:N80" si="29">IF(H75=0,0,L75/H75)</f>
        <v>-0.24786930992759532</v>
      </c>
      <c r="O75" s="13"/>
      <c r="P75" s="1">
        <f>SUM(OSRRefP22_1x_0)</f>
        <v>307286.41000000003</v>
      </c>
      <c r="Q75" s="1"/>
      <c r="R75" s="5">
        <f t="shared" ref="R75:R80" si="30">IF(P$12=0,0,P75/P$12)</f>
        <v>9.223922361984721E-2</v>
      </c>
      <c r="S75" s="1"/>
      <c r="T75" s="1">
        <f>SUM(OSRRefT22_1x_0)</f>
        <v>319825.62</v>
      </c>
      <c r="U75" s="1"/>
      <c r="V75" s="5">
        <f t="shared" ref="V75:V80" si="31">IF(T$12=0,0,T75/T$12)</f>
        <v>8.1979956014586686E-2</v>
      </c>
      <c r="W75" s="1"/>
      <c r="X75" s="1">
        <f t="shared" ref="X75:X80" si="32">+P75-T75</f>
        <v>-12539.209999999963</v>
      </c>
      <c r="Y75" s="1"/>
      <c r="Z75" s="5">
        <f t="shared" ref="Z75:Z80" si="33">IF(T75=0,0,X75/T75)</f>
        <v>-3.9206396285575755E-2</v>
      </c>
    </row>
    <row r="76" spans="1:26" s="24" customFormat="1" hidden="1" outlineLevel="2" x14ac:dyDescent="0.25">
      <c r="A76" s="26"/>
      <c r="B76" s="11" t="str">
        <f>CONCATENATE("          ", "6002", " - ", "STAFF SALARIES")</f>
        <v xml:space="preserve">          6002 - STAFF SALARIES</v>
      </c>
      <c r="C76" s="11"/>
      <c r="D76" s="6">
        <v>14586.65</v>
      </c>
      <c r="E76" s="2"/>
      <c r="F76" s="7">
        <f t="shared" si="26"/>
        <v>0.37991954482530499</v>
      </c>
      <c r="G76" s="2"/>
      <c r="H76" s="6">
        <v>15177.52</v>
      </c>
      <c r="I76" s="2"/>
      <c r="J76" s="7">
        <f t="shared" si="27"/>
        <v>0.22225886464273595</v>
      </c>
      <c r="K76" s="2"/>
      <c r="L76" s="6">
        <f t="shared" si="28"/>
        <v>-590.8700000000008</v>
      </c>
      <c r="M76" s="2"/>
      <c r="N76" s="7">
        <f t="shared" si="29"/>
        <v>-3.8930602628097395E-2</v>
      </c>
      <c r="O76" s="11"/>
      <c r="P76" s="6">
        <v>172008.78</v>
      </c>
      <c r="Q76" s="2"/>
      <c r="R76" s="7">
        <f t="shared" si="30"/>
        <v>5.1632469926011698E-2</v>
      </c>
      <c r="S76" s="2"/>
      <c r="T76" s="6">
        <v>152834.62</v>
      </c>
      <c r="U76" s="2"/>
      <c r="V76" s="7">
        <f t="shared" si="31"/>
        <v>3.9175646482311428E-2</v>
      </c>
      <c r="W76" s="2"/>
      <c r="X76" s="6">
        <f t="shared" si="32"/>
        <v>19174.160000000003</v>
      </c>
      <c r="Y76" s="2"/>
      <c r="Z76" s="7">
        <f t="shared" si="33"/>
        <v>0.1254569154554119</v>
      </c>
    </row>
    <row r="77" spans="1:26" s="24" customFormat="1" hidden="1" outlineLevel="2" x14ac:dyDescent="0.25">
      <c r="A77" s="26"/>
      <c r="B77" s="11" t="str">
        <f>CONCATENATE("          ", "6004", " - ", "STAFF HOURLY")</f>
        <v xml:space="preserve">          6004 - STAFF HOURLY</v>
      </c>
      <c r="C77" s="11"/>
      <c r="D77" s="6">
        <v>5396.64</v>
      </c>
      <c r="E77" s="2"/>
      <c r="F77" s="7">
        <f t="shared" si="26"/>
        <v>0.1405592793675062</v>
      </c>
      <c r="G77" s="2"/>
      <c r="H77" s="6">
        <v>8787.77</v>
      </c>
      <c r="I77" s="2"/>
      <c r="J77" s="7">
        <f t="shared" si="27"/>
        <v>0.12868767644130899</v>
      </c>
      <c r="K77" s="2"/>
      <c r="L77" s="6">
        <f t="shared" si="28"/>
        <v>-3391.13</v>
      </c>
      <c r="M77" s="2"/>
      <c r="N77" s="7">
        <f t="shared" si="29"/>
        <v>-0.38589198397318092</v>
      </c>
      <c r="O77" s="11"/>
      <c r="P77" s="6">
        <v>45627.8</v>
      </c>
      <c r="Q77" s="2"/>
      <c r="R77" s="7">
        <f t="shared" si="30"/>
        <v>1.3696254408002177E-2</v>
      </c>
      <c r="S77" s="2"/>
      <c r="T77" s="6">
        <v>68349.650000000009</v>
      </c>
      <c r="U77" s="2"/>
      <c r="V77" s="7">
        <f t="shared" si="31"/>
        <v>1.7519863795190629E-2</v>
      </c>
      <c r="W77" s="2"/>
      <c r="X77" s="6">
        <f t="shared" si="32"/>
        <v>-22721.850000000006</v>
      </c>
      <c r="Y77" s="2"/>
      <c r="Z77" s="7">
        <f t="shared" si="33"/>
        <v>-0.33243549893818042</v>
      </c>
    </row>
    <row r="78" spans="1:26" s="24" customFormat="1" hidden="1" outlineLevel="2" x14ac:dyDescent="0.25">
      <c r="A78" s="26"/>
      <c r="B78" s="11" t="str">
        <f>CONCATENATE("          ", "6005", " - ", "TEMPORARY WAGES-HOURLY")</f>
        <v xml:space="preserve">          6005 - TEMPORARY WAGES-HOURLY</v>
      </c>
      <c r="C78" s="11"/>
      <c r="D78" s="6">
        <v>218.74</v>
      </c>
      <c r="E78" s="2"/>
      <c r="F78" s="7">
        <f t="shared" si="26"/>
        <v>5.697236941661534E-3</v>
      </c>
      <c r="G78" s="2"/>
      <c r="H78" s="6">
        <v>2422.0700000000002</v>
      </c>
      <c r="I78" s="2"/>
      <c r="J78" s="7">
        <f t="shared" si="27"/>
        <v>3.5468675270085723E-2</v>
      </c>
      <c r="K78" s="2"/>
      <c r="L78" s="6">
        <f t="shared" si="28"/>
        <v>-2203.33</v>
      </c>
      <c r="M78" s="2"/>
      <c r="N78" s="7">
        <f t="shared" si="29"/>
        <v>-0.90968881989372719</v>
      </c>
      <c r="O78" s="11"/>
      <c r="P78" s="6">
        <v>24432.25</v>
      </c>
      <c r="Q78" s="2"/>
      <c r="R78" s="7">
        <f t="shared" si="30"/>
        <v>7.3339129162464803E-3</v>
      </c>
      <c r="S78" s="2"/>
      <c r="T78" s="6">
        <v>38477.24</v>
      </c>
      <c r="U78" s="2"/>
      <c r="V78" s="7">
        <f t="shared" si="31"/>
        <v>9.8627572198959398E-3</v>
      </c>
      <c r="W78" s="2"/>
      <c r="X78" s="6">
        <f t="shared" si="32"/>
        <v>-14044.989999999998</v>
      </c>
      <c r="Y78" s="2"/>
      <c r="Z78" s="7">
        <f t="shared" si="33"/>
        <v>-0.36502072393965884</v>
      </c>
    </row>
    <row r="79" spans="1:26" s="24" customFormat="1" hidden="1" outlineLevel="2" x14ac:dyDescent="0.25">
      <c r="A79" s="26"/>
      <c r="B79" s="11" t="str">
        <f>CONCATENATE("          ", "6006", " - ", "TEMPORARY PART TIME")</f>
        <v xml:space="preserve">          6006 - TEMPORARY PART TIME</v>
      </c>
      <c r="C79" s="11"/>
      <c r="D79" s="6">
        <v>1155.1199999999999</v>
      </c>
      <c r="E79" s="2"/>
      <c r="F79" s="7">
        <f t="shared" si="26"/>
        <v>3.0085911749346578E-2</v>
      </c>
      <c r="G79" s="2"/>
      <c r="H79" s="6"/>
      <c r="I79" s="2"/>
      <c r="J79" s="7">
        <f t="shared" si="27"/>
        <v>0</v>
      </c>
      <c r="K79" s="2"/>
      <c r="L79" s="6">
        <f t="shared" si="28"/>
        <v>1155.1199999999999</v>
      </c>
      <c r="M79" s="2"/>
      <c r="N79" s="7">
        <f t="shared" si="29"/>
        <v>0</v>
      </c>
      <c r="O79" s="11"/>
      <c r="P79" s="6">
        <v>5282.37</v>
      </c>
      <c r="Q79" s="2"/>
      <c r="R79" s="7">
        <f t="shared" si="30"/>
        <v>1.5856272578822221E-3</v>
      </c>
      <c r="S79" s="2"/>
      <c r="T79" s="6">
        <v>3834.31</v>
      </c>
      <c r="U79" s="2"/>
      <c r="V79" s="7">
        <f t="shared" si="31"/>
        <v>9.8283735101112259E-4</v>
      </c>
      <c r="W79" s="2"/>
      <c r="X79" s="6">
        <f t="shared" si="32"/>
        <v>1448.06</v>
      </c>
      <c r="Y79" s="2"/>
      <c r="Z79" s="7">
        <f t="shared" si="33"/>
        <v>0.37765856177513035</v>
      </c>
    </row>
    <row r="80" spans="1:26" s="24" customFormat="1" hidden="1" outlineLevel="2" x14ac:dyDescent="0.25">
      <c r="A80" s="26"/>
      <c r="B80" s="11" t="str">
        <f>CONCATENATE("          ", "6007", " - ", "STUDENT HOURLY")</f>
        <v xml:space="preserve">          6007 - STUDENT HOURLY</v>
      </c>
      <c r="C80" s="11"/>
      <c r="D80" s="6">
        <v>1940.76</v>
      </c>
      <c r="E80" s="2"/>
      <c r="F80" s="7">
        <f t="shared" si="26"/>
        <v>5.0548457378161465E-2</v>
      </c>
      <c r="G80" s="2"/>
      <c r="H80" s="6">
        <v>4588.5200000000004</v>
      </c>
      <c r="I80" s="2"/>
      <c r="J80" s="7">
        <f t="shared" si="27"/>
        <v>6.7194063693573586E-2</v>
      </c>
      <c r="K80" s="2"/>
      <c r="L80" s="6">
        <f t="shared" si="28"/>
        <v>-2647.76</v>
      </c>
      <c r="M80" s="2"/>
      <c r="N80" s="7">
        <f t="shared" si="29"/>
        <v>-0.57704009135843359</v>
      </c>
      <c r="O80" s="11"/>
      <c r="P80" s="6">
        <v>59935.21</v>
      </c>
      <c r="Q80" s="2"/>
      <c r="R80" s="7">
        <f t="shared" si="30"/>
        <v>1.7990959111704622E-2</v>
      </c>
      <c r="S80" s="2"/>
      <c r="T80" s="6">
        <v>56329.8</v>
      </c>
      <c r="U80" s="2"/>
      <c r="V80" s="7">
        <f t="shared" si="31"/>
        <v>1.4438851166177574E-2</v>
      </c>
      <c r="W80" s="2"/>
      <c r="X80" s="6">
        <f t="shared" si="32"/>
        <v>3605.4099999999962</v>
      </c>
      <c r="Y80" s="2"/>
      <c r="Z80" s="7">
        <f t="shared" si="33"/>
        <v>6.4005375485089527E-2</v>
      </c>
    </row>
    <row r="81" spans="1:26" s="27" customFormat="1" outlineLevel="1" collapsed="1" x14ac:dyDescent="0.25">
      <c r="A81" s="25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0</v>
      </c>
      <c r="E81" s="1"/>
      <c r="F81" s="5">
        <f t="shared" ref="F81:F85" si="34">IF(D$12=0,0,D81/D$12)</f>
        <v>0</v>
      </c>
      <c r="G81" s="1"/>
      <c r="H81" s="1">
        <f>SUM(OSRRefH22_2x_0)</f>
        <v>592.54</v>
      </c>
      <c r="I81" s="1"/>
      <c r="J81" s="5">
        <f t="shared" ref="J81:J85" si="35">IF(H$12=0,0,H81/H$12)</f>
        <v>8.677126938749332E-3</v>
      </c>
      <c r="K81" s="1"/>
      <c r="L81" s="1">
        <f t="shared" ref="L81:L85" si="36">+D81-H81</f>
        <v>-592.54</v>
      </c>
      <c r="M81" s="1"/>
      <c r="N81" s="5">
        <f t="shared" ref="N81:N85" si="37">IF(H81=0,0,L81/H81)</f>
        <v>-1</v>
      </c>
      <c r="O81" s="13"/>
      <c r="P81" s="1">
        <f>SUM(OSRRefP22_2x_0)</f>
        <v>3981.59</v>
      </c>
      <c r="Q81" s="1"/>
      <c r="R81" s="5">
        <f t="shared" ref="R81:R85" si="38">IF(P$12=0,0,P81/P$12)</f>
        <v>1.1951676300053342E-3</v>
      </c>
      <c r="S81" s="1"/>
      <c r="T81" s="1">
        <f>SUM(OSRRefT22_2x_0)</f>
        <v>6422.08</v>
      </c>
      <c r="U81" s="1"/>
      <c r="V81" s="5">
        <f t="shared" ref="V81:V85" si="39">IF(T$12=0,0,T81/T$12)</f>
        <v>1.6461527876414556E-3</v>
      </c>
      <c r="W81" s="1"/>
      <c r="X81" s="1">
        <f t="shared" ref="X81:X85" si="40">+P81-T81</f>
        <v>-2440.4899999999998</v>
      </c>
      <c r="Y81" s="1"/>
      <c r="Z81" s="5">
        <f t="shared" ref="Z81:Z85" si="41">IF(T81=0,0,X81/T81)</f>
        <v>-0.3800155089939708</v>
      </c>
    </row>
    <row r="82" spans="1:26" s="24" customFormat="1" hidden="1" outlineLevel="2" x14ac:dyDescent="0.25">
      <c r="A82" s="26"/>
      <c r="B82" s="11" t="str">
        <f>CONCATENATE("          ", "6362", " - ", "ADVERTISING EXPENSE")</f>
        <v xml:space="preserve">          6362 - ADVERTISING EXPENSE</v>
      </c>
      <c r="C82" s="11"/>
      <c r="D82" s="6"/>
      <c r="E82" s="2"/>
      <c r="F82" s="7">
        <f t="shared" si="34"/>
        <v>0</v>
      </c>
      <c r="G82" s="2"/>
      <c r="H82" s="6">
        <v>592.54</v>
      </c>
      <c r="I82" s="2"/>
      <c r="J82" s="7">
        <f t="shared" si="35"/>
        <v>8.677126938749332E-3</v>
      </c>
      <c r="K82" s="2"/>
      <c r="L82" s="6">
        <f t="shared" si="36"/>
        <v>-592.54</v>
      </c>
      <c r="M82" s="2"/>
      <c r="N82" s="7">
        <f t="shared" si="37"/>
        <v>-1</v>
      </c>
      <c r="O82" s="11"/>
      <c r="P82" s="6">
        <v>3981.59</v>
      </c>
      <c r="Q82" s="2"/>
      <c r="R82" s="7">
        <f t="shared" si="38"/>
        <v>1.1951676300053342E-3</v>
      </c>
      <c r="S82" s="2"/>
      <c r="T82" s="6">
        <v>6422.08</v>
      </c>
      <c r="U82" s="2"/>
      <c r="V82" s="7">
        <f t="shared" si="39"/>
        <v>1.6461527876414556E-3</v>
      </c>
      <c r="W82" s="2"/>
      <c r="X82" s="6">
        <f t="shared" si="40"/>
        <v>-2440.4899999999998</v>
      </c>
      <c r="Y82" s="2"/>
      <c r="Z82" s="7">
        <f t="shared" si="41"/>
        <v>-0.3800155089939708</v>
      </c>
    </row>
    <row r="83" spans="1:26" s="27" customFormat="1" outlineLevel="1" collapsed="1" x14ac:dyDescent="0.25">
      <c r="A83" s="25"/>
      <c r="B83" s="13" t="str">
        <f>CONCATENATE("     ","Discounts and Markdowns                           ")</f>
        <v xml:space="preserve">     Discounts and Markdowns                           </v>
      </c>
      <c r="C83" s="13"/>
      <c r="D83" s="1">
        <f>SUM(OSRRefD22_3x_0)</f>
        <v>286.66000000000003</v>
      </c>
      <c r="E83" s="1"/>
      <c r="F83" s="5">
        <f t="shared" si="34"/>
        <v>7.4662610482613854E-3</v>
      </c>
      <c r="G83" s="1"/>
      <c r="H83" s="1">
        <f>SUM(OSRRefH22_3x_0)</f>
        <v>3474.41</v>
      </c>
      <c r="I83" s="1"/>
      <c r="J83" s="5">
        <f t="shared" si="35"/>
        <v>5.0879091044081524E-2</v>
      </c>
      <c r="K83" s="1"/>
      <c r="L83" s="1">
        <f t="shared" si="36"/>
        <v>-3187.75</v>
      </c>
      <c r="M83" s="1"/>
      <c r="N83" s="5">
        <f t="shared" si="37"/>
        <v>-0.91749390544006038</v>
      </c>
      <c r="O83" s="13"/>
      <c r="P83" s="1">
        <f>SUM(OSRRefP22_3x_0)</f>
        <v>307.76</v>
      </c>
      <c r="Q83" s="1"/>
      <c r="R83" s="5">
        <f t="shared" si="38"/>
        <v>9.2381382766794574E-5</v>
      </c>
      <c r="S83" s="1"/>
      <c r="T83" s="1">
        <f>SUM(OSRRefT22_3x_0)</f>
        <v>32969.780000000006</v>
      </c>
      <c r="U83" s="1"/>
      <c r="V83" s="5">
        <f t="shared" si="39"/>
        <v>8.4510462739370296E-3</v>
      </c>
      <c r="W83" s="1"/>
      <c r="X83" s="1">
        <f t="shared" si="40"/>
        <v>-32662.020000000008</v>
      </c>
      <c r="Y83" s="1"/>
      <c r="Z83" s="5">
        <f t="shared" si="41"/>
        <v>-0.99066539115517305</v>
      </c>
    </row>
    <row r="84" spans="1:26" s="24" customFormat="1" hidden="1" outlineLevel="2" x14ac:dyDescent="0.25">
      <c r="A84" s="26"/>
      <c r="B84" s="11" t="str">
        <f>CONCATENATE("          ", "6382", " - ", "DISCOUNTS/MARK DOWNS")</f>
        <v xml:space="preserve">          6382 - DISCOUNTS/MARK DOWNS</v>
      </c>
      <c r="C84" s="11"/>
      <c r="D84" s="6">
        <v>286.66000000000003</v>
      </c>
      <c r="E84" s="2"/>
      <c r="F84" s="7">
        <f t="shared" si="34"/>
        <v>7.4662610482613854E-3</v>
      </c>
      <c r="G84" s="2"/>
      <c r="H84" s="6">
        <v>3470.35</v>
      </c>
      <c r="I84" s="2"/>
      <c r="J84" s="7">
        <f t="shared" si="35"/>
        <v>5.0819636601560643E-2</v>
      </c>
      <c r="K84" s="2"/>
      <c r="L84" s="6">
        <f t="shared" si="36"/>
        <v>-3183.69</v>
      </c>
      <c r="M84" s="2"/>
      <c r="N84" s="7">
        <f t="shared" si="37"/>
        <v>-0.91739738066765608</v>
      </c>
      <c r="O84" s="11"/>
      <c r="P84" s="6">
        <v>760.03</v>
      </c>
      <c r="Q84" s="2"/>
      <c r="R84" s="7">
        <f t="shared" si="38"/>
        <v>2.2814083163584249E-4</v>
      </c>
      <c r="S84" s="2"/>
      <c r="T84" s="6">
        <v>33180.140000000007</v>
      </c>
      <c r="U84" s="2"/>
      <c r="V84" s="7">
        <f t="shared" si="39"/>
        <v>8.5049672310736988E-3</v>
      </c>
      <c r="W84" s="2"/>
      <c r="X84" s="6">
        <f t="shared" si="40"/>
        <v>-32420.110000000008</v>
      </c>
      <c r="Y84" s="2"/>
      <c r="Z84" s="7">
        <f t="shared" si="41"/>
        <v>-0.977093827813867</v>
      </c>
    </row>
    <row r="85" spans="1:26" s="24" customFormat="1" hidden="1" outlineLevel="2" x14ac:dyDescent="0.25">
      <c r="A85" s="26"/>
      <c r="B85" s="11" t="str">
        <f>CONCATENATE("          ", "9175", " - ", "EARNED DISCOUNTS")</f>
        <v xml:space="preserve">          9175 - EARNED DISCOUNTS</v>
      </c>
      <c r="C85" s="11"/>
      <c r="D85" s="6"/>
      <c r="E85" s="2"/>
      <c r="F85" s="7">
        <f t="shared" si="34"/>
        <v>0</v>
      </c>
      <c r="G85" s="2"/>
      <c r="H85" s="6">
        <v>4.0599999999999996</v>
      </c>
      <c r="I85" s="2"/>
      <c r="J85" s="7">
        <f t="shared" si="35"/>
        <v>5.9454442520880085E-5</v>
      </c>
      <c r="K85" s="2"/>
      <c r="L85" s="6">
        <f t="shared" si="36"/>
        <v>-4.0599999999999996</v>
      </c>
      <c r="M85" s="2"/>
      <c r="N85" s="7">
        <f t="shared" si="37"/>
        <v>-1</v>
      </c>
      <c r="O85" s="11"/>
      <c r="P85" s="6">
        <v>-452.27</v>
      </c>
      <c r="Q85" s="2"/>
      <c r="R85" s="7">
        <f t="shared" si="38"/>
        <v>-1.3575944886904791E-4</v>
      </c>
      <c r="S85" s="2"/>
      <c r="T85" s="6">
        <v>-210.36</v>
      </c>
      <c r="U85" s="2"/>
      <c r="V85" s="7">
        <f t="shared" si="39"/>
        <v>-5.3920957136668593E-5</v>
      </c>
      <c r="W85" s="2"/>
      <c r="X85" s="6">
        <f t="shared" si="40"/>
        <v>-241.90999999999997</v>
      </c>
      <c r="Y85" s="2"/>
      <c r="Z85" s="7">
        <f t="shared" si="41"/>
        <v>1.1499809849781324</v>
      </c>
    </row>
    <row r="86" spans="1:26" s="27" customFormat="1" outlineLevel="1" collapsed="1" x14ac:dyDescent="0.25">
      <c r="A86" s="25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SUM(OSRRefD22_4x_0)</f>
        <v>0</v>
      </c>
      <c r="E86" s="1"/>
      <c r="F86" s="5">
        <f t="shared" ref="F86:F92" si="42">IF(D$12=0,0,D86/D$12)</f>
        <v>0</v>
      </c>
      <c r="G86" s="1"/>
      <c r="H86" s="1">
        <f>SUM(OSRRefH22_4x_0)</f>
        <v>0</v>
      </c>
      <c r="I86" s="1"/>
      <c r="J86" s="5">
        <f t="shared" ref="J86:J92" si="43">IF(H$12=0,0,H86/H$12)</f>
        <v>0</v>
      </c>
      <c r="K86" s="1"/>
      <c r="L86" s="1">
        <f t="shared" ref="L86:L92" si="44">+D86-H86</f>
        <v>0</v>
      </c>
      <c r="M86" s="1"/>
      <c r="N86" s="5">
        <f t="shared" ref="N86:N92" si="45">IF(H86=0,0,L86/H86)</f>
        <v>0</v>
      </c>
      <c r="O86" s="13"/>
      <c r="P86" s="1">
        <f>SUM(OSRRefP22_4x_0)</f>
        <v>120.18</v>
      </c>
      <c r="Q86" s="1"/>
      <c r="R86" s="5">
        <f t="shared" ref="R86:R92" si="46">IF(P$12=0,0,P86/P$12)</f>
        <v>3.6074845921865651E-5</v>
      </c>
      <c r="S86" s="1"/>
      <c r="T86" s="1">
        <f>SUM(OSRRefT22_4x_0)</f>
        <v>499.97</v>
      </c>
      <c r="U86" s="1"/>
      <c r="V86" s="5">
        <f t="shared" ref="V86:V92" si="47">IF(T$12=0,0,T86/T$12)</f>
        <v>1.2815583257092696E-4</v>
      </c>
      <c r="W86" s="1"/>
      <c r="X86" s="1">
        <f t="shared" ref="X86:X92" si="48">+P86-T86</f>
        <v>-379.79</v>
      </c>
      <c r="Y86" s="1"/>
      <c r="Z86" s="5">
        <f t="shared" ref="Z86:Z92" si="49">IF(T86=0,0,X86/T86)</f>
        <v>-0.7596255775346521</v>
      </c>
    </row>
    <row r="87" spans="1:26" s="24" customFormat="1" hidden="1" outlineLevel="2" x14ac:dyDescent="0.25">
      <c r="A87" s="26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42"/>
        <v>0</v>
      </c>
      <c r="G87" s="2"/>
      <c r="H87" s="6"/>
      <c r="I87" s="2"/>
      <c r="J87" s="7">
        <f t="shared" si="43"/>
        <v>0</v>
      </c>
      <c r="K87" s="2"/>
      <c r="L87" s="6">
        <f t="shared" si="44"/>
        <v>0</v>
      </c>
      <c r="M87" s="2"/>
      <c r="N87" s="7">
        <f t="shared" si="45"/>
        <v>0</v>
      </c>
      <c r="O87" s="11"/>
      <c r="P87" s="6">
        <v>120.18</v>
      </c>
      <c r="Q87" s="2"/>
      <c r="R87" s="7">
        <f t="shared" si="46"/>
        <v>3.6074845921865651E-5</v>
      </c>
      <c r="S87" s="2"/>
      <c r="T87" s="6">
        <v>499.97</v>
      </c>
      <c r="U87" s="2"/>
      <c r="V87" s="7">
        <f t="shared" si="47"/>
        <v>1.2815583257092696E-4</v>
      </c>
      <c r="W87" s="2"/>
      <c r="X87" s="6">
        <f t="shared" si="48"/>
        <v>-379.79</v>
      </c>
      <c r="Y87" s="2"/>
      <c r="Z87" s="7">
        <f t="shared" si="49"/>
        <v>-0.7596255775346521</v>
      </c>
    </row>
    <row r="88" spans="1:26" s="27" customFormat="1" outlineLevel="1" collapsed="1" x14ac:dyDescent="0.25">
      <c r="A88" s="25"/>
      <c r="B88" s="13" t="str">
        <f>CONCATENATE("     ","Equipment Rental                                  ")</f>
        <v xml:space="preserve">     Equipment Rental                                  </v>
      </c>
      <c r="C88" s="13"/>
      <c r="D88" s="1">
        <f>SUM(OSRRefD22_5x_0)</f>
        <v>91.26</v>
      </c>
      <c r="E88" s="1"/>
      <c r="F88" s="5">
        <f t="shared" si="42"/>
        <v>2.3769308004755949E-3</v>
      </c>
      <c r="G88" s="1"/>
      <c r="H88" s="1">
        <f>SUM(OSRRefH22_5x_0)</f>
        <v>91.26</v>
      </c>
      <c r="I88" s="1"/>
      <c r="J88" s="5">
        <f t="shared" si="43"/>
        <v>1.3364070010974181E-3</v>
      </c>
      <c r="K88" s="1"/>
      <c r="L88" s="1">
        <f t="shared" si="44"/>
        <v>0</v>
      </c>
      <c r="M88" s="1"/>
      <c r="N88" s="5">
        <f t="shared" si="45"/>
        <v>0</v>
      </c>
      <c r="O88" s="13"/>
      <c r="P88" s="1">
        <f>SUM(OSRRefP22_5x_0)</f>
        <v>1003.86</v>
      </c>
      <c r="Q88" s="1"/>
      <c r="R88" s="5">
        <f t="shared" si="46"/>
        <v>3.0133212537131014E-4</v>
      </c>
      <c r="S88" s="1"/>
      <c r="T88" s="1">
        <f>SUM(OSRRefT22_5x_0)</f>
        <v>1003.86</v>
      </c>
      <c r="U88" s="1"/>
      <c r="V88" s="5">
        <f t="shared" si="47"/>
        <v>2.5731646715733089E-4</v>
      </c>
      <c r="W88" s="1"/>
      <c r="X88" s="1">
        <f t="shared" si="48"/>
        <v>0</v>
      </c>
      <c r="Y88" s="1"/>
      <c r="Z88" s="5">
        <f t="shared" si="49"/>
        <v>0</v>
      </c>
    </row>
    <row r="89" spans="1:26" s="24" customFormat="1" hidden="1" outlineLevel="2" x14ac:dyDescent="0.25">
      <c r="A89" s="26"/>
      <c r="B89" s="11" t="str">
        <f>CONCATENATE("          ", "6351", " - ", "EQUIPMENT RENTAL")</f>
        <v xml:space="preserve">          6351 - EQUIPMENT RENTAL</v>
      </c>
      <c r="C89" s="11"/>
      <c r="D89" s="6">
        <v>91.26</v>
      </c>
      <c r="E89" s="2"/>
      <c r="F89" s="7">
        <f t="shared" si="42"/>
        <v>2.3769308004755949E-3</v>
      </c>
      <c r="G89" s="2"/>
      <c r="H89" s="6">
        <v>91.26</v>
      </c>
      <c r="I89" s="2"/>
      <c r="J89" s="7">
        <f t="shared" si="43"/>
        <v>1.3364070010974181E-3</v>
      </c>
      <c r="K89" s="2"/>
      <c r="L89" s="6">
        <f t="shared" si="44"/>
        <v>0</v>
      </c>
      <c r="M89" s="2"/>
      <c r="N89" s="7">
        <f t="shared" si="45"/>
        <v>0</v>
      </c>
      <c r="O89" s="11"/>
      <c r="P89" s="6">
        <v>1003.86</v>
      </c>
      <c r="Q89" s="2"/>
      <c r="R89" s="7">
        <f t="shared" si="46"/>
        <v>3.0133212537131014E-4</v>
      </c>
      <c r="S89" s="2"/>
      <c r="T89" s="6">
        <v>1003.86</v>
      </c>
      <c r="U89" s="2"/>
      <c r="V89" s="7">
        <f t="shared" si="47"/>
        <v>2.5731646715733089E-4</v>
      </c>
      <c r="W89" s="2"/>
      <c r="X89" s="6">
        <f t="shared" si="48"/>
        <v>0</v>
      </c>
      <c r="Y89" s="2"/>
      <c r="Z89" s="7">
        <f t="shared" si="49"/>
        <v>0</v>
      </c>
    </row>
    <row r="90" spans="1:26" s="27" customFormat="1" outlineLevel="1" collapsed="1" x14ac:dyDescent="0.25">
      <c r="A90" s="25"/>
      <c r="B90" s="13" t="str">
        <f>CONCATENATE("     ","Freight out/Postage                               ")</f>
        <v xml:space="preserve">     Freight out/Postage                               </v>
      </c>
      <c r="C90" s="13"/>
      <c r="D90" s="1">
        <f>SUM(OSRRefD22_6x_0)</f>
        <v>1082.96</v>
      </c>
      <c r="E90" s="1"/>
      <c r="F90" s="5">
        <f t="shared" si="42"/>
        <v>2.820645386459621E-2</v>
      </c>
      <c r="G90" s="1"/>
      <c r="H90" s="1">
        <f>SUM(OSRRefH22_6x_0)</f>
        <v>53.11</v>
      </c>
      <c r="I90" s="1"/>
      <c r="J90" s="5">
        <f t="shared" si="43"/>
        <v>7.7774025672018262E-4</v>
      </c>
      <c r="K90" s="1"/>
      <c r="L90" s="1">
        <f t="shared" si="44"/>
        <v>1029.8500000000001</v>
      </c>
      <c r="M90" s="1"/>
      <c r="N90" s="5">
        <f t="shared" si="45"/>
        <v>19.390886838636796</v>
      </c>
      <c r="O90" s="13"/>
      <c r="P90" s="1">
        <f>SUM(OSRRefP22_6x_0)</f>
        <v>23849.200000000001</v>
      </c>
      <c r="Q90" s="1"/>
      <c r="R90" s="5">
        <f t="shared" si="46"/>
        <v>7.1588967828237499E-3</v>
      </c>
      <c r="S90" s="1"/>
      <c r="T90" s="1">
        <f>SUM(OSRRefT22_6x_0)</f>
        <v>28459.010000000002</v>
      </c>
      <c r="U90" s="1"/>
      <c r="V90" s="5">
        <f t="shared" si="47"/>
        <v>7.2948139302244858E-3</v>
      </c>
      <c r="W90" s="1"/>
      <c r="X90" s="1">
        <f t="shared" si="48"/>
        <v>-4609.8100000000013</v>
      </c>
      <c r="Y90" s="1"/>
      <c r="Z90" s="5">
        <f t="shared" si="49"/>
        <v>-0.16198068731132956</v>
      </c>
    </row>
    <row r="91" spans="1:26" s="24" customFormat="1" hidden="1" outlineLevel="2" x14ac:dyDescent="0.25">
      <c r="A91" s="26"/>
      <c r="B91" s="11" t="str">
        <f>CONCATENATE("          ", "6305", " - ", "FREIGHT OUT")</f>
        <v xml:space="preserve">          6305 - FREIGHT OUT</v>
      </c>
      <c r="C91" s="11"/>
      <c r="D91" s="6">
        <v>1082.96</v>
      </c>
      <c r="E91" s="2"/>
      <c r="F91" s="7">
        <f t="shared" si="42"/>
        <v>2.820645386459621E-2</v>
      </c>
      <c r="G91" s="2"/>
      <c r="H91" s="6">
        <v>53.11</v>
      </c>
      <c r="I91" s="2"/>
      <c r="J91" s="7">
        <f t="shared" si="43"/>
        <v>7.7774025672018262E-4</v>
      </c>
      <c r="K91" s="2"/>
      <c r="L91" s="6">
        <f t="shared" si="44"/>
        <v>1029.8500000000001</v>
      </c>
      <c r="M91" s="2"/>
      <c r="N91" s="7">
        <f t="shared" si="45"/>
        <v>19.390886838636796</v>
      </c>
      <c r="O91" s="11"/>
      <c r="P91" s="6">
        <v>23847.25</v>
      </c>
      <c r="Q91" s="2"/>
      <c r="R91" s="7">
        <f t="shared" si="46"/>
        <v>7.1583114445848781E-3</v>
      </c>
      <c r="S91" s="2"/>
      <c r="T91" s="6">
        <v>28454.22</v>
      </c>
      <c r="U91" s="2"/>
      <c r="V91" s="7">
        <f t="shared" si="47"/>
        <v>7.2935861236800631E-3</v>
      </c>
      <c r="W91" s="2"/>
      <c r="X91" s="6">
        <f t="shared" si="48"/>
        <v>-4606.9700000000012</v>
      </c>
      <c r="Y91" s="2"/>
      <c r="Z91" s="7">
        <f t="shared" si="49"/>
        <v>-0.16190814578645982</v>
      </c>
    </row>
    <row r="92" spans="1:26" s="24" customFormat="1" hidden="1" outlineLevel="2" x14ac:dyDescent="0.25">
      <c r="A92" s="26"/>
      <c r="B92" s="11" t="str">
        <f>CONCATENATE("          ", "6307", " - ", "POSTAGE")</f>
        <v xml:space="preserve">          6307 - POSTAGE</v>
      </c>
      <c r="C92" s="11"/>
      <c r="D92" s="6"/>
      <c r="E92" s="2"/>
      <c r="F92" s="7">
        <f t="shared" si="42"/>
        <v>0</v>
      </c>
      <c r="G92" s="2"/>
      <c r="H92" s="6"/>
      <c r="I92" s="2"/>
      <c r="J92" s="7">
        <f t="shared" si="43"/>
        <v>0</v>
      </c>
      <c r="K92" s="2"/>
      <c r="L92" s="6">
        <f t="shared" si="44"/>
        <v>0</v>
      </c>
      <c r="M92" s="2"/>
      <c r="N92" s="7">
        <f t="shared" si="45"/>
        <v>0</v>
      </c>
      <c r="O92" s="11"/>
      <c r="P92" s="6">
        <v>1.95</v>
      </c>
      <c r="Q92" s="2"/>
      <c r="R92" s="7">
        <f t="shared" si="46"/>
        <v>5.8533823887200881E-7</v>
      </c>
      <c r="S92" s="2"/>
      <c r="T92" s="6">
        <v>4.79</v>
      </c>
      <c r="U92" s="2"/>
      <c r="V92" s="7">
        <f t="shared" si="47"/>
        <v>1.2278065444221455E-6</v>
      </c>
      <c r="W92" s="2"/>
      <c r="X92" s="6">
        <f t="shared" si="48"/>
        <v>-2.84</v>
      </c>
      <c r="Y92" s="2"/>
      <c r="Z92" s="7">
        <f t="shared" si="49"/>
        <v>-0.59290187891440493</v>
      </c>
    </row>
    <row r="93" spans="1:26" s="27" customFormat="1" outlineLevel="1" collapsed="1" x14ac:dyDescent="0.25">
      <c r="A93" s="25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SUM(OSRRefD22_7x_0)</f>
        <v>0</v>
      </c>
      <c r="E93" s="1"/>
      <c r="F93" s="5">
        <f t="shared" ref="F93:F100" si="50">IF(D$12=0,0,D93/D$12)</f>
        <v>0</v>
      </c>
      <c r="G93" s="1"/>
      <c r="H93" s="1">
        <f>SUM(OSRRefH22_7x_0)</f>
        <v>0</v>
      </c>
      <c r="I93" s="1"/>
      <c r="J93" s="5">
        <f t="shared" ref="J93:J100" si="51">IF(H$12=0,0,H93/H$12)</f>
        <v>0</v>
      </c>
      <c r="K93" s="1"/>
      <c r="L93" s="1">
        <f t="shared" ref="L93:L100" si="52">+D93-H93</f>
        <v>0</v>
      </c>
      <c r="M93" s="1"/>
      <c r="N93" s="5">
        <f t="shared" ref="N93:N100" si="53">IF(H93=0,0,L93/H93)</f>
        <v>0</v>
      </c>
      <c r="O93" s="13"/>
      <c r="P93" s="1">
        <f>SUM(OSRRefP22_7x_0)</f>
        <v>7593.03</v>
      </c>
      <c r="Q93" s="1"/>
      <c r="R93" s="5">
        <f t="shared" ref="R93:R100" si="54">IF(P$12=0,0,P93/P$12)</f>
        <v>2.2792260553345278E-3</v>
      </c>
      <c r="S93" s="1"/>
      <c r="T93" s="1">
        <f>SUM(OSRRefT22_7x_0)</f>
        <v>21707.11</v>
      </c>
      <c r="U93" s="1"/>
      <c r="V93" s="5">
        <f t="shared" ref="V93:V100" si="55">IF(T$12=0,0,T93/T$12)</f>
        <v>5.5641193566787891E-3</v>
      </c>
      <c r="W93" s="1"/>
      <c r="X93" s="1">
        <f t="shared" ref="X93:X100" si="56">+P93-T93</f>
        <v>-14114.080000000002</v>
      </c>
      <c r="Y93" s="1"/>
      <c r="Z93" s="5">
        <f t="shared" ref="Z93:Z100" si="57">IF(T93=0,0,X93/T93)</f>
        <v>-0.65020539353234963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6"/>
      <c r="E94" s="2"/>
      <c r="F94" s="7">
        <f t="shared" si="50"/>
        <v>0</v>
      </c>
      <c r="G94" s="2"/>
      <c r="H94" s="6"/>
      <c r="I94" s="2"/>
      <c r="J94" s="7">
        <f t="shared" si="51"/>
        <v>0</v>
      </c>
      <c r="K94" s="2"/>
      <c r="L94" s="6">
        <f t="shared" si="52"/>
        <v>0</v>
      </c>
      <c r="M94" s="2"/>
      <c r="N94" s="7">
        <f t="shared" si="53"/>
        <v>0</v>
      </c>
      <c r="O94" s="11"/>
      <c r="P94" s="6">
        <v>7593.03</v>
      </c>
      <c r="Q94" s="2"/>
      <c r="R94" s="7">
        <f t="shared" si="54"/>
        <v>2.2792260553345278E-3</v>
      </c>
      <c r="S94" s="2"/>
      <c r="T94" s="6">
        <v>21707.11</v>
      </c>
      <c r="U94" s="2"/>
      <c r="V94" s="7">
        <f t="shared" si="55"/>
        <v>5.5641193566787891E-3</v>
      </c>
      <c r="W94" s="2"/>
      <c r="X94" s="6">
        <f t="shared" si="56"/>
        <v>-14114.080000000002</v>
      </c>
      <c r="Y94" s="2"/>
      <c r="Z94" s="7">
        <f t="shared" si="57"/>
        <v>-0.65020539353234963</v>
      </c>
    </row>
    <row r="95" spans="1:26" s="27" customFormat="1" outlineLevel="1" collapsed="1" x14ac:dyDescent="0.25">
      <c r="A95" s="25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SUM(OSRRefD22_8x_0)</f>
        <v>1000</v>
      </c>
      <c r="E95" s="1"/>
      <c r="F95" s="5">
        <f t="shared" si="50"/>
        <v>2.604570239399074E-2</v>
      </c>
      <c r="G95" s="1"/>
      <c r="H95" s="1">
        <f>SUM(OSRRefH22_8x_0)</f>
        <v>6950</v>
      </c>
      <c r="I95" s="1"/>
      <c r="J95" s="5">
        <f t="shared" si="51"/>
        <v>0.10177546195076764</v>
      </c>
      <c r="K95" s="1"/>
      <c r="L95" s="1">
        <f t="shared" si="52"/>
        <v>-5950</v>
      </c>
      <c r="M95" s="1"/>
      <c r="N95" s="5">
        <f t="shared" si="53"/>
        <v>-0.85611510791366907</v>
      </c>
      <c r="O95" s="13"/>
      <c r="P95" s="1">
        <f>SUM(OSRRefP22_8x_0)</f>
        <v>16800</v>
      </c>
      <c r="Q95" s="1"/>
      <c r="R95" s="5">
        <f t="shared" si="54"/>
        <v>5.0429140579742295E-3</v>
      </c>
      <c r="S95" s="1"/>
      <c r="T95" s="1">
        <f>SUM(OSRRefT22_8x_0)</f>
        <v>76450</v>
      </c>
      <c r="U95" s="1"/>
      <c r="V95" s="5">
        <f t="shared" si="55"/>
        <v>1.9596202572249068E-2</v>
      </c>
      <c r="W95" s="1"/>
      <c r="X95" s="1">
        <f t="shared" si="56"/>
        <v>-59650</v>
      </c>
      <c r="Y95" s="1"/>
      <c r="Z95" s="5">
        <f t="shared" si="57"/>
        <v>-0.78024852844996728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6">
        <v>1000</v>
      </c>
      <c r="E96" s="2"/>
      <c r="F96" s="7">
        <f t="shared" si="50"/>
        <v>2.604570239399074E-2</v>
      </c>
      <c r="G96" s="2"/>
      <c r="H96" s="6">
        <v>6950</v>
      </c>
      <c r="I96" s="2"/>
      <c r="J96" s="7">
        <f t="shared" si="51"/>
        <v>0.10177546195076764</v>
      </c>
      <c r="K96" s="2"/>
      <c r="L96" s="6">
        <f t="shared" si="52"/>
        <v>-5950</v>
      </c>
      <c r="M96" s="2"/>
      <c r="N96" s="7">
        <f t="shared" si="53"/>
        <v>-0.85611510791366907</v>
      </c>
      <c r="O96" s="11"/>
      <c r="P96" s="6">
        <v>16800</v>
      </c>
      <c r="Q96" s="2"/>
      <c r="R96" s="7">
        <f t="shared" si="54"/>
        <v>5.0429140579742295E-3</v>
      </c>
      <c r="S96" s="2"/>
      <c r="T96" s="6">
        <v>76450</v>
      </c>
      <c r="U96" s="2"/>
      <c r="V96" s="7">
        <f t="shared" si="55"/>
        <v>1.9596202572249068E-2</v>
      </c>
      <c r="W96" s="2"/>
      <c r="X96" s="6">
        <f t="shared" si="56"/>
        <v>-59650</v>
      </c>
      <c r="Y96" s="2"/>
      <c r="Z96" s="7">
        <f t="shared" si="57"/>
        <v>-0.78024852844996728</v>
      </c>
    </row>
    <row r="97" spans="1:26" s="27" customFormat="1" outlineLevel="1" collapsed="1" x14ac:dyDescent="0.25">
      <c r="A97" s="25"/>
      <c r="B97" s="13" t="str">
        <f>CONCATENATE("     ","Repair and Maintenance                            ")</f>
        <v xml:space="preserve">     Repair and Maintenance                            </v>
      </c>
      <c r="C97" s="13"/>
      <c r="D97" s="1">
        <f>SUM(OSRRefD22_9x_0)</f>
        <v>45.72</v>
      </c>
      <c r="E97" s="1"/>
      <c r="F97" s="5">
        <f t="shared" si="50"/>
        <v>1.1908095134532566E-3</v>
      </c>
      <c r="G97" s="1"/>
      <c r="H97" s="1">
        <f>SUM(OSRRefH22_9x_0)</f>
        <v>13235.28</v>
      </c>
      <c r="I97" s="1"/>
      <c r="J97" s="5">
        <f t="shared" si="51"/>
        <v>0.19381679655363396</v>
      </c>
      <c r="K97" s="1"/>
      <c r="L97" s="1">
        <f t="shared" si="52"/>
        <v>-13189.560000000001</v>
      </c>
      <c r="M97" s="1"/>
      <c r="N97" s="5">
        <f t="shared" si="53"/>
        <v>-0.99654559631530282</v>
      </c>
      <c r="O97" s="13"/>
      <c r="P97" s="1">
        <f>SUM(OSRRefP22_9x_0)</f>
        <v>288.17</v>
      </c>
      <c r="Q97" s="1"/>
      <c r="R97" s="5">
        <f t="shared" si="54"/>
        <v>8.6500984767049632E-5</v>
      </c>
      <c r="S97" s="1"/>
      <c r="T97" s="1">
        <f>SUM(OSRRefT22_9x_0)</f>
        <v>8516.5400000000009</v>
      </c>
      <c r="U97" s="1"/>
      <c r="V97" s="5">
        <f t="shared" si="55"/>
        <v>2.1830195298189938E-3</v>
      </c>
      <c r="W97" s="1"/>
      <c r="X97" s="1">
        <f t="shared" si="56"/>
        <v>-8228.3700000000008</v>
      </c>
      <c r="Y97" s="1"/>
      <c r="Z97" s="5">
        <f t="shared" si="57"/>
        <v>-0.96616348892860249</v>
      </c>
    </row>
    <row r="98" spans="1:26" s="24" customFormat="1" hidden="1" outlineLevel="2" x14ac:dyDescent="0.25">
      <c r="A98" s="26"/>
      <c r="B98" s="11" t="str">
        <f>CONCATENATE("          ", "6371", " - ", "COMPUTER SOFTWARE MAINTENANCE")</f>
        <v xml:space="preserve">          6371 - COMPUTER SOFTWARE MAINTENANCE</v>
      </c>
      <c r="C98" s="11"/>
      <c r="D98" s="6"/>
      <c r="E98" s="2"/>
      <c r="F98" s="7">
        <f t="shared" si="50"/>
        <v>0</v>
      </c>
      <c r="G98" s="2"/>
      <c r="H98" s="6">
        <v>11500</v>
      </c>
      <c r="I98" s="2"/>
      <c r="J98" s="7">
        <f t="shared" si="51"/>
        <v>0.16840544063796084</v>
      </c>
      <c r="K98" s="2"/>
      <c r="L98" s="6">
        <f t="shared" si="52"/>
        <v>-11500</v>
      </c>
      <c r="M98" s="2"/>
      <c r="N98" s="7">
        <f t="shared" si="53"/>
        <v>-1</v>
      </c>
      <c r="O98" s="11"/>
      <c r="P98" s="6"/>
      <c r="Q98" s="2"/>
      <c r="R98" s="7">
        <f t="shared" si="54"/>
        <v>0</v>
      </c>
      <c r="S98" s="2"/>
      <c r="T98" s="6">
        <v>5950</v>
      </c>
      <c r="U98" s="2"/>
      <c r="V98" s="7">
        <f t="shared" si="55"/>
        <v>1.5251459163490117E-3</v>
      </c>
      <c r="W98" s="2"/>
      <c r="X98" s="6">
        <f t="shared" si="56"/>
        <v>-5950</v>
      </c>
      <c r="Y98" s="2"/>
      <c r="Z98" s="7">
        <f t="shared" si="57"/>
        <v>-1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>
        <v>45.72</v>
      </c>
      <c r="E99" s="2"/>
      <c r="F99" s="7">
        <f t="shared" si="50"/>
        <v>1.1908095134532566E-3</v>
      </c>
      <c r="G99" s="2"/>
      <c r="H99" s="6">
        <v>1735.28</v>
      </c>
      <c r="I99" s="2"/>
      <c r="J99" s="7">
        <f t="shared" si="51"/>
        <v>2.5411355915673103E-2</v>
      </c>
      <c r="K99" s="2"/>
      <c r="L99" s="6">
        <f t="shared" si="52"/>
        <v>-1689.56</v>
      </c>
      <c r="M99" s="2"/>
      <c r="N99" s="7">
        <f t="shared" si="53"/>
        <v>-0.97365266700474851</v>
      </c>
      <c r="O99" s="11"/>
      <c r="P99" s="6">
        <v>288.17</v>
      </c>
      <c r="Q99" s="2"/>
      <c r="R99" s="7">
        <f t="shared" si="54"/>
        <v>8.6500984767049632E-5</v>
      </c>
      <c r="S99" s="2"/>
      <c r="T99" s="6">
        <v>2020.54</v>
      </c>
      <c r="U99" s="2"/>
      <c r="V99" s="7">
        <f t="shared" si="55"/>
        <v>5.1791904702854321E-4</v>
      </c>
      <c r="W99" s="2"/>
      <c r="X99" s="6">
        <f t="shared" si="56"/>
        <v>-1732.37</v>
      </c>
      <c r="Y99" s="2"/>
      <c r="Z99" s="7">
        <f t="shared" si="57"/>
        <v>-0.85737971037445426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50"/>
        <v>0</v>
      </c>
      <c r="G100" s="2"/>
      <c r="H100" s="6"/>
      <c r="I100" s="2"/>
      <c r="J100" s="7">
        <f t="shared" si="51"/>
        <v>0</v>
      </c>
      <c r="K100" s="2"/>
      <c r="L100" s="6">
        <f t="shared" si="52"/>
        <v>0</v>
      </c>
      <c r="M100" s="2"/>
      <c r="N100" s="7">
        <f t="shared" si="53"/>
        <v>0</v>
      </c>
      <c r="O100" s="11"/>
      <c r="P100" s="6"/>
      <c r="Q100" s="2"/>
      <c r="R100" s="7">
        <f t="shared" si="54"/>
        <v>0</v>
      </c>
      <c r="S100" s="2"/>
      <c r="T100" s="6">
        <v>546</v>
      </c>
      <c r="U100" s="2"/>
      <c r="V100" s="7">
        <f t="shared" si="55"/>
        <v>1.3995456644143873E-4</v>
      </c>
      <c r="W100" s="2"/>
      <c r="X100" s="6">
        <f t="shared" si="56"/>
        <v>-546</v>
      </c>
      <c r="Y100" s="2"/>
      <c r="Z100" s="7">
        <f t="shared" si="57"/>
        <v>-1</v>
      </c>
    </row>
    <row r="101" spans="1:26" s="27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260</v>
      </c>
      <c r="E101" s="1"/>
      <c r="F101" s="5">
        <f t="shared" ref="F101:F103" si="58">IF(D$12=0,0,D101/D$12)</f>
        <v>6.7718826224375918E-3</v>
      </c>
      <c r="G101" s="1"/>
      <c r="H101" s="1">
        <f>SUM(OSRRefH22_10x_0)</f>
        <v>250</v>
      </c>
      <c r="I101" s="1"/>
      <c r="J101" s="5">
        <f t="shared" ref="J101:J103" si="59">IF(H$12=0,0,H101/H$12)</f>
        <v>3.6609878399556707E-3</v>
      </c>
      <c r="K101" s="1"/>
      <c r="L101" s="1">
        <f t="shared" ref="L101:L103" si="60">+D101-H101</f>
        <v>10</v>
      </c>
      <c r="M101" s="1"/>
      <c r="N101" s="5">
        <f t="shared" ref="N101:N103" si="61">IF(H101=0,0,L101/H101)</f>
        <v>0.04</v>
      </c>
      <c r="O101" s="13"/>
      <c r="P101" s="1">
        <f>SUM(OSRRefP22_10x_0)</f>
        <v>5310.5599999999995</v>
      </c>
      <c r="Q101" s="1"/>
      <c r="R101" s="5">
        <f t="shared" ref="R101:R103" si="62">IF(P$12=0,0,P101/P$12)</f>
        <v>1.5940891476021203E-3</v>
      </c>
      <c r="S101" s="1"/>
      <c r="T101" s="1">
        <f>SUM(OSRRefT22_10x_0)</f>
        <v>6983.67</v>
      </c>
      <c r="U101" s="1"/>
      <c r="V101" s="5">
        <f t="shared" ref="V101:V103" si="63">IF(T$12=0,0,T101/T$12)</f>
        <v>1.7901034927107736E-3</v>
      </c>
      <c r="W101" s="1"/>
      <c r="X101" s="1">
        <f t="shared" ref="X101:X103" si="64">+P101-T101</f>
        <v>-1673.1100000000006</v>
      </c>
      <c r="Y101" s="1"/>
      <c r="Z101" s="5">
        <f t="shared" ref="Z101:Z103" si="65">IF(T101=0,0,X101/T101)</f>
        <v>-0.23957460762034868</v>
      </c>
    </row>
    <row r="102" spans="1:26" s="24" customFormat="1" hidden="1" outlineLevel="2" x14ac:dyDescent="0.25">
      <c r="A102" s="26"/>
      <c r="B102" s="11" t="str">
        <f>CONCATENATE("          ", "6258", " - ", "MEMBERSHIP DUES")</f>
        <v xml:space="preserve">          6258 - MEMBERSHIP DUES</v>
      </c>
      <c r="C102" s="11"/>
      <c r="D102" s="6">
        <v>260</v>
      </c>
      <c r="E102" s="2"/>
      <c r="F102" s="7">
        <f t="shared" si="58"/>
        <v>6.7718826224375918E-3</v>
      </c>
      <c r="G102" s="2"/>
      <c r="H102" s="6">
        <v>250</v>
      </c>
      <c r="I102" s="2"/>
      <c r="J102" s="7">
        <f t="shared" si="59"/>
        <v>3.6609878399556707E-3</v>
      </c>
      <c r="K102" s="2"/>
      <c r="L102" s="6">
        <f t="shared" si="60"/>
        <v>10</v>
      </c>
      <c r="M102" s="2"/>
      <c r="N102" s="7">
        <f t="shared" si="61"/>
        <v>0.04</v>
      </c>
      <c r="O102" s="11"/>
      <c r="P102" s="6">
        <v>3458.48</v>
      </c>
      <c r="Q102" s="2"/>
      <c r="R102" s="7">
        <f t="shared" si="62"/>
        <v>1.0381438935251615E-3</v>
      </c>
      <c r="S102" s="2"/>
      <c r="T102" s="6">
        <v>5185.53</v>
      </c>
      <c r="U102" s="2"/>
      <c r="V102" s="7">
        <f t="shared" si="63"/>
        <v>1.329191580437864E-3</v>
      </c>
      <c r="W102" s="2"/>
      <c r="X102" s="6">
        <f t="shared" si="64"/>
        <v>-1727.0499999999997</v>
      </c>
      <c r="Y102" s="2"/>
      <c r="Z102" s="7">
        <f t="shared" si="65"/>
        <v>-0.33305178062801677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58"/>
        <v>0</v>
      </c>
      <c r="G103" s="2"/>
      <c r="H103" s="6"/>
      <c r="I103" s="2"/>
      <c r="J103" s="7">
        <f t="shared" si="59"/>
        <v>0</v>
      </c>
      <c r="K103" s="2"/>
      <c r="L103" s="6">
        <f t="shared" si="60"/>
        <v>0</v>
      </c>
      <c r="M103" s="2"/>
      <c r="N103" s="7">
        <f t="shared" si="61"/>
        <v>0</v>
      </c>
      <c r="O103" s="11"/>
      <c r="P103" s="6">
        <v>1852.08</v>
      </c>
      <c r="Q103" s="2"/>
      <c r="R103" s="7">
        <f t="shared" si="62"/>
        <v>5.5594525407695898E-4</v>
      </c>
      <c r="S103" s="2"/>
      <c r="T103" s="6">
        <v>1798.14</v>
      </c>
      <c r="U103" s="2"/>
      <c r="V103" s="7">
        <f t="shared" si="63"/>
        <v>4.609119122729096E-4</v>
      </c>
      <c r="W103" s="2"/>
      <c r="X103" s="6">
        <f t="shared" si="64"/>
        <v>53.939999999999827</v>
      </c>
      <c r="Y103" s="2"/>
      <c r="Z103" s="7">
        <f t="shared" si="65"/>
        <v>2.9997664253061398E-2</v>
      </c>
    </row>
    <row r="104" spans="1:26" s="27" customFormat="1" outlineLevel="1" collapsed="1" x14ac:dyDescent="0.25">
      <c r="A104" s="25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SUM(OSRRefD22_11x_0)</f>
        <v>772.5</v>
      </c>
      <c r="E104" s="1"/>
      <c r="F104" s="5">
        <f t="shared" ref="F104:F108" si="66">IF(D$12=0,0,D104/D$12)</f>
        <v>2.0120305099357846E-2</v>
      </c>
      <c r="G104" s="1"/>
      <c r="H104" s="1">
        <f>SUM(OSRRefH22_11x_0)</f>
        <v>798.26</v>
      </c>
      <c r="I104" s="1"/>
      <c r="J104" s="5">
        <f t="shared" ref="J104:J108" si="67">IF(H$12=0,0,H104/H$12)</f>
        <v>1.1689680612492055E-2</v>
      </c>
      <c r="K104" s="1"/>
      <c r="L104" s="1">
        <f t="shared" ref="L104:L108" si="68">+D104-H104</f>
        <v>-25.759999999999991</v>
      </c>
      <c r="M104" s="1"/>
      <c r="N104" s="5">
        <f t="shared" ref="N104:N108" si="69">IF(H104=0,0,L104/H104)</f>
        <v>-3.2270187658156479E-2</v>
      </c>
      <c r="O104" s="13"/>
      <c r="P104" s="1">
        <f>SUM(OSRRefP22_11x_0)</f>
        <v>13520.43</v>
      </c>
      <c r="Q104" s="1"/>
      <c r="R104" s="5">
        <f t="shared" ref="R104:R108" si="70">IF(P$12=0,0,P104/P$12)</f>
        <v>4.0584741974319357E-3</v>
      </c>
      <c r="S104" s="1"/>
      <c r="T104" s="1">
        <f>SUM(OSRRefT22_11x_0)</f>
        <v>17941.46</v>
      </c>
      <c r="U104" s="1"/>
      <c r="V104" s="5">
        <f t="shared" ref="V104:V108" si="71">IF(T$12=0,0,T104/T$12)</f>
        <v>4.5988814205611996E-3</v>
      </c>
      <c r="W104" s="1"/>
      <c r="X104" s="1">
        <f t="shared" ref="X104:X108" si="72">+P104-T104</f>
        <v>-4421.0299999999988</v>
      </c>
      <c r="Y104" s="1"/>
      <c r="Z104" s="5">
        <f t="shared" ref="Z104:Z108" si="73">IF(T104=0,0,X104/T104)</f>
        <v>-0.24641417142194666</v>
      </c>
    </row>
    <row r="105" spans="1:26" s="24" customFormat="1" hidden="1" outlineLevel="2" x14ac:dyDescent="0.25">
      <c r="A105" s="26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66"/>
        <v>0</v>
      </c>
      <c r="G105" s="2"/>
      <c r="H105" s="6"/>
      <c r="I105" s="2"/>
      <c r="J105" s="7">
        <f t="shared" si="67"/>
        <v>0</v>
      </c>
      <c r="K105" s="2"/>
      <c r="L105" s="6">
        <f t="shared" si="68"/>
        <v>0</v>
      </c>
      <c r="M105" s="2"/>
      <c r="N105" s="7">
        <f t="shared" si="69"/>
        <v>0</v>
      </c>
      <c r="O105" s="11"/>
      <c r="P105" s="6"/>
      <c r="Q105" s="2"/>
      <c r="R105" s="7">
        <f t="shared" si="70"/>
        <v>0</v>
      </c>
      <c r="S105" s="2"/>
      <c r="T105" s="6">
        <v>272.45999999999998</v>
      </c>
      <c r="U105" s="2"/>
      <c r="V105" s="7">
        <f t="shared" si="71"/>
        <v>6.98388666165465E-5</v>
      </c>
      <c r="W105" s="2"/>
      <c r="X105" s="6">
        <f t="shared" si="72"/>
        <v>-272.45999999999998</v>
      </c>
      <c r="Y105" s="2"/>
      <c r="Z105" s="7">
        <f t="shared" si="73"/>
        <v>-1</v>
      </c>
    </row>
    <row r="106" spans="1:26" s="24" customFormat="1" hidden="1" outlineLevel="2" x14ac:dyDescent="0.25">
      <c r="A106" s="26"/>
      <c r="B106" s="11" t="str">
        <f>CONCATENATE("          ", "6241", " - ", "OFFICE EXPENSE")</f>
        <v xml:space="preserve">          6241 - OFFICE EXPENSE</v>
      </c>
      <c r="C106" s="11"/>
      <c r="D106" s="6">
        <v>250.63</v>
      </c>
      <c r="E106" s="2"/>
      <c r="F106" s="7">
        <f t="shared" si="66"/>
        <v>6.5278343910058984E-3</v>
      </c>
      <c r="G106" s="2"/>
      <c r="H106" s="6">
        <v>387.08</v>
      </c>
      <c r="I106" s="2"/>
      <c r="J106" s="7">
        <f t="shared" si="67"/>
        <v>5.6683806923601638E-3</v>
      </c>
      <c r="K106" s="2"/>
      <c r="L106" s="6">
        <f t="shared" si="68"/>
        <v>-136.44999999999999</v>
      </c>
      <c r="M106" s="2"/>
      <c r="N106" s="7">
        <f t="shared" si="69"/>
        <v>-0.35251110881471531</v>
      </c>
      <c r="O106" s="11"/>
      <c r="P106" s="6">
        <v>4278.49</v>
      </c>
      <c r="Q106" s="2"/>
      <c r="R106" s="7">
        <f t="shared" si="70"/>
        <v>1.2842891290417954E-3</v>
      </c>
      <c r="S106" s="2"/>
      <c r="T106" s="6">
        <v>8380.4</v>
      </c>
      <c r="U106" s="2"/>
      <c r="V106" s="7">
        <f t="shared" si="71"/>
        <v>2.1481231659447493E-3</v>
      </c>
      <c r="W106" s="2"/>
      <c r="X106" s="6">
        <f t="shared" si="72"/>
        <v>-4101.91</v>
      </c>
      <c r="Y106" s="2"/>
      <c r="Z106" s="7">
        <f t="shared" si="73"/>
        <v>-0.48946470335544845</v>
      </c>
    </row>
    <row r="107" spans="1:26" s="24" customFormat="1" hidden="1" outlineLevel="2" x14ac:dyDescent="0.25">
      <c r="A107" s="26"/>
      <c r="B107" s="11" t="str">
        <f>CONCATENATE("          ", "6245", " - ", "PRINTING")</f>
        <v xml:space="preserve">          6245 - PRINTING</v>
      </c>
      <c r="C107" s="11"/>
      <c r="D107" s="6"/>
      <c r="E107" s="2"/>
      <c r="F107" s="7">
        <f t="shared" si="66"/>
        <v>0</v>
      </c>
      <c r="G107" s="2"/>
      <c r="H107" s="6">
        <v>45.86</v>
      </c>
      <c r="I107" s="2"/>
      <c r="J107" s="7">
        <f t="shared" si="67"/>
        <v>6.7157160936146822E-4</v>
      </c>
      <c r="K107" s="2"/>
      <c r="L107" s="6">
        <f t="shared" si="68"/>
        <v>-45.86</v>
      </c>
      <c r="M107" s="2"/>
      <c r="N107" s="7">
        <f t="shared" si="69"/>
        <v>-1</v>
      </c>
      <c r="O107" s="11"/>
      <c r="P107" s="6">
        <v>5198.58</v>
      </c>
      <c r="Q107" s="2"/>
      <c r="R107" s="7">
        <f t="shared" si="70"/>
        <v>1.5604757240180757E-3</v>
      </c>
      <c r="S107" s="2"/>
      <c r="T107" s="6">
        <v>611.15</v>
      </c>
      <c r="U107" s="2"/>
      <c r="V107" s="7">
        <f t="shared" si="71"/>
        <v>1.5665427340784849E-4</v>
      </c>
      <c r="W107" s="2"/>
      <c r="X107" s="6">
        <f t="shared" si="72"/>
        <v>4587.43</v>
      </c>
      <c r="Y107" s="2"/>
      <c r="Z107" s="7">
        <f t="shared" si="73"/>
        <v>7.5062259674384366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6">
        <v>521.87</v>
      </c>
      <c r="E108" s="2"/>
      <c r="F108" s="7">
        <f t="shared" si="66"/>
        <v>1.3592470708351947E-2</v>
      </c>
      <c r="G108" s="2"/>
      <c r="H108" s="6">
        <v>365.32</v>
      </c>
      <c r="I108" s="2"/>
      <c r="J108" s="7">
        <f t="shared" si="67"/>
        <v>5.3497283107704222E-3</v>
      </c>
      <c r="K108" s="2"/>
      <c r="L108" s="6">
        <f t="shared" si="68"/>
        <v>156.55000000000001</v>
      </c>
      <c r="M108" s="2"/>
      <c r="N108" s="7">
        <f t="shared" si="69"/>
        <v>0.42852841344574621</v>
      </c>
      <c r="O108" s="11"/>
      <c r="P108" s="6">
        <v>4043.36</v>
      </c>
      <c r="Q108" s="2"/>
      <c r="R108" s="7">
        <f t="shared" si="70"/>
        <v>1.2137093443720644E-3</v>
      </c>
      <c r="S108" s="2"/>
      <c r="T108" s="6">
        <v>8677.4500000000007</v>
      </c>
      <c r="U108" s="2"/>
      <c r="V108" s="7">
        <f t="shared" si="71"/>
        <v>2.2242651145920559E-3</v>
      </c>
      <c r="W108" s="2"/>
      <c r="X108" s="6">
        <f t="shared" si="72"/>
        <v>-4634.09</v>
      </c>
      <c r="Y108" s="2"/>
      <c r="Z108" s="7">
        <f t="shared" si="73"/>
        <v>-0.53403822551556046</v>
      </c>
    </row>
    <row r="109" spans="1:26" s="27" customFormat="1" outlineLevel="1" collapsed="1" x14ac:dyDescent="0.25">
      <c r="A109" s="25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SUM(OSRRefD22_12x_0)</f>
        <v>1113.05</v>
      </c>
      <c r="E109" s="1"/>
      <c r="F109" s="5">
        <f t="shared" ref="F109:F111" si="74">IF(D$12=0,0,D109/D$12)</f>
        <v>2.8990169049631389E-2</v>
      </c>
      <c r="G109" s="1"/>
      <c r="H109" s="1">
        <f>SUM(OSRRefH22_12x_0)</f>
        <v>1058.8499999999999</v>
      </c>
      <c r="I109" s="1"/>
      <c r="J109" s="5">
        <f t="shared" ref="J109:J111" si="75">IF(H$12=0,0,H109/H$12)</f>
        <v>1.5505747897348246E-2</v>
      </c>
      <c r="K109" s="1"/>
      <c r="L109" s="1">
        <f t="shared" ref="L109:L111" si="76">+D109-H109</f>
        <v>54.200000000000045</v>
      </c>
      <c r="M109" s="1"/>
      <c r="N109" s="5">
        <f t="shared" ref="N109:N111" si="77">IF(H109=0,0,L109/H109)</f>
        <v>5.1187609198658973E-2</v>
      </c>
      <c r="O109" s="13"/>
      <c r="P109" s="1">
        <f>SUM(OSRRefP22_12x_0)</f>
        <v>8259.0400000000009</v>
      </c>
      <c r="Q109" s="1"/>
      <c r="R109" s="5">
        <f t="shared" ref="R109:R111" si="78">IF(P$12=0,0,P109/P$12)</f>
        <v>2.4791445786530647E-3</v>
      </c>
      <c r="S109" s="1"/>
      <c r="T109" s="1">
        <f>SUM(OSRRefT22_12x_0)</f>
        <v>8660.1</v>
      </c>
      <c r="U109" s="1"/>
      <c r="V109" s="5">
        <f t="shared" ref="V109:V111" si="79">IF(T$12=0,0,T109/T$12)</f>
        <v>2.2198178403653912E-3</v>
      </c>
      <c r="W109" s="1"/>
      <c r="X109" s="1">
        <f t="shared" ref="X109:X111" si="80">+P109-T109</f>
        <v>-401.05999999999949</v>
      </c>
      <c r="Y109" s="1"/>
      <c r="Z109" s="5">
        <f t="shared" ref="Z109:Z111" si="81">IF(T109=0,0,X109/T109)</f>
        <v>-4.6311243519127895E-2</v>
      </c>
    </row>
    <row r="110" spans="1:26" s="24" customFormat="1" hidden="1" outlineLevel="2" x14ac:dyDescent="0.25">
      <c r="A110" s="26"/>
      <c r="B110" s="11" t="str">
        <f>CONCATENATE("          ", "6303", " - ", "DATA PHONE LINES")</f>
        <v xml:space="preserve">          6303 - DATA PHONE LINES</v>
      </c>
      <c r="C110" s="11"/>
      <c r="D110" s="6">
        <v>590</v>
      </c>
      <c r="E110" s="2"/>
      <c r="F110" s="7">
        <f t="shared" si="74"/>
        <v>1.5366964412454536E-2</v>
      </c>
      <c r="G110" s="2"/>
      <c r="H110" s="6">
        <v>590</v>
      </c>
      <c r="I110" s="2"/>
      <c r="J110" s="7">
        <f t="shared" si="75"/>
        <v>8.6399313022953832E-3</v>
      </c>
      <c r="K110" s="2"/>
      <c r="L110" s="6">
        <f t="shared" si="76"/>
        <v>0</v>
      </c>
      <c r="M110" s="2"/>
      <c r="N110" s="7">
        <f t="shared" si="77"/>
        <v>0</v>
      </c>
      <c r="O110" s="11"/>
      <c r="P110" s="6">
        <v>2950</v>
      </c>
      <c r="Q110" s="2"/>
      <c r="R110" s="7">
        <f t="shared" si="78"/>
        <v>8.8551169470380822E-4</v>
      </c>
      <c r="S110" s="2"/>
      <c r="T110" s="6">
        <v>3245</v>
      </c>
      <c r="U110" s="2"/>
      <c r="V110" s="7">
        <f t="shared" si="79"/>
        <v>8.3178126026093159E-4</v>
      </c>
      <c r="W110" s="2"/>
      <c r="X110" s="6">
        <f t="shared" si="80"/>
        <v>-295</v>
      </c>
      <c r="Y110" s="2"/>
      <c r="Z110" s="7">
        <f t="shared" si="81"/>
        <v>-9.0909090909090912E-2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6">
        <v>523.04999999999995</v>
      </c>
      <c r="E111" s="2"/>
      <c r="F111" s="7">
        <f t="shared" si="74"/>
        <v>1.3623204637176855E-2</v>
      </c>
      <c r="G111" s="2"/>
      <c r="H111" s="6">
        <v>468.85</v>
      </c>
      <c r="I111" s="2"/>
      <c r="J111" s="7">
        <f t="shared" si="75"/>
        <v>6.8658165950528649E-3</v>
      </c>
      <c r="K111" s="2"/>
      <c r="L111" s="6">
        <f t="shared" si="76"/>
        <v>54.199999999999932</v>
      </c>
      <c r="M111" s="2"/>
      <c r="N111" s="7">
        <f t="shared" si="77"/>
        <v>0.11560200490561999</v>
      </c>
      <c r="O111" s="11"/>
      <c r="P111" s="6">
        <v>5309.04</v>
      </c>
      <c r="Q111" s="2"/>
      <c r="R111" s="7">
        <f t="shared" si="78"/>
        <v>1.5936328839492562E-3</v>
      </c>
      <c r="S111" s="2"/>
      <c r="T111" s="6">
        <v>5415.1</v>
      </c>
      <c r="U111" s="2"/>
      <c r="V111" s="7">
        <f t="shared" si="79"/>
        <v>1.3880365801044595E-3</v>
      </c>
      <c r="W111" s="2"/>
      <c r="X111" s="6">
        <f t="shared" si="80"/>
        <v>-106.0600000000004</v>
      </c>
      <c r="Y111" s="2"/>
      <c r="Z111" s="7">
        <f t="shared" si="81"/>
        <v>-1.958597255821691E-2</v>
      </c>
    </row>
    <row r="112" spans="1:26" s="27" customFormat="1" outlineLevel="1" collapsed="1" x14ac:dyDescent="0.25">
      <c r="A112" s="25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SUM(OSRRefD22_13x_0)</f>
        <v>0</v>
      </c>
      <c r="E112" s="1"/>
      <c r="F112" s="5">
        <f t="shared" ref="F112:F115" si="82">IF(D$12=0,0,D112/D$12)</f>
        <v>0</v>
      </c>
      <c r="G112" s="1"/>
      <c r="H112" s="1">
        <f>SUM(OSRRefH22_13x_0)</f>
        <v>39.299999999999997</v>
      </c>
      <c r="I112" s="1"/>
      <c r="J112" s="5">
        <f t="shared" ref="J112:J115" si="83">IF(H$12=0,0,H112/H$12)</f>
        <v>5.7550728844103132E-4</v>
      </c>
      <c r="K112" s="1"/>
      <c r="L112" s="1">
        <f t="shared" ref="L112:L115" si="84">+D112-H112</f>
        <v>-39.299999999999997</v>
      </c>
      <c r="M112" s="1"/>
      <c r="N112" s="5">
        <f t="shared" ref="N112:N115" si="85">IF(H112=0,0,L112/H112)</f>
        <v>-1</v>
      </c>
      <c r="O112" s="13"/>
      <c r="P112" s="1">
        <f>SUM(OSRRefP22_13x_0)</f>
        <v>4157.1499999999996</v>
      </c>
      <c r="Q112" s="1"/>
      <c r="R112" s="5">
        <f t="shared" ref="R112:R115" si="86">IF(P$12=0,0,P112/P$12)</f>
        <v>1.2478660819111647E-3</v>
      </c>
      <c r="S112" s="1"/>
      <c r="T112" s="1">
        <f>SUM(OSRRefT22_13x_0)</f>
        <v>3130.28</v>
      </c>
      <c r="U112" s="1"/>
      <c r="V112" s="5">
        <f t="shared" ref="V112:V115" si="87">IF(T$12=0,0,T112/T$12)</f>
        <v>8.0237542168554361E-4</v>
      </c>
      <c r="W112" s="1"/>
      <c r="X112" s="1">
        <f t="shared" ref="X112:X115" si="88">+P112-T112</f>
        <v>1026.8699999999994</v>
      </c>
      <c r="Y112" s="1"/>
      <c r="Z112" s="5">
        <f t="shared" ref="Z112:Z115" si="89">IF(T112=0,0,X112/T112)</f>
        <v>0.32804413662675524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82"/>
        <v>0</v>
      </c>
      <c r="G113" s="2"/>
      <c r="H113" s="6">
        <v>39.299999999999997</v>
      </c>
      <c r="I113" s="2"/>
      <c r="J113" s="7">
        <f t="shared" si="83"/>
        <v>5.7550728844103132E-4</v>
      </c>
      <c r="K113" s="2"/>
      <c r="L113" s="6">
        <f t="shared" si="84"/>
        <v>-39.299999999999997</v>
      </c>
      <c r="M113" s="2"/>
      <c r="N113" s="7">
        <f t="shared" si="85"/>
        <v>-1</v>
      </c>
      <c r="O113" s="11"/>
      <c r="P113" s="6">
        <v>4157.1499999999996</v>
      </c>
      <c r="Q113" s="2"/>
      <c r="R113" s="7">
        <f t="shared" si="86"/>
        <v>1.2478660819111647E-3</v>
      </c>
      <c r="S113" s="2"/>
      <c r="T113" s="6">
        <v>3130.28</v>
      </c>
      <c r="U113" s="2"/>
      <c r="V113" s="7">
        <f t="shared" si="87"/>
        <v>8.0237542168554361E-4</v>
      </c>
      <c r="W113" s="2"/>
      <c r="X113" s="6">
        <f t="shared" si="88"/>
        <v>1026.8699999999994</v>
      </c>
      <c r="Y113" s="2"/>
      <c r="Z113" s="7">
        <f t="shared" si="89"/>
        <v>0.32804413662675524</v>
      </c>
    </row>
    <row r="114" spans="1:26" s="27" customFormat="1" outlineLevel="1" collapsed="1" x14ac:dyDescent="0.25">
      <c r="A114" s="25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SUM(OSRRefD22_14x_0)</f>
        <v>0</v>
      </c>
      <c r="E114" s="1"/>
      <c r="F114" s="5">
        <f t="shared" si="82"/>
        <v>0</v>
      </c>
      <c r="G114" s="1"/>
      <c r="H114" s="1">
        <f>SUM(OSRRefH22_14x_0)</f>
        <v>0</v>
      </c>
      <c r="I114" s="1"/>
      <c r="J114" s="5">
        <f t="shared" si="83"/>
        <v>0</v>
      </c>
      <c r="K114" s="1"/>
      <c r="L114" s="1">
        <f t="shared" si="84"/>
        <v>0</v>
      </c>
      <c r="M114" s="1"/>
      <c r="N114" s="5">
        <f t="shared" si="85"/>
        <v>0</v>
      </c>
      <c r="O114" s="13"/>
      <c r="P114" s="1">
        <f>SUM(OSRRefP22_14x_0)</f>
        <v>83.93</v>
      </c>
      <c r="Q114" s="1"/>
      <c r="R114" s="5">
        <f t="shared" si="86"/>
        <v>2.5193558147962924E-5</v>
      </c>
      <c r="S114" s="1"/>
      <c r="T114" s="1">
        <f>SUM(OSRRefT22_14x_0)</f>
        <v>68.27</v>
      </c>
      <c r="U114" s="1"/>
      <c r="V114" s="5">
        <f t="shared" si="87"/>
        <v>1.749944734607513E-5</v>
      </c>
      <c r="W114" s="1"/>
      <c r="X114" s="1">
        <f t="shared" si="88"/>
        <v>15.660000000000011</v>
      </c>
      <c r="Y114" s="1"/>
      <c r="Z114" s="5">
        <f t="shared" si="89"/>
        <v>0.22938333089204646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82"/>
        <v>0</v>
      </c>
      <c r="G115" s="2"/>
      <c r="H115" s="6"/>
      <c r="I115" s="2"/>
      <c r="J115" s="7">
        <f t="shared" si="83"/>
        <v>0</v>
      </c>
      <c r="K115" s="2"/>
      <c r="L115" s="6">
        <f t="shared" si="84"/>
        <v>0</v>
      </c>
      <c r="M115" s="2"/>
      <c r="N115" s="7">
        <f t="shared" si="85"/>
        <v>0</v>
      </c>
      <c r="O115" s="11"/>
      <c r="P115" s="6">
        <v>83.93</v>
      </c>
      <c r="Q115" s="2"/>
      <c r="R115" s="7">
        <f t="shared" si="86"/>
        <v>2.5193558147962924E-5</v>
      </c>
      <c r="S115" s="2"/>
      <c r="T115" s="6">
        <v>68.27</v>
      </c>
      <c r="U115" s="2"/>
      <c r="V115" s="7">
        <f t="shared" si="87"/>
        <v>1.749944734607513E-5</v>
      </c>
      <c r="W115" s="2"/>
      <c r="X115" s="6">
        <f t="shared" si="88"/>
        <v>15.660000000000011</v>
      </c>
      <c r="Y115" s="2"/>
      <c r="Z115" s="7">
        <f t="shared" si="89"/>
        <v>0.22938333089204646</v>
      </c>
    </row>
    <row r="116" spans="1:26" s="58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8" t="s">
        <v>0</v>
      </c>
      <c r="C117" s="10"/>
      <c r="D117" s="4">
        <f>SUM(OSRRefD25x_0)</f>
        <v>5867.1100000000006</v>
      </c>
      <c r="E117" s="4"/>
      <c r="F117" s="12">
        <f t="shared" ref="F117:F120" si="90">IF(D$12=0,0,D117/D$12)</f>
        <v>0.15281300097280701</v>
      </c>
      <c r="G117" s="4"/>
      <c r="H117" s="4">
        <f>SUM(OSRRefH25x_0)</f>
        <v>7197.31</v>
      </c>
      <c r="I117" s="4"/>
      <c r="J117" s="12">
        <f t="shared" ref="J117:J120" si="91">IF(H$12=0,0,H117/H$12)</f>
        <v>0.10539705756156539</v>
      </c>
      <c r="K117" s="4"/>
      <c r="L117" s="4">
        <f t="shared" ref="L117:L120" si="92">+D117-H117</f>
        <v>-1330.1999999999998</v>
      </c>
      <c r="M117" s="4"/>
      <c r="N117" s="12">
        <f t="shared" ref="N117:N120" si="93">IF(H117=0,0,L117/H117)</f>
        <v>-0.18481905045079339</v>
      </c>
      <c r="O117" s="10"/>
      <c r="P117" s="4">
        <f>SUM(OSRRefP25x_0)</f>
        <v>193909.89</v>
      </c>
      <c r="Q117" s="4"/>
      <c r="R117" s="12">
        <f t="shared" ref="R117:R120" si="94">IF(P$12=0,0,P117/P$12)</f>
        <v>5.820660180126408E-2</v>
      </c>
      <c r="S117" s="4"/>
      <c r="T117" s="4">
        <f>SUM(OSRRefT25x_0)</f>
        <v>104645.31</v>
      </c>
      <c r="U117" s="4"/>
      <c r="V117" s="12">
        <f t="shared" ref="V117:V120" si="95">IF(T$12=0,0,T117/T$12)</f>
        <v>2.6823423060769142E-2</v>
      </c>
      <c r="W117" s="4"/>
      <c r="X117" s="4">
        <f t="shared" ref="X117:X120" si="96">+P117-T117</f>
        <v>89264.580000000016</v>
      </c>
      <c r="Y117" s="4"/>
      <c r="Z117" s="12">
        <f t="shared" ref="Z117:Z120" si="97">IF(T117=0,0,X117/T117)</f>
        <v>0.85302035991866254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--774.27</f>
        <v>774.27</v>
      </c>
      <c r="E118" s="2"/>
      <c r="F118" s="19">
        <f t="shared" si="90"/>
        <v>2.0166405992595209E-2</v>
      </c>
      <c r="G118" s="2"/>
      <c r="H118" s="2">
        <f>--6654.56</f>
        <v>6654.56</v>
      </c>
      <c r="I118" s="2"/>
      <c r="J118" s="19">
        <f t="shared" si="91"/>
        <v>9.7449052961021632E-2</v>
      </c>
      <c r="K118" s="2"/>
      <c r="L118" s="2">
        <f t="shared" si="92"/>
        <v>-5880.2900000000009</v>
      </c>
      <c r="M118" s="2"/>
      <c r="N118" s="19">
        <f t="shared" si="93"/>
        <v>-0.88364820514053533</v>
      </c>
      <c r="O118" s="11"/>
      <c r="P118" s="2">
        <f>--21290.7</f>
        <v>21290.7</v>
      </c>
      <c r="Q118" s="2"/>
      <c r="R118" s="19">
        <f t="shared" si="94"/>
        <v>6.3909029960780911E-3</v>
      </c>
      <c r="S118" s="2"/>
      <c r="T118" s="2">
        <f>--93405.67</f>
        <v>93405.67</v>
      </c>
      <c r="U118" s="2"/>
      <c r="V118" s="19">
        <f t="shared" si="95"/>
        <v>2.3942399355351831E-2</v>
      </c>
      <c r="W118" s="2"/>
      <c r="X118" s="2">
        <f t="shared" si="96"/>
        <v>-72114.97</v>
      </c>
      <c r="Y118" s="2"/>
      <c r="Z118" s="19">
        <f t="shared" si="97"/>
        <v>-0.77206201722015377</v>
      </c>
    </row>
    <row r="119" spans="1:26" s="24" customFormat="1" hidden="1" outlineLevel="1" x14ac:dyDescent="0.25">
      <c r="A119" s="44"/>
      <c r="B119" s="11" t="str">
        <f>CONCATENATE("          ", "9151", " - ", "MISC. INCOME")</f>
        <v xml:space="preserve">          9151 - MISC. INCOME</v>
      </c>
      <c r="C119" s="11"/>
      <c r="D119" s="2">
        <f>0</f>
        <v>0</v>
      </c>
      <c r="E119" s="2"/>
      <c r="F119" s="19">
        <f t="shared" si="90"/>
        <v>0</v>
      </c>
      <c r="G119" s="2"/>
      <c r="H119" s="2">
        <f>0</f>
        <v>0</v>
      </c>
      <c r="I119" s="2"/>
      <c r="J119" s="19">
        <f t="shared" si="91"/>
        <v>0</v>
      </c>
      <c r="K119" s="2"/>
      <c r="L119" s="2">
        <f t="shared" si="92"/>
        <v>0</v>
      </c>
      <c r="M119" s="2"/>
      <c r="N119" s="19">
        <f t="shared" si="93"/>
        <v>0</v>
      </c>
      <c r="O119" s="11"/>
      <c r="P119" s="2">
        <f>--162744.3</f>
        <v>162744.29999999999</v>
      </c>
      <c r="Q119" s="2"/>
      <c r="R119" s="19">
        <f t="shared" si="94"/>
        <v>4.8851518947927108E-2</v>
      </c>
      <c r="S119" s="2"/>
      <c r="T119" s="2">
        <f>0</f>
        <v>0</v>
      </c>
      <c r="U119" s="2"/>
      <c r="V119" s="19">
        <f t="shared" si="95"/>
        <v>0</v>
      </c>
      <c r="W119" s="2"/>
      <c r="X119" s="2">
        <f t="shared" si="96"/>
        <v>162744.29999999999</v>
      </c>
      <c r="Y119" s="2"/>
      <c r="Z119" s="19">
        <f t="shared" si="97"/>
        <v>0</v>
      </c>
    </row>
    <row r="120" spans="1:26" s="24" customFormat="1" hidden="1" outlineLevel="1" x14ac:dyDescent="0.25">
      <c r="A120" s="44"/>
      <c r="B120" s="11" t="str">
        <f>CONCATENATE("          ", "9152", " - ", "MISC. INCOME")</f>
        <v xml:space="preserve">          9152 - MISC. INCOME</v>
      </c>
      <c r="C120" s="11"/>
      <c r="D120" s="2">
        <f>--5092.84</f>
        <v>5092.84</v>
      </c>
      <c r="E120" s="2"/>
      <c r="F120" s="19">
        <f t="shared" si="90"/>
        <v>0.13264659498021181</v>
      </c>
      <c r="G120" s="2"/>
      <c r="H120" s="2">
        <f>--542.75</f>
        <v>542.75</v>
      </c>
      <c r="I120" s="2"/>
      <c r="J120" s="19">
        <f t="shared" si="91"/>
        <v>7.9480046005437604E-3</v>
      </c>
      <c r="K120" s="2"/>
      <c r="L120" s="2">
        <f t="shared" si="92"/>
        <v>4550.09</v>
      </c>
      <c r="M120" s="2"/>
      <c r="N120" s="19">
        <f t="shared" si="93"/>
        <v>8.3833993551358823</v>
      </c>
      <c r="O120" s="11"/>
      <c r="P120" s="2">
        <f>--9874.89</f>
        <v>9874.89</v>
      </c>
      <c r="Q120" s="2"/>
      <c r="R120" s="19">
        <f t="shared" si="94"/>
        <v>2.9641798572588771E-3</v>
      </c>
      <c r="S120" s="2"/>
      <c r="T120" s="2">
        <f>--11239.64</f>
        <v>11239.64</v>
      </c>
      <c r="U120" s="2"/>
      <c r="V120" s="19">
        <f t="shared" si="95"/>
        <v>2.8810237054173117E-3</v>
      </c>
      <c r="W120" s="2"/>
      <c r="X120" s="2">
        <f t="shared" si="96"/>
        <v>-1364.75</v>
      </c>
      <c r="Y120" s="2"/>
      <c r="Z120" s="19">
        <f t="shared" si="97"/>
        <v>-0.12142292813648836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9" t="s">
        <v>3</v>
      </c>
      <c r="C122" s="29"/>
      <c r="D122" s="21">
        <f>+D62-D64+D117</f>
        <v>-37281.640000000029</v>
      </c>
      <c r="E122" s="14"/>
      <c r="F122" s="20">
        <f>IF(D$12=0,0,D122/D$12)</f>
        <v>-0.97102650019990167</v>
      </c>
      <c r="G122" s="14"/>
      <c r="H122" s="21">
        <f>+H62-H64+H117</f>
        <v>-39102.430000000029</v>
      </c>
      <c r="I122" s="14"/>
      <c r="J122" s="20">
        <f>IF(H$12=0,0,H122/H$12)</f>
        <v>-0.57261408297087169</v>
      </c>
      <c r="K122" s="16"/>
      <c r="L122" s="21">
        <f>+D122-H122</f>
        <v>1820.7900000000009</v>
      </c>
      <c r="M122" s="16"/>
      <c r="N122" s="20">
        <f>IF(H122=0,0,L122/H122)</f>
        <v>-4.6564625267534514E-2</v>
      </c>
      <c r="O122" s="28"/>
      <c r="P122" s="21">
        <f>+P62-P64+P117</f>
        <v>655211.32999999868</v>
      </c>
      <c r="Q122" s="14"/>
      <c r="R122" s="20">
        <f>IF(P$12=0,0,P122/P$12)</f>
        <v>0.19667704922624912</v>
      </c>
      <c r="S122" s="14"/>
      <c r="T122" s="21">
        <f>+T62-T64+T117</f>
        <v>547897.43000000063</v>
      </c>
      <c r="U122" s="14"/>
      <c r="V122" s="20">
        <f>IF(T$12=0,0,T122/T$12)</f>
        <v>0.14044092906598646</v>
      </c>
      <c r="W122" s="16"/>
      <c r="X122" s="21">
        <f>+P122-T122</f>
        <v>107313.89999999804</v>
      </c>
      <c r="Y122" s="16"/>
      <c r="Z122" s="20">
        <f>IF(T122=0,0,X122/T122)</f>
        <v>0.19586494501351817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20592.57</v>
      </c>
      <c r="E124" s="4"/>
      <c r="F124" s="12">
        <f>IF(D$12=0,0,D124/D$12)</f>
        <v>0.53634794974742184</v>
      </c>
      <c r="G124" s="4"/>
      <c r="H124" s="4">
        <v>7317.64</v>
      </c>
      <c r="I124" s="4"/>
      <c r="J124" s="12">
        <f>IF(H$12=0,0,H124/H$12)</f>
        <v>0.10715916422869286</v>
      </c>
      <c r="K124" s="4"/>
      <c r="L124" s="4">
        <f>+D124-H124</f>
        <v>13274.93</v>
      </c>
      <c r="M124" s="4"/>
      <c r="N124" s="12">
        <f>IF(H124=0,0,L124/H124)</f>
        <v>1.8140999010609977</v>
      </c>
      <c r="O124" s="10"/>
      <c r="P124" s="4">
        <v>394490.64</v>
      </c>
      <c r="Q124" s="4"/>
      <c r="R124" s="12">
        <f>IF(P$12=0,0,P124/P$12)</f>
        <v>0.11841561870209828</v>
      </c>
      <c r="S124" s="4"/>
      <c r="T124" s="4">
        <v>405788.52999999997</v>
      </c>
      <c r="U124" s="4"/>
      <c r="V124" s="12">
        <f>IF(T$12=0,0,T124/T$12)</f>
        <v>0.10401457469424678</v>
      </c>
      <c r="W124" s="4"/>
      <c r="X124" s="4">
        <f>+P124-T124</f>
        <v>-11297.889999999956</v>
      </c>
      <c r="Y124" s="4"/>
      <c r="Z124" s="12">
        <f>IF(T124=0,0,X124/T124)</f>
        <v>-2.7841817017351271E-2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4</v>
      </c>
      <c r="C126" s="29"/>
      <c r="D126" s="35">
        <f>+D122-D124</f>
        <v>-57874.210000000028</v>
      </c>
      <c r="E126" s="14"/>
      <c r="F126" s="32">
        <f>IF(D$12=0,0,D126/D$12)</f>
        <v>-1.5073744499473234</v>
      </c>
      <c r="G126" s="14"/>
      <c r="H126" s="35">
        <f>+H122-H124</f>
        <v>-46420.070000000029</v>
      </c>
      <c r="I126" s="14"/>
      <c r="J126" s="32">
        <f>IF(H$12=0,0,H126/H$12)</f>
        <v>-0.67977324719956456</v>
      </c>
      <c r="K126" s="16"/>
      <c r="L126" s="35">
        <f>D126-H126</f>
        <v>-11454.14</v>
      </c>
      <c r="M126" s="16"/>
      <c r="N126" s="32">
        <f>IF(H126=0,0,L126/H126)</f>
        <v>0.24674973562082075</v>
      </c>
      <c r="O126" s="28"/>
      <c r="P126" s="35">
        <f>+P122-P124</f>
        <v>260720.68999999866</v>
      </c>
      <c r="Q126" s="14"/>
      <c r="R126" s="32">
        <f>IF(P$12=0,0,P126/P$12)</f>
        <v>7.8261430524150855E-2</v>
      </c>
      <c r="S126" s="14"/>
      <c r="T126" s="35">
        <f>+T122-T124</f>
        <v>142108.90000000066</v>
      </c>
      <c r="U126" s="14"/>
      <c r="V126" s="32">
        <f>IF(T$12=0,0,T126/T$12)</f>
        <v>3.6426354371739675E-2</v>
      </c>
      <c r="W126" s="16"/>
      <c r="X126" s="35">
        <f>P126-T126</f>
        <v>118611.789999998</v>
      </c>
      <c r="Y126" s="16"/>
      <c r="Z126" s="32">
        <f>IF(T126=0,0,X126/T126)</f>
        <v>0.83465419829438869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5</v>
      </c>
      <c r="C129" s="29"/>
      <c r="D129" s="36">
        <f>SUM(D126:D128)</f>
        <v>-57874.210000000028</v>
      </c>
      <c r="E129" s="14"/>
      <c r="F129" s="33">
        <f>IF(D$12=0,0,D129/D$12)</f>
        <v>-1.5073744499473234</v>
      </c>
      <c r="G129" s="14"/>
      <c r="H129" s="36">
        <f>SUM(H126:H128)</f>
        <v>-46420.070000000029</v>
      </c>
      <c r="I129" s="14"/>
      <c r="J129" s="33">
        <f>IF(H$12=0,0,H129/H$12)</f>
        <v>-0.67977324719956456</v>
      </c>
      <c r="K129" s="16"/>
      <c r="L129" s="36">
        <f>+D129-H129</f>
        <v>-11454.14</v>
      </c>
      <c r="M129" s="16"/>
      <c r="N129" s="33">
        <f>IF(H129=0,0,L129/H129)</f>
        <v>0.24674973562082075</v>
      </c>
      <c r="O129" s="28"/>
      <c r="P129" s="36">
        <f>SUM(P126:P128)</f>
        <v>260720.68999999866</v>
      </c>
      <c r="Q129" s="14"/>
      <c r="R129" s="33">
        <f>IF(P$12=0,0,P129/P$12)</f>
        <v>7.8261430524150855E-2</v>
      </c>
      <c r="S129" s="14"/>
      <c r="T129" s="36">
        <f>SUM(T126:T128)</f>
        <v>142108.90000000066</v>
      </c>
      <c r="U129" s="14"/>
      <c r="V129" s="33">
        <f>IF(T$12=0,0,T129/T$12)</f>
        <v>3.6426354371739675E-2</v>
      </c>
      <c r="W129" s="16"/>
      <c r="X129" s="36">
        <f>+P129-T129</f>
        <v>118611.789999998</v>
      </c>
      <c r="Y129" s="16"/>
      <c r="Z129" s="33">
        <f>IF(T129=0,0,X129/T129)</f>
        <v>0.83465419829438869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6" x14ac:dyDescent="0.25">
      <c r="A131" s="9"/>
      <c r="B131" s="55">
        <v>43992.375524189818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2" t="s">
        <v>313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3"/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22240.239999999998</v>
      </c>
      <c r="E12" s="4"/>
      <c r="F12" s="12"/>
      <c r="G12" s="4"/>
      <c r="H12" s="4">
        <f>SUM(OSRRefH13x_0)</f>
        <v>33759.53</v>
      </c>
      <c r="I12" s="4"/>
      <c r="J12" s="12"/>
      <c r="K12" s="4"/>
      <c r="L12" s="4">
        <f t="shared" ref="L12:L16" si="0">+D12-H12</f>
        <v>-11519.29</v>
      </c>
      <c r="M12" s="4"/>
      <c r="N12" s="12">
        <f t="shared" ref="N12:N16" si="1">IF(H12=0,0,L12/H12)</f>
        <v>-0.34121594702295921</v>
      </c>
      <c r="O12" s="10"/>
      <c r="P12" s="4">
        <f>SUM(OSRRefP13x_0)</f>
        <v>1597839.76</v>
      </c>
      <c r="Q12" s="4"/>
      <c r="R12" s="12"/>
      <c r="S12" s="4"/>
      <c r="T12" s="4">
        <f>SUM(OSRRefT13x_0)</f>
        <v>2102473.04</v>
      </c>
      <c r="U12" s="4"/>
      <c r="V12" s="12"/>
      <c r="W12" s="4"/>
      <c r="X12" s="4">
        <f t="shared" ref="X12:X16" si="2">+P12-T12</f>
        <v>-504633.28</v>
      </c>
      <c r="Y12" s="4"/>
      <c r="Z12" s="12">
        <f t="shared" ref="Z12:Z16" si="3">IF(T12=0,0,X12/T12)</f>
        <v>-0.24001890649689378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--1532.75</f>
        <v>1532.75</v>
      </c>
      <c r="I13" s="2"/>
      <c r="J13" s="19"/>
      <c r="K13" s="2"/>
      <c r="L13" s="2">
        <f t="shared" si="0"/>
        <v>-1532.75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--1532.75</f>
        <v>1532.75</v>
      </c>
      <c r="U13" s="2"/>
      <c r="V13" s="19"/>
      <c r="W13" s="2"/>
      <c r="X13" s="2">
        <f t="shared" si="2"/>
        <v>-1532.75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--12829.74</f>
        <v>12829.74</v>
      </c>
      <c r="E14" s="2"/>
      <c r="F14" s="19"/>
      <c r="G14" s="2"/>
      <c r="H14" s="2">
        <f>--6911.68</f>
        <v>6911.68</v>
      </c>
      <c r="I14" s="2"/>
      <c r="J14" s="19"/>
      <c r="K14" s="2"/>
      <c r="L14" s="2">
        <f t="shared" si="0"/>
        <v>5918.0599999999995</v>
      </c>
      <c r="M14" s="2"/>
      <c r="N14" s="19">
        <f t="shared" si="1"/>
        <v>0.85624045094680301</v>
      </c>
      <c r="O14" s="11"/>
      <c r="P14" s="2">
        <f>--421229.85</f>
        <v>421229.85</v>
      </c>
      <c r="Q14" s="2"/>
      <c r="R14" s="19"/>
      <c r="S14" s="2"/>
      <c r="T14" s="2">
        <f>--563052.43</f>
        <v>563052.43000000005</v>
      </c>
      <c r="U14" s="2"/>
      <c r="V14" s="19"/>
      <c r="W14" s="2"/>
      <c r="X14" s="2">
        <f t="shared" si="2"/>
        <v>-141822.58000000007</v>
      </c>
      <c r="Y14" s="2"/>
      <c r="Z14" s="19">
        <f t="shared" si="3"/>
        <v>-0.25188165869384499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--4199.95</f>
        <v>4199.95</v>
      </c>
      <c r="E15" s="2"/>
      <c r="F15" s="19"/>
      <c r="G15" s="2"/>
      <c r="H15" s="2">
        <f>--15150.39</f>
        <v>15150.39</v>
      </c>
      <c r="I15" s="2"/>
      <c r="J15" s="19"/>
      <c r="K15" s="2"/>
      <c r="L15" s="2">
        <f t="shared" si="0"/>
        <v>-10950.439999999999</v>
      </c>
      <c r="M15" s="2"/>
      <c r="N15" s="19">
        <f t="shared" si="1"/>
        <v>-0.72278271384433002</v>
      </c>
      <c r="O15" s="11"/>
      <c r="P15" s="2">
        <f>--569162.89</f>
        <v>569162.89</v>
      </c>
      <c r="Q15" s="2"/>
      <c r="R15" s="19"/>
      <c r="S15" s="2"/>
      <c r="T15" s="2">
        <f>--748313.26</f>
        <v>748313.26</v>
      </c>
      <c r="U15" s="2"/>
      <c r="V15" s="19"/>
      <c r="W15" s="2"/>
      <c r="X15" s="2">
        <f t="shared" si="2"/>
        <v>-179150.37</v>
      </c>
      <c r="Y15" s="2"/>
      <c r="Z15" s="19">
        <f t="shared" si="3"/>
        <v>-0.23940557995724945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--5210.55</f>
        <v>5210.55</v>
      </c>
      <c r="E16" s="2"/>
      <c r="F16" s="19"/>
      <c r="G16" s="2"/>
      <c r="H16" s="2">
        <f>--10164.71</f>
        <v>10164.709999999999</v>
      </c>
      <c r="I16" s="2"/>
      <c r="J16" s="19"/>
      <c r="K16" s="2"/>
      <c r="L16" s="2">
        <f t="shared" si="0"/>
        <v>-4954.1599999999989</v>
      </c>
      <c r="M16" s="2"/>
      <c r="N16" s="19">
        <f t="shared" si="1"/>
        <v>-0.48738822848856478</v>
      </c>
      <c r="O16" s="11"/>
      <c r="P16" s="2">
        <f>--607447.02</f>
        <v>607447.02</v>
      </c>
      <c r="Q16" s="2"/>
      <c r="R16" s="19"/>
      <c r="S16" s="2"/>
      <c r="T16" s="2">
        <f>--789574.6</f>
        <v>789574.6</v>
      </c>
      <c r="U16" s="2"/>
      <c r="V16" s="19"/>
      <c r="W16" s="2"/>
      <c r="X16" s="2">
        <f t="shared" si="2"/>
        <v>-182127.57999999996</v>
      </c>
      <c r="Y16" s="2"/>
      <c r="Z16" s="19">
        <f t="shared" si="3"/>
        <v>-0.23066544947114556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8022.05</v>
      </c>
      <c r="E18" s="4"/>
      <c r="F18" s="12">
        <f t="shared" ref="F18:F20" si="4">IF(D$12=0,0,D18/D$12)</f>
        <v>0.36069979460653306</v>
      </c>
      <c r="G18" s="4"/>
      <c r="H18" s="4">
        <f>SUM(OSRRefH16x_0)</f>
        <v>9824.07</v>
      </c>
      <c r="I18" s="4"/>
      <c r="J18" s="12">
        <f t="shared" ref="J18:J20" si="5">IF(H$12=0,0,H18/H$12)</f>
        <v>0.29100138538658565</v>
      </c>
      <c r="K18" s="4"/>
      <c r="L18" s="4">
        <f t="shared" ref="L18:L20" si="6">+D18-H18</f>
        <v>-1802.0199999999995</v>
      </c>
      <c r="M18" s="4"/>
      <c r="N18" s="12">
        <f t="shared" ref="N18:N20" si="7">IF(H18=0,0,L18/H18)</f>
        <v>-0.18342906758604119</v>
      </c>
      <c r="O18" s="10"/>
      <c r="P18" s="4">
        <f>SUM(OSRRefP16x_0)</f>
        <v>1174500.6200000001</v>
      </c>
      <c r="Q18" s="4"/>
      <c r="R18" s="12">
        <f t="shared" ref="R18:R20" si="8">IF(P$12=0,0,P18/P$12)</f>
        <v>0.73505532244359728</v>
      </c>
      <c r="S18" s="4"/>
      <c r="T18" s="4">
        <f>SUM(OSRRefT16x_0)</f>
        <v>1528867.06</v>
      </c>
      <c r="U18" s="4"/>
      <c r="V18" s="12">
        <f t="shared" ref="V18:V20" si="9">IF(T$12=0,0,T18/T$12)</f>
        <v>0.72717558366408352</v>
      </c>
      <c r="W18" s="4"/>
      <c r="X18" s="4">
        <f t="shared" ref="X18:X20" si="10">+P18-T18</f>
        <v>-354366.43999999994</v>
      </c>
      <c r="Y18" s="4"/>
      <c r="Z18" s="12">
        <f t="shared" ref="Z18:Z20" si="11">IF(T18=0,0,X18/T18)</f>
        <v>-0.23178368431850441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2111.7399999999998</v>
      </c>
      <c r="E19" s="2"/>
      <c r="F19" s="19">
        <f t="shared" si="4"/>
        <v>9.4951313475034438E-2</v>
      </c>
      <c r="G19" s="2"/>
      <c r="H19" s="2">
        <v>1960</v>
      </c>
      <c r="I19" s="2"/>
      <c r="J19" s="19">
        <f t="shared" si="5"/>
        <v>5.80576803053834E-2</v>
      </c>
      <c r="K19" s="2"/>
      <c r="L19" s="2">
        <f t="shared" si="6"/>
        <v>151.73999999999978</v>
      </c>
      <c r="M19" s="2"/>
      <c r="N19" s="19">
        <f t="shared" si="7"/>
        <v>7.741836734693866E-2</v>
      </c>
      <c r="O19" s="11"/>
      <c r="P19" s="2">
        <v>487384.19999999995</v>
      </c>
      <c r="Q19" s="2"/>
      <c r="R19" s="19">
        <f t="shared" si="8"/>
        <v>0.30502695714619088</v>
      </c>
      <c r="S19" s="2"/>
      <c r="T19" s="2">
        <v>658167.59</v>
      </c>
      <c r="U19" s="2"/>
      <c r="V19" s="19">
        <f t="shared" si="9"/>
        <v>0.3130444849842165</v>
      </c>
      <c r="W19" s="2"/>
      <c r="X19" s="2">
        <f t="shared" si="10"/>
        <v>-170783.39</v>
      </c>
      <c r="Y19" s="2"/>
      <c r="Z19" s="19">
        <f t="shared" si="11"/>
        <v>-0.25948313559468955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5910.31</v>
      </c>
      <c r="E20" s="2"/>
      <c r="F20" s="19">
        <f t="shared" si="4"/>
        <v>0.26574848113149863</v>
      </c>
      <c r="G20" s="2"/>
      <c r="H20" s="2">
        <v>7864.07</v>
      </c>
      <c r="I20" s="2"/>
      <c r="J20" s="19">
        <f t="shared" si="5"/>
        <v>0.23294370508120227</v>
      </c>
      <c r="K20" s="2"/>
      <c r="L20" s="2">
        <f t="shared" si="6"/>
        <v>-1953.7599999999993</v>
      </c>
      <c r="M20" s="2"/>
      <c r="N20" s="19">
        <f t="shared" si="7"/>
        <v>-0.24844132872672794</v>
      </c>
      <c r="O20" s="11"/>
      <c r="P20" s="2">
        <v>687116.42</v>
      </c>
      <c r="Q20" s="2"/>
      <c r="R20" s="19">
        <f t="shared" si="8"/>
        <v>0.43002836529740629</v>
      </c>
      <c r="S20" s="2"/>
      <c r="T20" s="2">
        <v>870699.47</v>
      </c>
      <c r="U20" s="2"/>
      <c r="V20" s="19">
        <f t="shared" si="9"/>
        <v>0.41413109867986703</v>
      </c>
      <c r="W20" s="2"/>
      <c r="X20" s="2">
        <f t="shared" si="10"/>
        <v>-183583.04999999993</v>
      </c>
      <c r="Y20" s="2"/>
      <c r="Z20" s="19">
        <f t="shared" si="11"/>
        <v>-0.21084548265545625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D12-D18</f>
        <v>14218.189999999999</v>
      </c>
      <c r="E22" s="14"/>
      <c r="F22" s="20">
        <f>IF(D$12=0,0,D22/D$12)</f>
        <v>0.63930020539346699</v>
      </c>
      <c r="G22" s="14"/>
      <c r="H22" s="21">
        <f>H12-H18</f>
        <v>23935.46</v>
      </c>
      <c r="I22" s="14"/>
      <c r="J22" s="20">
        <f>IF(H$12=0,0,H22/H$12)</f>
        <v>0.70899861461341429</v>
      </c>
      <c r="K22" s="16"/>
      <c r="L22" s="21">
        <f>+D22-H22</f>
        <v>-9717.27</v>
      </c>
      <c r="M22" s="16"/>
      <c r="N22" s="20">
        <f>IF(H22=0,0,L22/H22)</f>
        <v>-0.40597799248479038</v>
      </c>
      <c r="O22" s="28"/>
      <c r="P22" s="21">
        <f>P12-P18</f>
        <v>423339.1399999999</v>
      </c>
      <c r="Q22" s="14"/>
      <c r="R22" s="20">
        <f>IF(P$12=0,0,P22/P$12)</f>
        <v>0.26494467755640272</v>
      </c>
      <c r="S22" s="14"/>
      <c r="T22" s="21">
        <f>T12-T18</f>
        <v>573605.98</v>
      </c>
      <c r="U22" s="14"/>
      <c r="V22" s="20">
        <f>IF(T$12=0,0,T22/T$12)</f>
        <v>0.27282441633591648</v>
      </c>
      <c r="W22" s="16"/>
      <c r="X22" s="21">
        <f>+P22-T22</f>
        <v>-150266.84000000008</v>
      </c>
      <c r="Y22" s="16"/>
      <c r="Z22" s="20">
        <f>IF(T22=0,0,X22/T22)</f>
        <v>-0.26196874725748165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0</v>
      </c>
      <c r="E24" s="22"/>
      <c r="F24" s="31">
        <f t="shared" ref="F24:F26" si="12">IF(D$12=0,0,D24/D$12)</f>
        <v>0</v>
      </c>
      <c r="G24" s="22"/>
      <c r="H24" s="22">
        <f>SUM(OSRRefH22x_0)</f>
        <v>0</v>
      </c>
      <c r="I24" s="22"/>
      <c r="J24" s="31">
        <f t="shared" ref="J24:J26" si="13">IF(H$12=0,0,H24/H$12)</f>
        <v>0</v>
      </c>
      <c r="K24" s="4"/>
      <c r="L24" s="22">
        <f t="shared" ref="L24:L26" si="14">+D24-H24</f>
        <v>0</v>
      </c>
      <c r="M24" s="4"/>
      <c r="N24" s="31">
        <f t="shared" ref="N24:N26" si="15">IF(H24=0,0,L24/H24)</f>
        <v>0</v>
      </c>
      <c r="O24" s="10"/>
      <c r="P24" s="22">
        <f>SUM(OSRRefP22x_0)</f>
        <v>0</v>
      </c>
      <c r="Q24" s="22"/>
      <c r="R24" s="31">
        <f t="shared" ref="R24:R26" si="16">IF(P$12=0,0,P24/P$12)</f>
        <v>0</v>
      </c>
      <c r="S24" s="22"/>
      <c r="T24" s="22">
        <f>SUM(OSRRefT22x_0)</f>
        <v>90</v>
      </c>
      <c r="U24" s="22"/>
      <c r="V24" s="31">
        <f t="shared" ref="V24:V26" si="17">IF(T$12=0,0,T24/T$12)</f>
        <v>4.2806732018784886E-5</v>
      </c>
      <c r="W24" s="4"/>
      <c r="X24" s="22">
        <f t="shared" ref="X24:X26" si="18">+P24-T24</f>
        <v>-90</v>
      </c>
      <c r="Y24" s="4"/>
      <c r="Z24" s="31">
        <f t="shared" ref="Z24:Z26" si="19">IF(T24=0,0,X24/T24)</f>
        <v>-1</v>
      </c>
    </row>
    <row r="25" spans="1:26" s="27" customFormat="1" outlineLevel="1" collapsed="1" x14ac:dyDescent="0.25">
      <c r="A25" s="25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SUM(OSRRefD22_0x_0)</f>
        <v>0</v>
      </c>
      <c r="E25" s="1"/>
      <c r="F25" s="5">
        <f t="shared" si="12"/>
        <v>0</v>
      </c>
      <c r="G25" s="1"/>
      <c r="H25" s="1">
        <f>SUM(OSRRefH22_0x_0)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SUM(OSRRefP22_0x_0)</f>
        <v>0</v>
      </c>
      <c r="Q25" s="1"/>
      <c r="R25" s="5">
        <f t="shared" si="16"/>
        <v>0</v>
      </c>
      <c r="S25" s="1"/>
      <c r="T25" s="1">
        <f>SUM(OSRRefT22_0x_0)</f>
        <v>90</v>
      </c>
      <c r="U25" s="1"/>
      <c r="V25" s="5">
        <f t="shared" si="17"/>
        <v>4.2806732018784886E-5</v>
      </c>
      <c r="W25" s="1"/>
      <c r="X25" s="1">
        <f t="shared" si="18"/>
        <v>-90</v>
      </c>
      <c r="Y25" s="1"/>
      <c r="Z25" s="5">
        <f t="shared" si="19"/>
        <v>-1</v>
      </c>
    </row>
    <row r="26" spans="1:26" s="24" customFormat="1" hidden="1" outlineLevel="2" x14ac:dyDescent="0.25">
      <c r="A26" s="26"/>
      <c r="B26" s="11" t="str">
        <f>CONCATENATE("          ", "6241", " - ", "OFFICE EXPENSE")</f>
        <v xml:space="preserve">          6241 - OFFICE EXPENSE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90</v>
      </c>
      <c r="U26" s="2"/>
      <c r="V26" s="7">
        <f t="shared" si="17"/>
        <v>4.2806732018784886E-5</v>
      </c>
      <c r="W26" s="2"/>
      <c r="X26" s="6">
        <f t="shared" si="18"/>
        <v>-90</v>
      </c>
      <c r="Y26" s="2"/>
      <c r="Z26" s="7">
        <f t="shared" si="19"/>
        <v>-1</v>
      </c>
    </row>
    <row r="27" spans="1:26" s="58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1">
        <f>+D22-D24+D28</f>
        <v>14218.189999999999</v>
      </c>
      <c r="E30" s="14"/>
      <c r="F30" s="20">
        <f>IF(D$12=0,0,D30/D$12)</f>
        <v>0.63930020539346699</v>
      </c>
      <c r="G30" s="14"/>
      <c r="H30" s="21">
        <f>+H22-H24+H28</f>
        <v>23935.46</v>
      </c>
      <c r="I30" s="14"/>
      <c r="J30" s="20">
        <f>IF(H$12=0,0,H30/H$12)</f>
        <v>0.70899861461341429</v>
      </c>
      <c r="K30" s="16"/>
      <c r="L30" s="21">
        <f>+D30-H30</f>
        <v>-9717.27</v>
      </c>
      <c r="M30" s="16"/>
      <c r="N30" s="20">
        <f>IF(H30=0,0,L30/H30)</f>
        <v>-0.40597799248479038</v>
      </c>
      <c r="O30" s="28"/>
      <c r="P30" s="21">
        <f>+P22-P24+P28</f>
        <v>423339.1399999999</v>
      </c>
      <c r="Q30" s="14"/>
      <c r="R30" s="20">
        <f>IF(P$12=0,0,P30/P$12)</f>
        <v>0.26494467755640272</v>
      </c>
      <c r="S30" s="14"/>
      <c r="T30" s="21">
        <f>+T22-T24+T28</f>
        <v>573515.98</v>
      </c>
      <c r="U30" s="14"/>
      <c r="V30" s="20">
        <f>IF(T$12=0,0,T30/T$12)</f>
        <v>0.27278160960389769</v>
      </c>
      <c r="W30" s="16"/>
      <c r="X30" s="21">
        <f>+P30-T30</f>
        <v>-150176.84000000008</v>
      </c>
      <c r="Y30" s="16"/>
      <c r="Z30" s="20">
        <f>IF(T30=0,0,X30/T30)</f>
        <v>-0.26185293041006474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10311.129999999999</v>
      </c>
      <c r="E32" s="4"/>
      <c r="F32" s="12">
        <f>IF(D$12=0,0,D32/D$12)</f>
        <v>0.46362494289629969</v>
      </c>
      <c r="G32" s="4"/>
      <c r="H32" s="4">
        <v>3627.38</v>
      </c>
      <c r="I32" s="4"/>
      <c r="J32" s="12">
        <f>IF(H$12=0,0,H32/H$12)</f>
        <v>0.10744758591129676</v>
      </c>
      <c r="K32" s="4"/>
      <c r="L32" s="4">
        <f>+D32-H32</f>
        <v>6683.7499999999991</v>
      </c>
      <c r="M32" s="4"/>
      <c r="N32" s="12">
        <f>IF(H32=0,0,L32/H32)</f>
        <v>1.8425833521715396</v>
      </c>
      <c r="O32" s="10"/>
      <c r="P32" s="4">
        <v>189209.18</v>
      </c>
      <c r="Q32" s="4"/>
      <c r="R32" s="12">
        <f>IF(P$12=0,0,P32/P$12)</f>
        <v>0.11841561634440739</v>
      </c>
      <c r="S32" s="4"/>
      <c r="T32" s="4">
        <v>218687.84</v>
      </c>
      <c r="U32" s="4"/>
      <c r="V32" s="12">
        <f>IF(T$12=0,0,T32/T$12)</f>
        <v>0.10401457514052118</v>
      </c>
      <c r="W32" s="4"/>
      <c r="X32" s="4">
        <f>+P32-T32</f>
        <v>-29478.660000000003</v>
      </c>
      <c r="Y32" s="4"/>
      <c r="Z32" s="12">
        <f>IF(T32=0,0,X32/T32)</f>
        <v>-0.13479789274062975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5">
        <f>+D30-D32</f>
        <v>3907.0599999999995</v>
      </c>
      <c r="E34" s="14"/>
      <c r="F34" s="32">
        <f>IF(D$12=0,0,D34/D$12)</f>
        <v>0.17567526249716728</v>
      </c>
      <c r="G34" s="14"/>
      <c r="H34" s="35">
        <f>+H30-H32</f>
        <v>20308.079999999998</v>
      </c>
      <c r="I34" s="14"/>
      <c r="J34" s="32">
        <f>IF(H$12=0,0,H34/H$12)</f>
        <v>0.60155102870211752</v>
      </c>
      <c r="K34" s="16"/>
      <c r="L34" s="35">
        <f>D34-H34</f>
        <v>-16401.019999999997</v>
      </c>
      <c r="M34" s="16"/>
      <c r="N34" s="32">
        <f>IF(H34=0,0,L34/H34)</f>
        <v>-0.80761056682857257</v>
      </c>
      <c r="O34" s="28"/>
      <c r="P34" s="35">
        <f>+P30-P32</f>
        <v>234129.9599999999</v>
      </c>
      <c r="Q34" s="14"/>
      <c r="R34" s="32">
        <f>IF(P$12=0,0,P34/P$12)</f>
        <v>0.14652906121199533</v>
      </c>
      <c r="S34" s="14"/>
      <c r="T34" s="35">
        <f>+T30-T32</f>
        <v>354828.14</v>
      </c>
      <c r="U34" s="14"/>
      <c r="V34" s="32">
        <f>IF(T$12=0,0,T34/T$12)</f>
        <v>0.16876703446337651</v>
      </c>
      <c r="W34" s="16"/>
      <c r="X34" s="35">
        <f>P34-T34</f>
        <v>-120698.18000000011</v>
      </c>
      <c r="Y34" s="16"/>
      <c r="Z34" s="32">
        <f>IF(T34=0,0,X34/T34)</f>
        <v>-0.34015954878888721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6">
        <f>SUM(D34:D36)</f>
        <v>3907.0599999999995</v>
      </c>
      <c r="E37" s="14"/>
      <c r="F37" s="33">
        <f>IF(D$12=0,0,D37/D$12)</f>
        <v>0.17567526249716728</v>
      </c>
      <c r="G37" s="14"/>
      <c r="H37" s="36">
        <f>SUM(H34:H36)</f>
        <v>20308.079999999998</v>
      </c>
      <c r="I37" s="14"/>
      <c r="J37" s="33">
        <f>IF(H$12=0,0,H37/H$12)</f>
        <v>0.60155102870211752</v>
      </c>
      <c r="K37" s="16"/>
      <c r="L37" s="36">
        <f>+D37-H37</f>
        <v>-16401.019999999997</v>
      </c>
      <c r="M37" s="16"/>
      <c r="N37" s="33">
        <f>IF(H37=0,0,L37/H37)</f>
        <v>-0.80761056682857257</v>
      </c>
      <c r="O37" s="28"/>
      <c r="P37" s="36">
        <f>SUM(P34:P36)</f>
        <v>234129.9599999999</v>
      </c>
      <c r="Q37" s="14"/>
      <c r="R37" s="33">
        <f>IF(P$12=0,0,P37/P$12)</f>
        <v>0.14652906121199533</v>
      </c>
      <c r="S37" s="14"/>
      <c r="T37" s="36">
        <f>SUM(T34:T36)</f>
        <v>354828.14</v>
      </c>
      <c r="U37" s="14"/>
      <c r="V37" s="33">
        <f>IF(T$12=0,0,T37/T$12)</f>
        <v>0.16876703446337651</v>
      </c>
      <c r="W37" s="16"/>
      <c r="X37" s="36">
        <f>+P37-T37</f>
        <v>-120698.18000000011</v>
      </c>
      <c r="Y37" s="16"/>
      <c r="Z37" s="33">
        <f>IF(T37=0,0,X37/T37)</f>
        <v>-0.34015954878888721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>
        <v>43992.375734872687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62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3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179475.76000000004</v>
      </c>
      <c r="E12" s="4"/>
      <c r="F12" s="12"/>
      <c r="G12" s="4"/>
      <c r="H12" s="4">
        <f>SUM(OSRRefH13x_0)</f>
        <v>499374.98000000004</v>
      </c>
      <c r="I12" s="4"/>
      <c r="J12" s="12"/>
      <c r="K12" s="4"/>
      <c r="L12" s="4">
        <f t="shared" ref="L12:L44" si="0">+D12-H12</f>
        <v>-319899.21999999997</v>
      </c>
      <c r="M12" s="4"/>
      <c r="N12" s="12">
        <f t="shared" ref="N12:N44" si="1">IF(H12=0,0,L12/H12)</f>
        <v>-0.64059921464227132</v>
      </c>
      <c r="O12" s="10"/>
      <c r="P12" s="4">
        <f>SUM(OSRRefP13x_0)</f>
        <v>2767453.9000000004</v>
      </c>
      <c r="Q12" s="4"/>
      <c r="R12" s="12"/>
      <c r="S12" s="4"/>
      <c r="T12" s="4">
        <f>SUM(OSRRefT13x_0)</f>
        <v>3476319.1899999995</v>
      </c>
      <c r="U12" s="4"/>
      <c r="V12" s="12"/>
      <c r="W12" s="4"/>
      <c r="X12" s="4">
        <f t="shared" ref="X12:X44" si="2">+P12-T12</f>
        <v>-708865.28999999911</v>
      </c>
      <c r="Y12" s="4"/>
      <c r="Z12" s="12">
        <f t="shared" ref="Z12:Z44" si="3">IF(T12=0,0,X12/T12)</f>
        <v>-0.20391260159283567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--62.95</f>
        <v>62.95</v>
      </c>
      <c r="I15" s="2"/>
      <c r="J15" s="19"/>
      <c r="K15" s="2"/>
      <c r="L15" s="2">
        <f t="shared" si="0"/>
        <v>-62.95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--513.89</f>
        <v>513.89</v>
      </c>
      <c r="U15" s="2"/>
      <c r="V15" s="19"/>
      <c r="W15" s="2"/>
      <c r="X15" s="2">
        <f t="shared" si="2"/>
        <v>-284.38</v>
      </c>
      <c r="Y15" s="2"/>
      <c r="Z15" s="19">
        <f t="shared" si="3"/>
        <v>-0.55338691159586684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>--50806.72</f>
        <v>50806.720000000001</v>
      </c>
      <c r="E18" s="2"/>
      <c r="F18" s="19"/>
      <c r="G18" s="2"/>
      <c r="H18" s="2">
        <f>--251041.75</f>
        <v>251041.75</v>
      </c>
      <c r="I18" s="2"/>
      <c r="J18" s="19"/>
      <c r="K18" s="2"/>
      <c r="L18" s="2">
        <f t="shared" si="0"/>
        <v>-200235.03</v>
      </c>
      <c r="M18" s="2"/>
      <c r="N18" s="19">
        <f t="shared" si="1"/>
        <v>-0.79761645224350131</v>
      </c>
      <c r="O18" s="11"/>
      <c r="P18" s="2">
        <f>--1894910.12</f>
        <v>1894910.12</v>
      </c>
      <c r="Q18" s="2"/>
      <c r="R18" s="19"/>
      <c r="S18" s="2"/>
      <c r="T18" s="2">
        <f>--2379452.63</f>
        <v>2379452.63</v>
      </c>
      <c r="U18" s="2"/>
      <c r="V18" s="19"/>
      <c r="W18" s="2"/>
      <c r="X18" s="2">
        <f t="shared" si="2"/>
        <v>-484542.50999999978</v>
      </c>
      <c r="Y18" s="2"/>
      <c r="Z18" s="19">
        <f t="shared" si="3"/>
        <v>-0.20363612365756564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>--44686.17</f>
        <v>44686.17</v>
      </c>
      <c r="E19" s="2"/>
      <c r="F19" s="19"/>
      <c r="G19" s="2"/>
      <c r="H19" s="2">
        <f>--163079.05</f>
        <v>163079.04999999999</v>
      </c>
      <c r="I19" s="2"/>
      <c r="J19" s="19"/>
      <c r="K19" s="2"/>
      <c r="L19" s="2">
        <f t="shared" si="0"/>
        <v>-118392.87999999999</v>
      </c>
      <c r="M19" s="2"/>
      <c r="N19" s="19">
        <f t="shared" si="1"/>
        <v>-0.72598460685170785</v>
      </c>
      <c r="O19" s="11"/>
      <c r="P19" s="2">
        <f>--351118.01</f>
        <v>351118.01</v>
      </c>
      <c r="Q19" s="2"/>
      <c r="R19" s="19"/>
      <c r="S19" s="2"/>
      <c r="T19" s="2">
        <f>--633371.09</f>
        <v>633371.09</v>
      </c>
      <c r="U19" s="2"/>
      <c r="V19" s="19"/>
      <c r="W19" s="2"/>
      <c r="X19" s="2">
        <f t="shared" si="2"/>
        <v>-282253.07999999996</v>
      </c>
      <c r="Y19" s="2"/>
      <c r="Z19" s="19">
        <f t="shared" si="3"/>
        <v>-0.44563619094139578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>--1342.97</f>
        <v>1342.97</v>
      </c>
      <c r="E20" s="2"/>
      <c r="F20" s="19"/>
      <c r="G20" s="2"/>
      <c r="H20" s="2">
        <f>--23481.74</f>
        <v>23481.74</v>
      </c>
      <c r="I20" s="2"/>
      <c r="J20" s="19"/>
      <c r="K20" s="2"/>
      <c r="L20" s="2">
        <f t="shared" si="0"/>
        <v>-22138.77</v>
      </c>
      <c r="M20" s="2"/>
      <c r="N20" s="19">
        <f t="shared" si="1"/>
        <v>-0.94280790094771505</v>
      </c>
      <c r="O20" s="11"/>
      <c r="P20" s="2">
        <f>--205614.84</f>
        <v>205614.84</v>
      </c>
      <c r="Q20" s="2"/>
      <c r="R20" s="19"/>
      <c r="S20" s="2"/>
      <c r="T20" s="2">
        <f>--228247.62</f>
        <v>228247.62</v>
      </c>
      <c r="U20" s="2"/>
      <c r="V20" s="19"/>
      <c r="W20" s="2"/>
      <c r="X20" s="2">
        <f t="shared" si="2"/>
        <v>-22632.78</v>
      </c>
      <c r="Y20" s="2"/>
      <c r="Z20" s="19">
        <f t="shared" si="3"/>
        <v>-9.9158887177005398E-2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>--49.95</f>
        <v>49.95</v>
      </c>
      <c r="E21" s="2"/>
      <c r="F21" s="19"/>
      <c r="G21" s="2"/>
      <c r="H21" s="2">
        <f>--942.23</f>
        <v>942.23</v>
      </c>
      <c r="I21" s="2"/>
      <c r="J21" s="19"/>
      <c r="K21" s="2"/>
      <c r="L21" s="2">
        <f t="shared" si="0"/>
        <v>-892.28</v>
      </c>
      <c r="M21" s="2"/>
      <c r="N21" s="19">
        <f t="shared" si="1"/>
        <v>-0.9469874659053521</v>
      </c>
      <c r="O21" s="11"/>
      <c r="P21" s="2">
        <f>--76347.46</f>
        <v>76347.460000000006</v>
      </c>
      <c r="Q21" s="2"/>
      <c r="R21" s="19"/>
      <c r="S21" s="2"/>
      <c r="T21" s="2">
        <f>--3665.39</f>
        <v>3665.39</v>
      </c>
      <c r="U21" s="2"/>
      <c r="V21" s="19"/>
      <c r="W21" s="2"/>
      <c r="X21" s="2">
        <f t="shared" si="2"/>
        <v>72682.070000000007</v>
      </c>
      <c r="Y21" s="2"/>
      <c r="Z21" s="19">
        <f t="shared" si="3"/>
        <v>19.829286924447334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>--3915.24</f>
        <v>3915.24</v>
      </c>
      <c r="E22" s="2"/>
      <c r="F22" s="19"/>
      <c r="G22" s="2"/>
      <c r="H22" s="2">
        <f>--5486.9</f>
        <v>5486.9</v>
      </c>
      <c r="I22" s="2"/>
      <c r="J22" s="19"/>
      <c r="K22" s="2"/>
      <c r="L22" s="2">
        <f t="shared" si="0"/>
        <v>-1571.6599999999999</v>
      </c>
      <c r="M22" s="2"/>
      <c r="N22" s="19">
        <f t="shared" si="1"/>
        <v>-0.28643860832163881</v>
      </c>
      <c r="O22" s="11"/>
      <c r="P22" s="2">
        <f>--70841.08</f>
        <v>70841.08</v>
      </c>
      <c r="Q22" s="2"/>
      <c r="R22" s="19"/>
      <c r="S22" s="2"/>
      <c r="T22" s="2">
        <f>--85687.27</f>
        <v>85687.27</v>
      </c>
      <c r="U22" s="2"/>
      <c r="V22" s="19"/>
      <c r="W22" s="2"/>
      <c r="X22" s="2">
        <f t="shared" si="2"/>
        <v>-14846.190000000002</v>
      </c>
      <c r="Y22" s="2"/>
      <c r="Z22" s="19">
        <f t="shared" si="3"/>
        <v>-0.17326015871435746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>--13525.59</f>
        <v>13525.59</v>
      </c>
      <c r="E23" s="2"/>
      <c r="F23" s="19"/>
      <c r="G23" s="2"/>
      <c r="H23" s="2">
        <f>--61115.47</f>
        <v>61115.47</v>
      </c>
      <c r="I23" s="2"/>
      <c r="J23" s="19"/>
      <c r="K23" s="2"/>
      <c r="L23" s="2">
        <f t="shared" si="0"/>
        <v>-47589.880000000005</v>
      </c>
      <c r="M23" s="2"/>
      <c r="N23" s="19">
        <f t="shared" si="1"/>
        <v>-0.77868794922136741</v>
      </c>
      <c r="O23" s="11"/>
      <c r="P23" s="2">
        <f>--96839.56</f>
        <v>96839.56</v>
      </c>
      <c r="Q23" s="2"/>
      <c r="R23" s="19"/>
      <c r="S23" s="2"/>
      <c r="T23" s="2">
        <f>--193484.96</f>
        <v>193484.96</v>
      </c>
      <c r="U23" s="2"/>
      <c r="V23" s="19"/>
      <c r="W23" s="2"/>
      <c r="X23" s="2">
        <f t="shared" si="2"/>
        <v>-96645.4</v>
      </c>
      <c r="Y23" s="2"/>
      <c r="Z23" s="19">
        <f t="shared" si="3"/>
        <v>-0.49949825557500693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ref="D24:D26" si="7">0</f>
        <v>0</v>
      </c>
      <c r="E24" s="2"/>
      <c r="F24" s="19"/>
      <c r="G24" s="2"/>
      <c r="H24" s="2">
        <f>--359.55</f>
        <v>359.55</v>
      </c>
      <c r="I24" s="2"/>
      <c r="J24" s="19"/>
      <c r="K24" s="2"/>
      <c r="L24" s="2">
        <f t="shared" si="0"/>
        <v>-359.55</v>
      </c>
      <c r="M24" s="2"/>
      <c r="N24" s="19">
        <f t="shared" si="1"/>
        <v>-1</v>
      </c>
      <c r="O24" s="11"/>
      <c r="P24" s="2">
        <f>-39.95</f>
        <v>-39.950000000000003</v>
      </c>
      <c r="Q24" s="2"/>
      <c r="R24" s="19"/>
      <c r="S24" s="2"/>
      <c r="T24" s="2">
        <f>--364.55</f>
        <v>364.55</v>
      </c>
      <c r="U24" s="2"/>
      <c r="V24" s="19"/>
      <c r="W24" s="2"/>
      <c r="X24" s="2">
        <f t="shared" si="2"/>
        <v>-404.5</v>
      </c>
      <c r="Y24" s="2"/>
      <c r="Z24" s="19">
        <f t="shared" si="3"/>
        <v>-1.1095871622548348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7"/>
        <v>0</v>
      </c>
      <c r="E25" s="2"/>
      <c r="F25" s="19"/>
      <c r="G25" s="2"/>
      <c r="H25" s="2">
        <f>--10.89</f>
        <v>10.89</v>
      </c>
      <c r="I25" s="2"/>
      <c r="J25" s="19"/>
      <c r="K25" s="2"/>
      <c r="L25" s="2">
        <f t="shared" si="0"/>
        <v>-10.89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--47.52</f>
        <v>47.52</v>
      </c>
      <c r="U25" s="2"/>
      <c r="V25" s="19"/>
      <c r="W25" s="2"/>
      <c r="X25" s="2">
        <f t="shared" si="2"/>
        <v>-17.820000000000004</v>
      </c>
      <c r="Y25" s="2"/>
      <c r="Z25" s="19">
        <f t="shared" si="3"/>
        <v>-0.37500000000000006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7"/>
        <v>0</v>
      </c>
      <c r="E26" s="2"/>
      <c r="F26" s="19"/>
      <c r="G26" s="2"/>
      <c r="H26" s="2">
        <f>--10.5</f>
        <v>10.5</v>
      </c>
      <c r="I26" s="2"/>
      <c r="J26" s="19"/>
      <c r="K26" s="2"/>
      <c r="L26" s="2">
        <f t="shared" si="0"/>
        <v>-10.5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--117</f>
        <v>117</v>
      </c>
      <c r="U26" s="2"/>
      <c r="V26" s="19"/>
      <c r="W26" s="2"/>
      <c r="X26" s="2">
        <f t="shared" si="2"/>
        <v>6</v>
      </c>
      <c r="Y26" s="2"/>
      <c r="Z26" s="19">
        <f t="shared" si="3"/>
        <v>5.128205128205128E-2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>--56556.05</f>
        <v>56556.05</v>
      </c>
      <c r="E27" s="2"/>
      <c r="F27" s="19"/>
      <c r="G27" s="2"/>
      <c r="H27" s="2">
        <f>--8734.95</f>
        <v>8734.9500000000007</v>
      </c>
      <c r="I27" s="2"/>
      <c r="J27" s="19"/>
      <c r="K27" s="2"/>
      <c r="L27" s="2">
        <f t="shared" si="0"/>
        <v>47821.100000000006</v>
      </c>
      <c r="M27" s="2"/>
      <c r="N27" s="19">
        <f t="shared" si="1"/>
        <v>5.4746850296796206</v>
      </c>
      <c r="O27" s="11"/>
      <c r="P27" s="2">
        <f>--135480.76</f>
        <v>135480.76</v>
      </c>
      <c r="Q27" s="2"/>
      <c r="R27" s="19"/>
      <c r="S27" s="2"/>
      <c r="T27" s="2">
        <f>--55990.72</f>
        <v>55990.720000000001</v>
      </c>
      <c r="U27" s="2"/>
      <c r="V27" s="19"/>
      <c r="W27" s="2"/>
      <c r="X27" s="2">
        <f t="shared" si="2"/>
        <v>79490.040000000008</v>
      </c>
      <c r="Y27" s="2"/>
      <c r="Z27" s="19">
        <f t="shared" si="3"/>
        <v>1.4197002646152792</v>
      </c>
    </row>
    <row r="28" spans="1:26" s="24" customFormat="1" hidden="1" outlineLevel="1" x14ac:dyDescent="0.25">
      <c r="A28" s="44"/>
      <c r="B28" s="11" t="str">
        <f>CONCATENATE("          ", "4141", " - ", "NON-TAXABLE SALES-LOGO GIFTS")</f>
        <v xml:space="preserve">          4141 - NON-TAXABLE SALES-LOGO GIFTS</v>
      </c>
      <c r="C28" s="11"/>
      <c r="D28" s="2">
        <f>--4127.98</f>
        <v>4127.9799999999996</v>
      </c>
      <c r="E28" s="2"/>
      <c r="F28" s="19"/>
      <c r="G28" s="2"/>
      <c r="H28" s="2">
        <f>--435.05</f>
        <v>435.05</v>
      </c>
      <c r="I28" s="2"/>
      <c r="J28" s="19"/>
      <c r="K28" s="2"/>
      <c r="L28" s="2">
        <f t="shared" si="0"/>
        <v>3692.9299999999994</v>
      </c>
      <c r="M28" s="2"/>
      <c r="N28" s="19">
        <f t="shared" si="1"/>
        <v>8.4885185610849305</v>
      </c>
      <c r="O28" s="11"/>
      <c r="P28" s="2">
        <f>--16038.71</f>
        <v>16038.71</v>
      </c>
      <c r="Q28" s="2"/>
      <c r="R28" s="19"/>
      <c r="S28" s="2"/>
      <c r="T28" s="2">
        <f>--4512.08</f>
        <v>4512.08</v>
      </c>
      <c r="U28" s="2"/>
      <c r="V28" s="19"/>
      <c r="W28" s="2"/>
      <c r="X28" s="2">
        <f t="shared" si="2"/>
        <v>11526.63</v>
      </c>
      <c r="Y28" s="2"/>
      <c r="Z28" s="19">
        <f t="shared" si="3"/>
        <v>2.5546156096523109</v>
      </c>
    </row>
    <row r="29" spans="1:26" s="24" customFormat="1" hidden="1" outlineLevel="1" x14ac:dyDescent="0.25">
      <c r="A29" s="44"/>
      <c r="B29" s="11" t="str">
        <f>CONCATENATE("          ", "4142", " - ", "NON-TAXABLE SALES-EVERYDAY GIF")</f>
        <v xml:space="preserve">          4142 - NON-TAXABLE SALES-EVERYDAY GIF</v>
      </c>
      <c r="C29" s="11"/>
      <c r="D29" s="2">
        <f>--1204.14</f>
        <v>1204.1400000000001</v>
      </c>
      <c r="E29" s="2"/>
      <c r="F29" s="19"/>
      <c r="G29" s="2"/>
      <c r="H29" s="2">
        <f>--474.69</f>
        <v>474.69</v>
      </c>
      <c r="I29" s="2"/>
      <c r="J29" s="19"/>
      <c r="K29" s="2"/>
      <c r="L29" s="2">
        <f t="shared" si="0"/>
        <v>729.45</v>
      </c>
      <c r="M29" s="2"/>
      <c r="N29" s="19">
        <f t="shared" si="1"/>
        <v>1.5366871010554257</v>
      </c>
      <c r="O29" s="11"/>
      <c r="P29" s="2">
        <f>--6408.2</f>
        <v>6408.2</v>
      </c>
      <c r="Q29" s="2"/>
      <c r="R29" s="19"/>
      <c r="S29" s="2"/>
      <c r="T29" s="2">
        <f>--7375.88</f>
        <v>7375.88</v>
      </c>
      <c r="U29" s="2"/>
      <c r="V29" s="19"/>
      <c r="W29" s="2"/>
      <c r="X29" s="2">
        <f t="shared" si="2"/>
        <v>-967.68000000000029</v>
      </c>
      <c r="Y29" s="2"/>
      <c r="Z29" s="19">
        <f t="shared" si="3"/>
        <v>-0.13119519298036306</v>
      </c>
    </row>
    <row r="30" spans="1:26" s="24" customFormat="1" hidden="1" outlineLevel="1" x14ac:dyDescent="0.25">
      <c r="A30" s="44"/>
      <c r="B30" s="11" t="str">
        <f>CONCATENATE("          ", "4143", " - ", "NON-TAXABLE SALES-CARDS")</f>
        <v xml:space="preserve">          4143 - NON-TAXABLE SALES-CARDS</v>
      </c>
      <c r="C30" s="11"/>
      <c r="D30" s="2">
        <f>--19.98</f>
        <v>19.98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19.98</v>
      </c>
      <c r="M30" s="2"/>
      <c r="N30" s="19">
        <f t="shared" si="1"/>
        <v>0</v>
      </c>
      <c r="O30" s="11"/>
      <c r="P30" s="2">
        <f>--19.98</f>
        <v>19.98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19.98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"4144", " - ", "NON-TAXABLE SALES-ACCESSORIES")</f>
        <v xml:space="preserve">          4144 - NON-TAXABLE SALES-ACCESSORIES</v>
      </c>
      <c r="C31" s="11"/>
      <c r="D31" s="2">
        <f>--984.35</f>
        <v>984.35</v>
      </c>
      <c r="E31" s="2"/>
      <c r="F31" s="19"/>
      <c r="G31" s="2"/>
      <c r="H31" s="2">
        <f>--59.85</f>
        <v>59.85</v>
      </c>
      <c r="I31" s="2"/>
      <c r="J31" s="19"/>
      <c r="K31" s="2"/>
      <c r="L31" s="2">
        <f t="shared" si="0"/>
        <v>924.5</v>
      </c>
      <c r="M31" s="2"/>
      <c r="N31" s="19">
        <f t="shared" si="1"/>
        <v>15.446950710108604</v>
      </c>
      <c r="O31" s="11"/>
      <c r="P31" s="2">
        <f>--3324.02</f>
        <v>3324.02</v>
      </c>
      <c r="Q31" s="2"/>
      <c r="R31" s="19"/>
      <c r="S31" s="2"/>
      <c r="T31" s="2">
        <f>--639.89</f>
        <v>639.89</v>
      </c>
      <c r="U31" s="2"/>
      <c r="V31" s="19"/>
      <c r="W31" s="2"/>
      <c r="X31" s="2">
        <f t="shared" si="2"/>
        <v>2684.13</v>
      </c>
      <c r="Y31" s="2"/>
      <c r="Z31" s="19">
        <f t="shared" si="3"/>
        <v>4.1946740846082919</v>
      </c>
    </row>
    <row r="32" spans="1:26" s="24" customFormat="1" hidden="1" outlineLevel="1" x14ac:dyDescent="0.25">
      <c r="A32" s="44"/>
      <c r="B32" s="11" t="str">
        <f>CONCATENATE("          ", "4145", " - ", "NON-TAXABLE SALES-SPECIAL ORDE")</f>
        <v xml:space="preserve">          4145 - NON-TAXABLE SALES-SPECIAL ORDE</v>
      </c>
      <c r="C32" s="11"/>
      <c r="D32" s="2">
        <f>--7688.68</f>
        <v>7688.68</v>
      </c>
      <c r="E32" s="2"/>
      <c r="F32" s="19"/>
      <c r="G32" s="2"/>
      <c r="H32" s="2">
        <f>--431.9</f>
        <v>431.9</v>
      </c>
      <c r="I32" s="2"/>
      <c r="J32" s="19"/>
      <c r="K32" s="2"/>
      <c r="L32" s="2">
        <f t="shared" si="0"/>
        <v>7256.7800000000007</v>
      </c>
      <c r="M32" s="2"/>
      <c r="N32" s="19">
        <f t="shared" si="1"/>
        <v>16.801991201667054</v>
      </c>
      <c r="O32" s="11"/>
      <c r="P32" s="2">
        <f>--7828.68</f>
        <v>7828.68</v>
      </c>
      <c r="Q32" s="2"/>
      <c r="R32" s="19"/>
      <c r="S32" s="2"/>
      <c r="T32" s="2">
        <f>--2382.85</f>
        <v>2382.85</v>
      </c>
      <c r="U32" s="2"/>
      <c r="V32" s="19"/>
      <c r="W32" s="2"/>
      <c r="X32" s="2">
        <f t="shared" si="2"/>
        <v>5445.83</v>
      </c>
      <c r="Y32" s="2"/>
      <c r="Z32" s="19">
        <f t="shared" si="3"/>
        <v>2.2854271145896723</v>
      </c>
    </row>
    <row r="33" spans="1:26" s="24" customFormat="1" hidden="1" outlineLevel="1" x14ac:dyDescent="0.25">
      <c r="A33" s="44"/>
      <c r="B33" s="11" t="str">
        <f>CONCATENATE("          ", "4226", " - ", "SALES RETURN TAXABLE-WRITING I")</f>
        <v xml:space="preserve">          4226 - SALES RETURN TAXABLE-WRITING I</v>
      </c>
      <c r="C33" s="11"/>
      <c r="D33" s="2">
        <f t="shared" ref="D33:D34" si="8">0</f>
        <v>0</v>
      </c>
      <c r="E33" s="2"/>
      <c r="F33" s="19"/>
      <c r="G33" s="2"/>
      <c r="H33" s="2">
        <f t="shared" ref="H33:H34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-134.8</f>
        <v>-134.80000000000001</v>
      </c>
      <c r="Q33" s="2"/>
      <c r="R33" s="19"/>
      <c r="S33" s="2"/>
      <c r="T33" s="2">
        <f>-5.07</f>
        <v>-5.07</v>
      </c>
      <c r="U33" s="2"/>
      <c r="V33" s="19"/>
      <c r="W33" s="2"/>
      <c r="X33" s="2">
        <f t="shared" si="2"/>
        <v>-129.73000000000002</v>
      </c>
      <c r="Y33" s="2"/>
      <c r="Z33" s="19">
        <f t="shared" si="3"/>
        <v>25.587771203155821</v>
      </c>
    </row>
    <row r="34" spans="1:26" s="24" customFormat="1" hidden="1" outlineLevel="1" x14ac:dyDescent="0.25">
      <c r="A34" s="44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-4.99</f>
        <v>-4.99</v>
      </c>
      <c r="U34" s="2"/>
      <c r="V34" s="19"/>
      <c r="W34" s="2"/>
      <c r="X34" s="2">
        <f t="shared" si="2"/>
        <v>4.99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"4240", " - ", "SALES RETURN TAXABLE-LOGO CLOT")</f>
        <v xml:space="preserve">          4240 - SALES RETURN TAXABLE-LOGO CLOT</v>
      </c>
      <c r="C35" s="11"/>
      <c r="D35" s="2">
        <f>-3229.58</f>
        <v>-3229.58</v>
      </c>
      <c r="E35" s="2"/>
      <c r="F35" s="19"/>
      <c r="G35" s="2"/>
      <c r="H35" s="2">
        <f>-9632.91</f>
        <v>-9632.91</v>
      </c>
      <c r="I35" s="2"/>
      <c r="J35" s="19"/>
      <c r="K35" s="2"/>
      <c r="L35" s="2">
        <f t="shared" si="0"/>
        <v>6403.33</v>
      </c>
      <c r="M35" s="2"/>
      <c r="N35" s="19">
        <f t="shared" si="1"/>
        <v>-0.66473474785916198</v>
      </c>
      <c r="O35" s="11"/>
      <c r="P35" s="2">
        <f>-77684.77</f>
        <v>-77684.77</v>
      </c>
      <c r="Q35" s="2"/>
      <c r="R35" s="19"/>
      <c r="S35" s="2"/>
      <c r="T35" s="2">
        <f>-93504.03</f>
        <v>-93504.03</v>
      </c>
      <c r="U35" s="2"/>
      <c r="V35" s="19"/>
      <c r="W35" s="2"/>
      <c r="X35" s="2">
        <f t="shared" si="2"/>
        <v>15819.259999999995</v>
      </c>
      <c r="Y35" s="2"/>
      <c r="Z35" s="19">
        <f t="shared" si="3"/>
        <v>-0.16918265448024</v>
      </c>
    </row>
    <row r="36" spans="1:26" s="24" customFormat="1" hidden="1" outlineLevel="1" x14ac:dyDescent="0.25">
      <c r="A36" s="44"/>
      <c r="B36" s="11" t="str">
        <f>CONCATENATE("          ", "4241", " - ", "SALES RETURN TAXABLE-LOGO GIFT")</f>
        <v xml:space="preserve">          4241 - SALES RETURN TAXABLE-LOGO GIFT</v>
      </c>
      <c r="C36" s="11"/>
      <c r="D36" s="2">
        <f>-1133.39</f>
        <v>-1133.3900000000001</v>
      </c>
      <c r="E36" s="2"/>
      <c r="F36" s="19"/>
      <c r="G36" s="2"/>
      <c r="H36" s="2">
        <f>-4520.99</f>
        <v>-4520.99</v>
      </c>
      <c r="I36" s="2"/>
      <c r="J36" s="19"/>
      <c r="K36" s="2"/>
      <c r="L36" s="2">
        <f t="shared" si="0"/>
        <v>3387.5999999999995</v>
      </c>
      <c r="M36" s="2"/>
      <c r="N36" s="19">
        <f t="shared" si="1"/>
        <v>-0.74930490888057699</v>
      </c>
      <c r="O36" s="11"/>
      <c r="P36" s="2">
        <f>-6405.87</f>
        <v>-6405.87</v>
      </c>
      <c r="Q36" s="2"/>
      <c r="R36" s="19"/>
      <c r="S36" s="2"/>
      <c r="T36" s="2">
        <f>-14188.99</f>
        <v>-14188.99</v>
      </c>
      <c r="U36" s="2"/>
      <c r="V36" s="19"/>
      <c r="W36" s="2"/>
      <c r="X36" s="2">
        <f t="shared" si="2"/>
        <v>7783.12</v>
      </c>
      <c r="Y36" s="2"/>
      <c r="Z36" s="19">
        <f t="shared" si="3"/>
        <v>-0.54853234796838957</v>
      </c>
    </row>
    <row r="37" spans="1:26" s="24" customFormat="1" hidden="1" outlineLevel="1" x14ac:dyDescent="0.25">
      <c r="A37" s="44"/>
      <c r="B37" s="11" t="str">
        <f>CONCATENATE("          ", "4242", " - ", "SALES RETURN TAXABLE-EVERYDAY")</f>
        <v xml:space="preserve">          4242 - SALES RETURN TAXABLE-EVERYDAY</v>
      </c>
      <c r="C37" s="11"/>
      <c r="D37" s="2">
        <f t="shared" ref="D37:D38" si="10">0</f>
        <v>0</v>
      </c>
      <c r="E37" s="2"/>
      <c r="F37" s="19"/>
      <c r="G37" s="2"/>
      <c r="H37" s="2">
        <f>-769.19</f>
        <v>-769.19</v>
      </c>
      <c r="I37" s="2"/>
      <c r="J37" s="19"/>
      <c r="K37" s="2"/>
      <c r="L37" s="2">
        <f t="shared" si="0"/>
        <v>769.19</v>
      </c>
      <c r="M37" s="2"/>
      <c r="N37" s="19">
        <f t="shared" si="1"/>
        <v>-1</v>
      </c>
      <c r="O37" s="11"/>
      <c r="P37" s="2">
        <f>-3953.71</f>
        <v>-3953.71</v>
      </c>
      <c r="Q37" s="2"/>
      <c r="R37" s="19"/>
      <c r="S37" s="2"/>
      <c r="T37" s="2">
        <f>-5008.37</f>
        <v>-5008.37</v>
      </c>
      <c r="U37" s="2"/>
      <c r="V37" s="19"/>
      <c r="W37" s="2"/>
      <c r="X37" s="2">
        <f t="shared" si="2"/>
        <v>1054.6599999999999</v>
      </c>
      <c r="Y37" s="2"/>
      <c r="Z37" s="19">
        <f t="shared" si="3"/>
        <v>-0.2105794899338507</v>
      </c>
    </row>
    <row r="38" spans="1:26" s="24" customFormat="1" hidden="1" outlineLevel="1" x14ac:dyDescent="0.25">
      <c r="A38" s="44"/>
      <c r="B38" s="11" t="str">
        <f>CONCATENATE("          ", "4243", " - ", "SALES RETURN TAXABLE-CARDS")</f>
        <v xml:space="preserve">          4243 - SALES RETURN TAXABLE-CARDS</v>
      </c>
      <c r="C38" s="11"/>
      <c r="D38" s="2">
        <f t="shared" si="10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-3006.31</f>
        <v>-3006.31</v>
      </c>
      <c r="Q38" s="2"/>
      <c r="R38" s="19"/>
      <c r="S38" s="2"/>
      <c r="T38" s="2">
        <f>-25.94</f>
        <v>-25.94</v>
      </c>
      <c r="U38" s="2"/>
      <c r="V38" s="19"/>
      <c r="W38" s="2"/>
      <c r="X38" s="2">
        <f t="shared" si="2"/>
        <v>-2980.37</v>
      </c>
      <c r="Y38" s="2"/>
      <c r="Z38" s="19">
        <f t="shared" si="3"/>
        <v>114.89475713184271</v>
      </c>
    </row>
    <row r="39" spans="1:26" s="24" customFormat="1" hidden="1" outlineLevel="1" x14ac:dyDescent="0.25">
      <c r="A39" s="44"/>
      <c r="B39" s="11" t="str">
        <f>CONCATENATE("          ", "4244", " - ", "SALES RETURN TAXABLE-ACCESSORI")</f>
        <v xml:space="preserve">          4244 - SALES RETURN TAXABLE-ACCESSORI</v>
      </c>
      <c r="C39" s="11"/>
      <c r="D39" s="2">
        <f>-255.71</f>
        <v>-255.71</v>
      </c>
      <c r="E39" s="2"/>
      <c r="F39" s="19"/>
      <c r="G39" s="2"/>
      <c r="H39" s="2">
        <f>-146.8</f>
        <v>-146.80000000000001</v>
      </c>
      <c r="I39" s="2"/>
      <c r="J39" s="19"/>
      <c r="K39" s="2"/>
      <c r="L39" s="2">
        <f t="shared" si="0"/>
        <v>-108.91</v>
      </c>
      <c r="M39" s="2"/>
      <c r="N39" s="19">
        <f t="shared" si="1"/>
        <v>0.74189373297002714</v>
      </c>
      <c r="O39" s="11"/>
      <c r="P39" s="2">
        <f>-2726.41</f>
        <v>-2726.41</v>
      </c>
      <c r="Q39" s="2"/>
      <c r="R39" s="19"/>
      <c r="S39" s="2"/>
      <c r="T39" s="2">
        <f>-3976.02</f>
        <v>-3976.02</v>
      </c>
      <c r="U39" s="2"/>
      <c r="V39" s="19"/>
      <c r="W39" s="2"/>
      <c r="X39" s="2">
        <f t="shared" si="2"/>
        <v>1249.6100000000001</v>
      </c>
      <c r="Y39" s="2"/>
      <c r="Z39" s="19">
        <f t="shared" si="3"/>
        <v>-0.31428664845750276</v>
      </c>
    </row>
    <row r="40" spans="1:26" s="24" customFormat="1" hidden="1" outlineLevel="1" x14ac:dyDescent="0.25">
      <c r="A40" s="44"/>
      <c r="B40" s="11" t="str">
        <f>CONCATENATE("          ", "4245", " - ", "SALES RETURN TAXABLE-SPECIAL O")</f>
        <v xml:space="preserve">          4245 - SALES RETURN TAXABLE-SPECIAL O</v>
      </c>
      <c r="C40" s="11"/>
      <c r="D40" s="2">
        <f>-175</f>
        <v>-175</v>
      </c>
      <c r="E40" s="2"/>
      <c r="F40" s="19"/>
      <c r="G40" s="2"/>
      <c r="H40" s="2">
        <f>-1158.8</f>
        <v>-1158.8</v>
      </c>
      <c r="I40" s="2"/>
      <c r="J40" s="19"/>
      <c r="K40" s="2"/>
      <c r="L40" s="2">
        <f t="shared" si="0"/>
        <v>983.8</v>
      </c>
      <c r="M40" s="2"/>
      <c r="N40" s="19">
        <f t="shared" si="1"/>
        <v>-0.84898170521228855</v>
      </c>
      <c r="O40" s="11"/>
      <c r="P40" s="2">
        <f>-1910.03</f>
        <v>-1910.03</v>
      </c>
      <c r="Q40" s="2"/>
      <c r="R40" s="19"/>
      <c r="S40" s="2"/>
      <c r="T40" s="2">
        <f>-1910.72</f>
        <v>-1910.72</v>
      </c>
      <c r="U40" s="2"/>
      <c r="V40" s="19"/>
      <c r="W40" s="2"/>
      <c r="X40" s="2">
        <f t="shared" si="2"/>
        <v>0.69000000000005457</v>
      </c>
      <c r="Y40" s="2"/>
      <c r="Z40" s="19">
        <f t="shared" si="3"/>
        <v>-3.6112041534084249E-4</v>
      </c>
    </row>
    <row r="41" spans="1:26" s="24" customFormat="1" hidden="1" outlineLevel="1" x14ac:dyDescent="0.25">
      <c r="A41" s="44"/>
      <c r="B41" s="11" t="str">
        <f>CONCATENATE("          ", "4295", " - ", "SALES RETURN TAXABLE-CUSTOMER")</f>
        <v xml:space="preserve">          4295 - SALES RETURN TAXABLE-CUSTOMER</v>
      </c>
      <c r="C41" s="11"/>
      <c r="D41" s="2">
        <f>0</f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--0.99</f>
        <v>0.99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0.99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"4340", " - ", "SALES RETURN NON TAXABLE-LOGO")</f>
        <v xml:space="preserve">          4340 - SALES RETURN NON TAXABLE-LOGO</v>
      </c>
      <c r="C42" s="11"/>
      <c r="D42" s="2">
        <f>-598.43</f>
        <v>-598.42999999999995</v>
      </c>
      <c r="E42" s="2"/>
      <c r="F42" s="19"/>
      <c r="G42" s="2"/>
      <c r="H42" s="2">
        <f>-96.85</f>
        <v>-96.85</v>
      </c>
      <c r="I42" s="2"/>
      <c r="J42" s="19"/>
      <c r="K42" s="2"/>
      <c r="L42" s="2">
        <f t="shared" si="0"/>
        <v>-501.57999999999993</v>
      </c>
      <c r="M42" s="2"/>
      <c r="N42" s="19">
        <f t="shared" si="1"/>
        <v>5.1789364997418685</v>
      </c>
      <c r="O42" s="11"/>
      <c r="P42" s="2">
        <f>-1618.83</f>
        <v>-1618.83</v>
      </c>
      <c r="Q42" s="2"/>
      <c r="R42" s="19"/>
      <c r="S42" s="2"/>
      <c r="T42" s="2">
        <f>-1035.87</f>
        <v>-1035.8699999999999</v>
      </c>
      <c r="U42" s="2"/>
      <c r="V42" s="19"/>
      <c r="W42" s="2"/>
      <c r="X42" s="2">
        <f t="shared" si="2"/>
        <v>-582.96</v>
      </c>
      <c r="Y42" s="2"/>
      <c r="Z42" s="19">
        <f t="shared" si="3"/>
        <v>0.56277332097657051</v>
      </c>
    </row>
    <row r="43" spans="1:26" s="24" customFormat="1" hidden="1" outlineLevel="1" x14ac:dyDescent="0.25">
      <c r="A43" s="44"/>
      <c r="B43" s="11" t="str">
        <f>CONCATENATE("          ", "4341", " - ", "SALES RETURN NON TAXABLE-LOGO")</f>
        <v xml:space="preserve">          4341 - SALES RETURN NON TAXABLE-LOGO</v>
      </c>
      <c r="C43" s="11"/>
      <c r="D43" s="2">
        <f>-39.95</f>
        <v>-39.950000000000003</v>
      </c>
      <c r="E43" s="2"/>
      <c r="F43" s="19"/>
      <c r="G43" s="2"/>
      <c r="H43" s="2">
        <f>-26.95</f>
        <v>-26.95</v>
      </c>
      <c r="I43" s="2"/>
      <c r="J43" s="19"/>
      <c r="K43" s="2"/>
      <c r="L43" s="2">
        <f t="shared" si="0"/>
        <v>-13.000000000000004</v>
      </c>
      <c r="M43" s="2"/>
      <c r="N43" s="19">
        <f t="shared" si="1"/>
        <v>0.48237476808905394</v>
      </c>
      <c r="O43" s="11"/>
      <c r="P43" s="2">
        <f>-285.45</f>
        <v>-285.45</v>
      </c>
      <c r="Q43" s="2"/>
      <c r="R43" s="19"/>
      <c r="S43" s="2"/>
      <c r="T43" s="2">
        <f>-168.5</f>
        <v>-168.5</v>
      </c>
      <c r="U43" s="2"/>
      <c r="V43" s="19"/>
      <c r="W43" s="2"/>
      <c r="X43" s="2">
        <f t="shared" si="2"/>
        <v>-116.94999999999999</v>
      </c>
      <c r="Y43" s="2"/>
      <c r="Z43" s="19">
        <f t="shared" si="3"/>
        <v>0.69406528189910977</v>
      </c>
    </row>
    <row r="44" spans="1:26" s="24" customFormat="1" hidden="1" outlineLevel="1" x14ac:dyDescent="0.25">
      <c r="A44" s="44"/>
      <c r="B44" s="11" t="str">
        <f>CONCATENATE("          ", "4342", " - ", "SALES RETURN NON TAXABLE-EVERY")</f>
        <v xml:space="preserve">          4342 - SALES RETURN NON TAXABLE-EVERY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-109.8</f>
        <v>-109.8</v>
      </c>
      <c r="Q44" s="2"/>
      <c r="R44" s="19"/>
      <c r="S44" s="2"/>
      <c r="T44" s="2">
        <f>-103.6</f>
        <v>-103.6</v>
      </c>
      <c r="U44" s="2"/>
      <c r="V44" s="19"/>
      <c r="W44" s="2"/>
      <c r="X44" s="2">
        <f t="shared" si="2"/>
        <v>-6.2000000000000028</v>
      </c>
      <c r="Y44" s="2"/>
      <c r="Z44" s="19">
        <f t="shared" si="3"/>
        <v>5.9845559845559879E-2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8" t="s">
        <v>8</v>
      </c>
      <c r="C46" s="10"/>
      <c r="D46" s="4">
        <f>SUM(OSRRefD16x_0)</f>
        <v>93761.44</v>
      </c>
      <c r="E46" s="4"/>
      <c r="F46" s="12">
        <f t="shared" ref="F46:F70" si="11">IF(D$12=0,0,D46/D$12)</f>
        <v>0.52241840346573809</v>
      </c>
      <c r="G46" s="4"/>
      <c r="H46" s="4">
        <f>SUM(OSRRefH16x_0)</f>
        <v>238165.33</v>
      </c>
      <c r="I46" s="4"/>
      <c r="J46" s="12">
        <f t="shared" ref="J46:J70" si="12">IF(H$12=0,0,H46/H$12)</f>
        <v>0.47692683762410359</v>
      </c>
      <c r="K46" s="4"/>
      <c r="L46" s="4">
        <f t="shared" ref="L46:L70" si="13">+D46-H46</f>
        <v>-144403.88999999998</v>
      </c>
      <c r="M46" s="4"/>
      <c r="N46" s="12">
        <f t="shared" ref="N46:N70" si="14">IF(H46=0,0,L46/H46)</f>
        <v>-0.60631784651443599</v>
      </c>
      <c r="O46" s="10"/>
      <c r="P46" s="4">
        <f>SUM(OSRRefP16x_0)</f>
        <v>1284585.25</v>
      </c>
      <c r="Q46" s="4"/>
      <c r="R46" s="12">
        <f t="shared" ref="R46:R70" si="15">IF(P$12=0,0,P46/P$12)</f>
        <v>0.46417584408542445</v>
      </c>
      <c r="S46" s="4"/>
      <c r="T46" s="4">
        <f>SUM(OSRRefT16x_0)</f>
        <v>1554223.1500000001</v>
      </c>
      <c r="U46" s="4"/>
      <c r="V46" s="12">
        <f t="shared" ref="V46:V70" si="16">IF(T$12=0,0,T46/T$12)</f>
        <v>0.44708873525506165</v>
      </c>
      <c r="W46" s="4"/>
      <c r="X46" s="4">
        <f t="shared" ref="X46:X70" si="17">+P46-T46</f>
        <v>-269637.90000000014</v>
      </c>
      <c r="Y46" s="4"/>
      <c r="Z46" s="12">
        <f t="shared" ref="Z46:Z70" si="18">IF(T46=0,0,X46/T46)</f>
        <v>-0.17348724988429115</v>
      </c>
    </row>
    <row r="47" spans="1:26" s="24" customFormat="1" hidden="1" outlineLevel="1" x14ac:dyDescent="0.25">
      <c r="A47" s="44"/>
      <c r="B47" s="11" t="str">
        <f>CONCATENATE("          ", "5000", " - ", "PURCHASES @ COST")</f>
        <v xml:space="preserve">          5000 - PURCHASES @ COST</v>
      </c>
      <c r="C47" s="11"/>
      <c r="D47" s="2"/>
      <c r="E47" s="2"/>
      <c r="F47" s="19">
        <f t="shared" si="11"/>
        <v>0</v>
      </c>
      <c r="G47" s="2"/>
      <c r="H47" s="2"/>
      <c r="I47" s="2"/>
      <c r="J47" s="19">
        <f t="shared" si="12"/>
        <v>0</v>
      </c>
      <c r="K47" s="2"/>
      <c r="L47" s="2">
        <f t="shared" si="13"/>
        <v>0</v>
      </c>
      <c r="M47" s="2"/>
      <c r="N47" s="19">
        <f t="shared" si="14"/>
        <v>0</v>
      </c>
      <c r="O47" s="11"/>
      <c r="P47" s="2"/>
      <c r="Q47" s="2"/>
      <c r="R47" s="19">
        <f t="shared" si="15"/>
        <v>0</v>
      </c>
      <c r="S47" s="2"/>
      <c r="T47" s="2">
        <v>1000</v>
      </c>
      <c r="U47" s="2"/>
      <c r="V47" s="19">
        <f t="shared" si="16"/>
        <v>2.8766058159348715E-4</v>
      </c>
      <c r="W47" s="2"/>
      <c r="X47" s="2">
        <f t="shared" si="17"/>
        <v>-1000</v>
      </c>
      <c r="Y47" s="2"/>
      <c r="Z47" s="19">
        <f t="shared" si="18"/>
        <v>-1</v>
      </c>
    </row>
    <row r="48" spans="1:26" s="24" customFormat="1" hidden="1" outlineLevel="1" x14ac:dyDescent="0.25">
      <c r="A48" s="44"/>
      <c r="B48" s="11" t="str">
        <f>CONCATENATE("          ", "5025", " - ", "PURCHASES @ COST-TEST FORMS")</f>
        <v xml:space="preserve">          5025 - PURCHASES @ COST-TEST FORMS</v>
      </c>
      <c r="C48" s="11"/>
      <c r="D48" s="2"/>
      <c r="E48" s="2"/>
      <c r="F48" s="19">
        <f t="shared" si="11"/>
        <v>0</v>
      </c>
      <c r="G48" s="2"/>
      <c r="H48" s="2"/>
      <c r="I48" s="2"/>
      <c r="J48" s="19">
        <f t="shared" si="12"/>
        <v>0</v>
      </c>
      <c r="K48" s="2"/>
      <c r="L48" s="2">
        <f t="shared" si="13"/>
        <v>0</v>
      </c>
      <c r="M48" s="2"/>
      <c r="N48" s="19">
        <f t="shared" si="14"/>
        <v>0</v>
      </c>
      <c r="O48" s="11"/>
      <c r="P48" s="2">
        <v>6.06</v>
      </c>
      <c r="Q48" s="2"/>
      <c r="R48" s="19">
        <f t="shared" si="15"/>
        <v>2.1897383728776831E-6</v>
      </c>
      <c r="S48" s="2"/>
      <c r="T48" s="2">
        <v>19.149999999999999</v>
      </c>
      <c r="U48" s="2"/>
      <c r="V48" s="19">
        <f t="shared" si="16"/>
        <v>5.5087001375152784E-6</v>
      </c>
      <c r="W48" s="2"/>
      <c r="X48" s="2">
        <f t="shared" si="17"/>
        <v>-13.09</v>
      </c>
      <c r="Y48" s="2"/>
      <c r="Z48" s="19">
        <f t="shared" si="18"/>
        <v>-0.68355091383812017</v>
      </c>
    </row>
    <row r="49" spans="1:26" s="24" customFormat="1" hidden="1" outlineLevel="1" x14ac:dyDescent="0.25">
      <c r="A49" s="44"/>
      <c r="B49" s="11" t="str">
        <f>CONCATENATE("          ", "5026", " - ", "PURCHASES @ COST-WRITING INSTR")</f>
        <v xml:space="preserve">          5026 - PURCHASES @ COST-WRITING INSTR</v>
      </c>
      <c r="C49" s="11"/>
      <c r="D49" s="2">
        <v>-4.26</v>
      </c>
      <c r="E49" s="2"/>
      <c r="F49" s="19">
        <f t="shared" si="11"/>
        <v>-2.3735795853434463E-5</v>
      </c>
      <c r="G49" s="2"/>
      <c r="H49" s="2">
        <v>34</v>
      </c>
      <c r="I49" s="2"/>
      <c r="J49" s="19">
        <f t="shared" si="12"/>
        <v>6.8085109109791605E-5</v>
      </c>
      <c r="K49" s="2"/>
      <c r="L49" s="2">
        <f t="shared" si="13"/>
        <v>-38.26</v>
      </c>
      <c r="M49" s="2"/>
      <c r="N49" s="19">
        <f t="shared" si="14"/>
        <v>-1.1252941176470588</v>
      </c>
      <c r="O49" s="11"/>
      <c r="P49" s="2">
        <v>1193.81</v>
      </c>
      <c r="Q49" s="2"/>
      <c r="R49" s="19">
        <f t="shared" si="15"/>
        <v>4.3137484602724538E-4</v>
      </c>
      <c r="S49" s="2"/>
      <c r="T49" s="2">
        <v>618.94000000000005</v>
      </c>
      <c r="U49" s="2"/>
      <c r="V49" s="19">
        <f t="shared" si="16"/>
        <v>1.7804464037147295E-4</v>
      </c>
      <c r="W49" s="2"/>
      <c r="X49" s="2">
        <f t="shared" si="17"/>
        <v>574.86999999999989</v>
      </c>
      <c r="Y49" s="2"/>
      <c r="Z49" s="19">
        <f t="shared" si="18"/>
        <v>0.9287976217403946</v>
      </c>
    </row>
    <row r="50" spans="1:26" s="24" customFormat="1" hidden="1" outlineLevel="1" x14ac:dyDescent="0.25">
      <c r="A50" s="44"/>
      <c r="B50" s="11" t="str">
        <f>CONCATENATE("          ", "5027", " - ", "PURCHASES @ COST-SCHOOL SUPPLI")</f>
        <v xml:space="preserve">          5027 - PURCHASES @ COST-SCHOOL SUPPLI</v>
      </c>
      <c r="C50" s="11"/>
      <c r="D50" s="2">
        <v>-19.8</v>
      </c>
      <c r="E50" s="2"/>
      <c r="F50" s="19">
        <f t="shared" si="11"/>
        <v>-1.1032130467089259E-4</v>
      </c>
      <c r="G50" s="2"/>
      <c r="H50" s="2"/>
      <c r="I50" s="2"/>
      <c r="J50" s="19">
        <f t="shared" si="12"/>
        <v>0</v>
      </c>
      <c r="K50" s="2"/>
      <c r="L50" s="2">
        <f t="shared" si="13"/>
        <v>-19.8</v>
      </c>
      <c r="M50" s="2"/>
      <c r="N50" s="19">
        <f t="shared" si="14"/>
        <v>0</v>
      </c>
      <c r="O50" s="11"/>
      <c r="P50" s="2">
        <v>305.64999999999998</v>
      </c>
      <c r="Q50" s="2"/>
      <c r="R50" s="19">
        <f t="shared" si="15"/>
        <v>1.1044447750331087E-4</v>
      </c>
      <c r="S50" s="2"/>
      <c r="T50" s="2">
        <v>569.59</v>
      </c>
      <c r="U50" s="2"/>
      <c r="V50" s="19">
        <f t="shared" si="16"/>
        <v>1.6384859066983435E-4</v>
      </c>
      <c r="W50" s="2"/>
      <c r="X50" s="2">
        <f t="shared" si="17"/>
        <v>-263.94000000000005</v>
      </c>
      <c r="Y50" s="2"/>
      <c r="Z50" s="19">
        <f t="shared" si="18"/>
        <v>-0.46338594427570717</v>
      </c>
    </row>
    <row r="51" spans="1:26" s="24" customFormat="1" hidden="1" outlineLevel="1" x14ac:dyDescent="0.25">
      <c r="A51" s="44"/>
      <c r="B51" s="11" t="str">
        <f>CONCATENATE("          ", "5034", " - ", "PURCHASES @ COST-SODA")</f>
        <v xml:space="preserve">          5034 - PURCHASES @ COST-SODA</v>
      </c>
      <c r="C51" s="11"/>
      <c r="D51" s="2"/>
      <c r="E51" s="2"/>
      <c r="F51" s="19">
        <f t="shared" si="11"/>
        <v>0</v>
      </c>
      <c r="G51" s="2"/>
      <c r="H51" s="2"/>
      <c r="I51" s="2"/>
      <c r="J51" s="19">
        <f t="shared" si="12"/>
        <v>0</v>
      </c>
      <c r="K51" s="2"/>
      <c r="L51" s="2">
        <f t="shared" si="13"/>
        <v>0</v>
      </c>
      <c r="M51" s="2"/>
      <c r="N51" s="19">
        <f t="shared" si="14"/>
        <v>0</v>
      </c>
      <c r="O51" s="11"/>
      <c r="P51" s="2"/>
      <c r="Q51" s="2"/>
      <c r="R51" s="19">
        <f t="shared" si="15"/>
        <v>0</v>
      </c>
      <c r="S51" s="2"/>
      <c r="T51" s="2">
        <v>18.54</v>
      </c>
      <c r="U51" s="2"/>
      <c r="V51" s="19">
        <f t="shared" si="16"/>
        <v>5.3332271827432517E-6</v>
      </c>
      <c r="W51" s="2"/>
      <c r="X51" s="2">
        <f t="shared" si="17"/>
        <v>-18.54</v>
      </c>
      <c r="Y51" s="2"/>
      <c r="Z51" s="19">
        <f t="shared" si="18"/>
        <v>-1</v>
      </c>
    </row>
    <row r="52" spans="1:26" s="24" customFormat="1" hidden="1" outlineLevel="1" x14ac:dyDescent="0.25">
      <c r="A52" s="44"/>
      <c r="B52" s="11" t="str">
        <f>CONCATENATE("          ", "5037", " - ", "PURCHASES @ COST-WATER")</f>
        <v xml:space="preserve">          5037 - PURCHASES @ COST-WATER</v>
      </c>
      <c r="C52" s="11"/>
      <c r="D52" s="2"/>
      <c r="E52" s="2"/>
      <c r="F52" s="19">
        <f t="shared" si="11"/>
        <v>0</v>
      </c>
      <c r="G52" s="2"/>
      <c r="H52" s="2"/>
      <c r="I52" s="2"/>
      <c r="J52" s="19">
        <f t="shared" si="12"/>
        <v>0</v>
      </c>
      <c r="K52" s="2"/>
      <c r="L52" s="2">
        <f t="shared" si="13"/>
        <v>0</v>
      </c>
      <c r="M52" s="2"/>
      <c r="N52" s="19">
        <f t="shared" si="14"/>
        <v>0</v>
      </c>
      <c r="O52" s="11"/>
      <c r="P52" s="2">
        <v>29.76</v>
      </c>
      <c r="Q52" s="2"/>
      <c r="R52" s="19">
        <f t="shared" si="15"/>
        <v>1.0753566662844862E-5</v>
      </c>
      <c r="S52" s="2"/>
      <c r="T52" s="2">
        <v>67.790000000000006</v>
      </c>
      <c r="U52" s="2"/>
      <c r="V52" s="19">
        <f t="shared" si="16"/>
        <v>1.9500510826222494E-5</v>
      </c>
      <c r="W52" s="2"/>
      <c r="X52" s="2">
        <f t="shared" si="17"/>
        <v>-38.03</v>
      </c>
      <c r="Y52" s="2"/>
      <c r="Z52" s="19">
        <f t="shared" si="18"/>
        <v>-0.56099719722672958</v>
      </c>
    </row>
    <row r="53" spans="1:26" s="24" customFormat="1" hidden="1" outlineLevel="1" x14ac:dyDescent="0.25">
      <c r="A53" s="44"/>
      <c r="B53" s="11" t="str">
        <f>CONCATENATE("          ", "5040", " - ", "PURCHASES @ COST-LOGO CLOTHING")</f>
        <v xml:space="preserve">          5040 - PURCHASES @ COST-LOGO CLOTHING</v>
      </c>
      <c r="C53" s="11"/>
      <c r="D53" s="2">
        <v>1557.89</v>
      </c>
      <c r="E53" s="2"/>
      <c r="F53" s="19">
        <f t="shared" si="11"/>
        <v>8.6802251178654984E-3</v>
      </c>
      <c r="G53" s="2"/>
      <c r="H53" s="2">
        <v>35297.950000000004</v>
      </c>
      <c r="I53" s="2"/>
      <c r="J53" s="19">
        <f t="shared" si="12"/>
        <v>7.0684258150057896E-2</v>
      </c>
      <c r="K53" s="2"/>
      <c r="L53" s="2">
        <f t="shared" si="13"/>
        <v>-33740.060000000005</v>
      </c>
      <c r="M53" s="2"/>
      <c r="N53" s="19">
        <f t="shared" si="14"/>
        <v>-0.95586457570482142</v>
      </c>
      <c r="O53" s="11"/>
      <c r="P53" s="2">
        <v>976469.33000000007</v>
      </c>
      <c r="Q53" s="2"/>
      <c r="R53" s="19">
        <f t="shared" si="15"/>
        <v>0.35284032373583529</v>
      </c>
      <c r="S53" s="2"/>
      <c r="T53" s="2">
        <v>1040147.1000000001</v>
      </c>
      <c r="U53" s="2"/>
      <c r="V53" s="19">
        <f t="shared" si="16"/>
        <v>0.29920931972877907</v>
      </c>
      <c r="W53" s="2"/>
      <c r="X53" s="2">
        <f t="shared" si="17"/>
        <v>-63677.770000000019</v>
      </c>
      <c r="Y53" s="2"/>
      <c r="Z53" s="19">
        <f t="shared" si="18"/>
        <v>-6.1219965906745319E-2</v>
      </c>
    </row>
    <row r="54" spans="1:26" s="24" customFormat="1" hidden="1" outlineLevel="1" x14ac:dyDescent="0.25">
      <c r="A54" s="44"/>
      <c r="B54" s="11" t="str">
        <f>CONCATENATE("          ", "5041", " - ", "PURCHASES @ COST-LOGO GIFTS")</f>
        <v xml:space="preserve">          5041 - PURCHASES @ COST-LOGO GIFTS</v>
      </c>
      <c r="C54" s="11"/>
      <c r="D54" s="2">
        <v>4290.8100000000004</v>
      </c>
      <c r="E54" s="2"/>
      <c r="F54" s="19">
        <f t="shared" si="11"/>
        <v>2.3907462489642053E-2</v>
      </c>
      <c r="G54" s="2"/>
      <c r="H54" s="2">
        <v>36471.08</v>
      </c>
      <c r="I54" s="2"/>
      <c r="J54" s="19">
        <f t="shared" si="12"/>
        <v>7.3033454739762887E-2</v>
      </c>
      <c r="K54" s="2"/>
      <c r="L54" s="2">
        <f t="shared" si="13"/>
        <v>-32180.27</v>
      </c>
      <c r="M54" s="2"/>
      <c r="N54" s="19">
        <f t="shared" si="14"/>
        <v>-0.8823503444372911</v>
      </c>
      <c r="O54" s="11"/>
      <c r="P54" s="2">
        <v>149750.84</v>
      </c>
      <c r="Q54" s="2"/>
      <c r="R54" s="19">
        <f t="shared" si="15"/>
        <v>5.4111412659845926E-2</v>
      </c>
      <c r="S54" s="2"/>
      <c r="T54" s="2">
        <v>281833.13</v>
      </c>
      <c r="U54" s="2"/>
      <c r="V54" s="19">
        <f t="shared" si="16"/>
        <v>8.1072282088112874E-2</v>
      </c>
      <c r="W54" s="2"/>
      <c r="X54" s="2">
        <f t="shared" si="17"/>
        <v>-132082.29</v>
      </c>
      <c r="Y54" s="2"/>
      <c r="Z54" s="19">
        <f t="shared" si="18"/>
        <v>-0.46865423522067828</v>
      </c>
    </row>
    <row r="55" spans="1:26" s="24" customFormat="1" hidden="1" outlineLevel="1" x14ac:dyDescent="0.25">
      <c r="A55" s="44"/>
      <c r="B55" s="11" t="str">
        <f>CONCATENATE("          ", "5042", " - ", "PURCHASES @ COST-EVERYDAY GIFT")</f>
        <v xml:space="preserve">          5042 - PURCHASES @ COST-EVERYDAY GIFT</v>
      </c>
      <c r="C55" s="11"/>
      <c r="D55" s="2">
        <v>10730.16</v>
      </c>
      <c r="E55" s="2"/>
      <c r="F55" s="19">
        <f t="shared" si="11"/>
        <v>5.9786123764011351E-2</v>
      </c>
      <c r="G55" s="2"/>
      <c r="H55" s="2">
        <v>12317.53</v>
      </c>
      <c r="I55" s="2"/>
      <c r="J55" s="19">
        <f t="shared" si="12"/>
        <v>2.4665893353327393E-2</v>
      </c>
      <c r="K55" s="2"/>
      <c r="L55" s="2">
        <f t="shared" si="13"/>
        <v>-1587.3700000000008</v>
      </c>
      <c r="M55" s="2"/>
      <c r="N55" s="19">
        <f t="shared" si="14"/>
        <v>-0.12887080445511404</v>
      </c>
      <c r="O55" s="11"/>
      <c r="P55" s="2">
        <v>126615.2</v>
      </c>
      <c r="Q55" s="2"/>
      <c r="R55" s="19">
        <f t="shared" si="15"/>
        <v>4.5751511886069712E-2</v>
      </c>
      <c r="S55" s="2"/>
      <c r="T55" s="2">
        <v>142607.69999999998</v>
      </c>
      <c r="U55" s="2"/>
      <c r="V55" s="19">
        <f t="shared" si="16"/>
        <v>4.1022613921709535E-2</v>
      </c>
      <c r="W55" s="2"/>
      <c r="X55" s="2">
        <f t="shared" si="17"/>
        <v>-15992.499999999985</v>
      </c>
      <c r="Y55" s="2"/>
      <c r="Z55" s="19">
        <f t="shared" si="18"/>
        <v>-0.1121433134395968</v>
      </c>
    </row>
    <row r="56" spans="1:26" s="24" customFormat="1" hidden="1" outlineLevel="1" x14ac:dyDescent="0.25">
      <c r="A56" s="44"/>
      <c r="B56" s="11" t="str">
        <f>CONCATENATE("          ", "5043", " - ", "PURCHASES @ COST-CARDS")</f>
        <v xml:space="preserve">          5043 - PURCHASES @ COST-CARDS</v>
      </c>
      <c r="C56" s="11"/>
      <c r="D56" s="2"/>
      <c r="E56" s="2"/>
      <c r="F56" s="19">
        <f t="shared" si="11"/>
        <v>0</v>
      </c>
      <c r="G56" s="2"/>
      <c r="H56" s="2">
        <v>-968.82</v>
      </c>
      <c r="I56" s="2"/>
      <c r="J56" s="19">
        <f t="shared" si="12"/>
        <v>-1.9400651590514206E-3</v>
      </c>
      <c r="K56" s="2"/>
      <c r="L56" s="2">
        <f t="shared" si="13"/>
        <v>968.82</v>
      </c>
      <c r="M56" s="2"/>
      <c r="N56" s="19">
        <f t="shared" si="14"/>
        <v>-1</v>
      </c>
      <c r="O56" s="11"/>
      <c r="P56" s="2">
        <v>30914.659999999996</v>
      </c>
      <c r="Q56" s="2"/>
      <c r="R56" s="19">
        <f t="shared" si="15"/>
        <v>1.1170794931760198E-2</v>
      </c>
      <c r="S56" s="2"/>
      <c r="T56" s="2">
        <v>3392.76</v>
      </c>
      <c r="U56" s="2"/>
      <c r="V56" s="19">
        <f t="shared" si="16"/>
        <v>9.7596331480711955E-4</v>
      </c>
      <c r="W56" s="2"/>
      <c r="X56" s="2">
        <f t="shared" si="17"/>
        <v>27521.899999999994</v>
      </c>
      <c r="Y56" s="2"/>
      <c r="Z56" s="19">
        <f t="shared" si="18"/>
        <v>8.1119501526780535</v>
      </c>
    </row>
    <row r="57" spans="1:26" s="24" customFormat="1" hidden="1" outlineLevel="1" x14ac:dyDescent="0.25">
      <c r="A57" s="44"/>
      <c r="B57" s="11" t="str">
        <f>CONCATENATE("          ", "5044", " - ", "PURCHASES @ COST-ACCESSORIES")</f>
        <v xml:space="preserve">          5044 - PURCHASES @ COST-ACCESSORIES</v>
      </c>
      <c r="C57" s="11"/>
      <c r="D57" s="2">
        <v>1395</v>
      </c>
      <c r="E57" s="2"/>
      <c r="F57" s="19">
        <f t="shared" si="11"/>
        <v>7.7726373745401591E-3</v>
      </c>
      <c r="G57" s="2"/>
      <c r="H57" s="2">
        <v>4064.02</v>
      </c>
      <c r="I57" s="2"/>
      <c r="J57" s="19">
        <f t="shared" si="12"/>
        <v>8.1382130918933905E-3</v>
      </c>
      <c r="K57" s="2"/>
      <c r="L57" s="2">
        <f t="shared" si="13"/>
        <v>-2669.02</v>
      </c>
      <c r="M57" s="2"/>
      <c r="N57" s="19">
        <f t="shared" si="14"/>
        <v>-0.65674381523712977</v>
      </c>
      <c r="O57" s="11"/>
      <c r="P57" s="2">
        <v>37869.03</v>
      </c>
      <c r="Q57" s="2"/>
      <c r="R57" s="19">
        <f t="shared" si="15"/>
        <v>1.3683707612979568E-2</v>
      </c>
      <c r="S57" s="2"/>
      <c r="T57" s="2">
        <v>38291.129999999997</v>
      </c>
      <c r="U57" s="2"/>
      <c r="V57" s="19">
        <f t="shared" si="16"/>
        <v>1.1014848725671822E-2</v>
      </c>
      <c r="W57" s="2"/>
      <c r="X57" s="2">
        <f t="shared" si="17"/>
        <v>-422.09999999999854</v>
      </c>
      <c r="Y57" s="2"/>
      <c r="Z57" s="19">
        <f t="shared" si="18"/>
        <v>-1.1023440676731101E-2</v>
      </c>
    </row>
    <row r="58" spans="1:26" s="24" customFormat="1" hidden="1" outlineLevel="1" x14ac:dyDescent="0.25">
      <c r="A58" s="44"/>
      <c r="B58" s="11" t="str">
        <f>CONCATENATE("          ", "5045", " - ", "PURCHASES @ COST-SPECIAL ORDER")</f>
        <v xml:space="preserve">          5045 - PURCHASES @ COST-SPECIAL ORDER</v>
      </c>
      <c r="C58" s="11"/>
      <c r="D58" s="2">
        <v>16919.25</v>
      </c>
      <c r="E58" s="2"/>
      <c r="F58" s="19">
        <f t="shared" si="11"/>
        <v>9.4270390608737334E-2</v>
      </c>
      <c r="G58" s="2"/>
      <c r="H58" s="2">
        <v>21957.99</v>
      </c>
      <c r="I58" s="2"/>
      <c r="J58" s="19">
        <f t="shared" si="12"/>
        <v>4.3970945440638613E-2</v>
      </c>
      <c r="K58" s="2"/>
      <c r="L58" s="2">
        <f t="shared" si="13"/>
        <v>-5038.7400000000016</v>
      </c>
      <c r="M58" s="2"/>
      <c r="N58" s="19">
        <f t="shared" si="14"/>
        <v>-0.22947182324065185</v>
      </c>
      <c r="O58" s="11"/>
      <c r="P58" s="2">
        <v>78842.399999999994</v>
      </c>
      <c r="Q58" s="2"/>
      <c r="R58" s="19">
        <f t="shared" si="15"/>
        <v>2.8489146648477136E-2</v>
      </c>
      <c r="S58" s="2"/>
      <c r="T58" s="2">
        <v>121594.93999999999</v>
      </c>
      <c r="U58" s="2"/>
      <c r="V58" s="19">
        <f t="shared" si="16"/>
        <v>3.4978071159225167E-2</v>
      </c>
      <c r="W58" s="2"/>
      <c r="X58" s="2">
        <f t="shared" si="17"/>
        <v>-42752.539999999994</v>
      </c>
      <c r="Y58" s="2"/>
      <c r="Z58" s="19">
        <f t="shared" si="18"/>
        <v>-0.35159801879913749</v>
      </c>
    </row>
    <row r="59" spans="1:26" s="24" customFormat="1" hidden="1" outlineLevel="1" x14ac:dyDescent="0.2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/>
      <c r="E59" s="2"/>
      <c r="F59" s="19">
        <f t="shared" si="11"/>
        <v>0</v>
      </c>
      <c r="G59" s="2"/>
      <c r="H59" s="2"/>
      <c r="I59" s="2"/>
      <c r="J59" s="19">
        <f t="shared" si="12"/>
        <v>0</v>
      </c>
      <c r="K59" s="2"/>
      <c r="L59" s="2">
        <f t="shared" si="13"/>
        <v>0</v>
      </c>
      <c r="M59" s="2"/>
      <c r="N59" s="19">
        <f t="shared" si="14"/>
        <v>0</v>
      </c>
      <c r="O59" s="11"/>
      <c r="P59" s="2">
        <v>90.35</v>
      </c>
      <c r="Q59" s="2"/>
      <c r="R59" s="19">
        <f t="shared" si="15"/>
        <v>3.264733696196348E-5</v>
      </c>
      <c r="S59" s="2"/>
      <c r="T59" s="2">
        <v>15.8</v>
      </c>
      <c r="U59" s="2"/>
      <c r="V59" s="19">
        <f t="shared" si="16"/>
        <v>4.5450371891770975E-6</v>
      </c>
      <c r="W59" s="2"/>
      <c r="X59" s="2">
        <f t="shared" si="17"/>
        <v>74.55</v>
      </c>
      <c r="Y59" s="2"/>
      <c r="Z59" s="19">
        <f t="shared" si="18"/>
        <v>4.7183544303797467</v>
      </c>
    </row>
    <row r="60" spans="1:26" s="24" customFormat="1" hidden="1" outlineLevel="1" x14ac:dyDescent="0.25">
      <c r="A60" s="44"/>
      <c r="B60" s="11" t="str">
        <f>CONCATENATE("          ", "5092", " - ", "PURCHASES @ COST-GRAD MERCH")</f>
        <v xml:space="preserve">          5092 - PURCHASES @ COST-GRAD MERCH</v>
      </c>
      <c r="C60" s="11"/>
      <c r="D60" s="2"/>
      <c r="E60" s="2"/>
      <c r="F60" s="19">
        <f t="shared" si="11"/>
        <v>0</v>
      </c>
      <c r="G60" s="2"/>
      <c r="H60" s="2">
        <v>187.65</v>
      </c>
      <c r="I60" s="2"/>
      <c r="J60" s="19">
        <f t="shared" si="12"/>
        <v>3.757697271897763E-4</v>
      </c>
      <c r="K60" s="2"/>
      <c r="L60" s="2">
        <f t="shared" si="13"/>
        <v>-187.65</v>
      </c>
      <c r="M60" s="2"/>
      <c r="N60" s="19">
        <f t="shared" si="14"/>
        <v>-1</v>
      </c>
      <c r="O60" s="11"/>
      <c r="P60" s="2">
        <v>-60.35</v>
      </c>
      <c r="Q60" s="2"/>
      <c r="R60" s="19">
        <f t="shared" si="15"/>
        <v>-2.1807047987321483E-5</v>
      </c>
      <c r="S60" s="2"/>
      <c r="T60" s="2">
        <v>187.65</v>
      </c>
      <c r="U60" s="2"/>
      <c r="V60" s="19">
        <f t="shared" si="16"/>
        <v>5.3979508136017868E-5</v>
      </c>
      <c r="W60" s="2"/>
      <c r="X60" s="2">
        <f t="shared" si="17"/>
        <v>-248</v>
      </c>
      <c r="Y60" s="2"/>
      <c r="Z60" s="19">
        <f t="shared" si="18"/>
        <v>-1.3216093791633359</v>
      </c>
    </row>
    <row r="61" spans="1:26" s="24" customFormat="1" hidden="1" outlineLevel="1" x14ac:dyDescent="0.25">
      <c r="A61" s="44"/>
      <c r="B61" s="11" t="str">
        <f>CONCATENATE("          ", "5095", " - ", "PURCHASES @ COST-CUSTOMER SERV")</f>
        <v xml:space="preserve">          5095 - PURCHASES @ COST-CUSTOMER SERV</v>
      </c>
      <c r="C61" s="11"/>
      <c r="D61" s="2"/>
      <c r="E61" s="2"/>
      <c r="F61" s="19">
        <f t="shared" si="11"/>
        <v>0</v>
      </c>
      <c r="G61" s="2"/>
      <c r="H61" s="2">
        <v>2.16</v>
      </c>
      <c r="I61" s="2"/>
      <c r="J61" s="19">
        <f t="shared" si="12"/>
        <v>4.3254069316808781E-6</v>
      </c>
      <c r="K61" s="2"/>
      <c r="L61" s="2">
        <f t="shared" si="13"/>
        <v>-2.16</v>
      </c>
      <c r="M61" s="2"/>
      <c r="N61" s="19">
        <f t="shared" si="14"/>
        <v>-1</v>
      </c>
      <c r="O61" s="11"/>
      <c r="P61" s="2">
        <v>-11.85</v>
      </c>
      <c r="Q61" s="2"/>
      <c r="R61" s="19">
        <f t="shared" si="15"/>
        <v>-4.2819141449835883E-6</v>
      </c>
      <c r="S61" s="2"/>
      <c r="T61" s="2">
        <v>75.599999999999994</v>
      </c>
      <c r="U61" s="2"/>
      <c r="V61" s="19">
        <f t="shared" si="16"/>
        <v>2.1747139968467626E-5</v>
      </c>
      <c r="W61" s="2"/>
      <c r="X61" s="2">
        <f t="shared" si="17"/>
        <v>-87.449999999999989</v>
      </c>
      <c r="Y61" s="2"/>
      <c r="Z61" s="19">
        <f t="shared" si="18"/>
        <v>-1.1567460317460316</v>
      </c>
    </row>
    <row r="62" spans="1:26" s="24" customFormat="1" hidden="1" outlineLevel="1" x14ac:dyDescent="0.2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-36586</v>
      </c>
      <c r="E62" s="2"/>
      <c r="F62" s="19">
        <f t="shared" si="11"/>
        <v>-0.20384925518632707</v>
      </c>
      <c r="G62" s="2"/>
      <c r="H62" s="2">
        <v>-112763</v>
      </c>
      <c r="I62" s="2"/>
      <c r="J62" s="19">
        <f t="shared" si="12"/>
        <v>-0.22580826936904205</v>
      </c>
      <c r="K62" s="2"/>
      <c r="L62" s="2">
        <f t="shared" si="13"/>
        <v>76177</v>
      </c>
      <c r="M62" s="2"/>
      <c r="N62" s="19">
        <f t="shared" si="14"/>
        <v>-0.6755496040367851</v>
      </c>
      <c r="O62" s="11"/>
      <c r="P62" s="2">
        <v>-1408334</v>
      </c>
      <c r="Q62" s="2"/>
      <c r="R62" s="19">
        <f t="shared" si="15"/>
        <v>-0.50889158442711546</v>
      </c>
      <c r="S62" s="2"/>
      <c r="T62" s="2">
        <v>-1704846</v>
      </c>
      <c r="U62" s="2"/>
      <c r="V62" s="19">
        <f t="shared" si="16"/>
        <v>-0.49041699188733018</v>
      </c>
      <c r="W62" s="2"/>
      <c r="X62" s="2">
        <f t="shared" si="17"/>
        <v>296512</v>
      </c>
      <c r="Y62" s="2"/>
      <c r="Z62" s="19">
        <f t="shared" si="18"/>
        <v>-0.17392304055615582</v>
      </c>
    </row>
    <row r="63" spans="1:26" s="24" customFormat="1" hidden="1" outlineLevel="1" x14ac:dyDescent="0.25">
      <c r="A63" s="44"/>
      <c r="B63" s="11" t="str">
        <f>CONCATENATE("          ", "5300", " - ", "COG$ OFFSET")</f>
        <v xml:space="preserve">          5300 - COG$ OFFSET</v>
      </c>
      <c r="C63" s="11"/>
      <c r="D63" s="2">
        <v>93762</v>
      </c>
      <c r="E63" s="2"/>
      <c r="F63" s="19">
        <f t="shared" si="11"/>
        <v>0.52242152366425409</v>
      </c>
      <c r="G63" s="2"/>
      <c r="H63" s="2">
        <v>238151</v>
      </c>
      <c r="I63" s="2"/>
      <c r="J63" s="19">
        <f t="shared" si="12"/>
        <v>0.47689814175311701</v>
      </c>
      <c r="K63" s="2"/>
      <c r="L63" s="2">
        <f t="shared" si="13"/>
        <v>-144389</v>
      </c>
      <c r="M63" s="2"/>
      <c r="N63" s="19">
        <f t="shared" si="14"/>
        <v>-0.60629180645892733</v>
      </c>
      <c r="O63" s="11"/>
      <c r="P63" s="2">
        <v>1246431</v>
      </c>
      <c r="Q63" s="2"/>
      <c r="R63" s="19">
        <f t="shared" si="15"/>
        <v>0.4503890742317333</v>
      </c>
      <c r="S63" s="2"/>
      <c r="T63" s="2">
        <v>1584280</v>
      </c>
      <c r="U63" s="2"/>
      <c r="V63" s="19">
        <f t="shared" si="16"/>
        <v>0.4557349062069298</v>
      </c>
      <c r="W63" s="2"/>
      <c r="X63" s="2">
        <f t="shared" si="17"/>
        <v>-337849</v>
      </c>
      <c r="Y63" s="2"/>
      <c r="Z63" s="19">
        <f t="shared" si="18"/>
        <v>-0.2132508142500063</v>
      </c>
    </row>
    <row r="64" spans="1:26" s="24" customFormat="1" hidden="1" outlineLevel="1" x14ac:dyDescent="0.25">
      <c r="A64" s="44"/>
      <c r="B64" s="11" t="str">
        <f>CONCATENATE("          ", "5500", " - ", "FREIGHT-IN")</f>
        <v xml:space="preserve">          5500 - FREIGHT-IN</v>
      </c>
      <c r="C64" s="11"/>
      <c r="D64" s="2"/>
      <c r="E64" s="2"/>
      <c r="F64" s="19">
        <f t="shared" si="11"/>
        <v>0</v>
      </c>
      <c r="G64" s="2"/>
      <c r="H64" s="2">
        <v>14.08</v>
      </c>
      <c r="I64" s="2"/>
      <c r="J64" s="19">
        <f t="shared" si="12"/>
        <v>2.8195245184290168E-5</v>
      </c>
      <c r="K64" s="2"/>
      <c r="L64" s="2">
        <f t="shared" si="13"/>
        <v>-14.08</v>
      </c>
      <c r="M64" s="2"/>
      <c r="N64" s="19">
        <f t="shared" si="14"/>
        <v>-1</v>
      </c>
      <c r="O64" s="11"/>
      <c r="P64" s="2">
        <v>29.23</v>
      </c>
      <c r="Q64" s="2"/>
      <c r="R64" s="19">
        <f t="shared" si="15"/>
        <v>1.0562054890959519E-5</v>
      </c>
      <c r="S64" s="2"/>
      <c r="T64" s="2">
        <v>14.08</v>
      </c>
      <c r="U64" s="2"/>
      <c r="V64" s="19">
        <f t="shared" si="16"/>
        <v>4.0502609888362989E-6</v>
      </c>
      <c r="W64" s="2"/>
      <c r="X64" s="2">
        <f t="shared" si="17"/>
        <v>15.15</v>
      </c>
      <c r="Y64" s="2"/>
      <c r="Z64" s="19">
        <f t="shared" si="18"/>
        <v>1.0759943181818181</v>
      </c>
    </row>
    <row r="65" spans="1:26" s="24" customFormat="1" hidden="1" outlineLevel="1" x14ac:dyDescent="0.25">
      <c r="A65" s="44"/>
      <c r="B65" s="11" t="str">
        <f>CONCATENATE("          ", "5540", " - ", "FREIGHT-IN-LOGO CLOTHING")</f>
        <v xml:space="preserve">          5540 - FREIGHT-IN-LOGO CLOTHING</v>
      </c>
      <c r="C65" s="11"/>
      <c r="D65" s="2">
        <v>815.7</v>
      </c>
      <c r="E65" s="2"/>
      <c r="F65" s="19">
        <f t="shared" si="11"/>
        <v>4.5449034454569234E-3</v>
      </c>
      <c r="G65" s="2"/>
      <c r="H65" s="2">
        <v>872.01</v>
      </c>
      <c r="I65" s="2"/>
      <c r="J65" s="19">
        <f t="shared" si="12"/>
        <v>1.7462028233773345E-3</v>
      </c>
      <c r="K65" s="2"/>
      <c r="L65" s="2">
        <f t="shared" si="13"/>
        <v>-56.309999999999945</v>
      </c>
      <c r="M65" s="2"/>
      <c r="N65" s="19">
        <f t="shared" si="14"/>
        <v>-6.457494753500527E-2</v>
      </c>
      <c r="O65" s="11"/>
      <c r="P65" s="2">
        <v>32519</v>
      </c>
      <c r="Q65" s="2"/>
      <c r="R65" s="19">
        <f t="shared" si="15"/>
        <v>1.1750511905546103E-2</v>
      </c>
      <c r="S65" s="2"/>
      <c r="T65" s="2">
        <v>29895.85</v>
      </c>
      <c r="U65" s="2"/>
      <c r="V65" s="19">
        <f t="shared" si="16"/>
        <v>8.5998575982316524E-3</v>
      </c>
      <c r="W65" s="2"/>
      <c r="X65" s="2">
        <f t="shared" si="17"/>
        <v>2623.1500000000015</v>
      </c>
      <c r="Y65" s="2"/>
      <c r="Z65" s="19">
        <f t="shared" si="18"/>
        <v>8.7742947599750515E-2</v>
      </c>
    </row>
    <row r="66" spans="1:26" s="24" customFormat="1" hidden="1" outlineLevel="1" x14ac:dyDescent="0.25">
      <c r="A66" s="44"/>
      <c r="B66" s="11" t="str">
        <f>CONCATENATE("          ", "5541", " - ", "FREIGHT-IN-LOGO GIFTS")</f>
        <v xml:space="preserve">          5541 - FREIGHT-IN-LOGO GIFTS</v>
      </c>
      <c r="C66" s="11"/>
      <c r="D66" s="2">
        <v>343.16</v>
      </c>
      <c r="E66" s="2"/>
      <c r="F66" s="19">
        <f t="shared" si="11"/>
        <v>1.9120130763062373E-3</v>
      </c>
      <c r="G66" s="2"/>
      <c r="H66" s="2">
        <v>1280.73</v>
      </c>
      <c r="I66" s="2"/>
      <c r="J66" s="19">
        <f t="shared" si="12"/>
        <v>2.5646659350053941E-3</v>
      </c>
      <c r="K66" s="2"/>
      <c r="L66" s="2">
        <f t="shared" si="13"/>
        <v>-937.56999999999994</v>
      </c>
      <c r="M66" s="2"/>
      <c r="N66" s="19">
        <f t="shared" si="14"/>
        <v>-0.73205906006730526</v>
      </c>
      <c r="O66" s="11"/>
      <c r="P66" s="2">
        <v>5226.1000000000004</v>
      </c>
      <c r="Q66" s="2"/>
      <c r="R66" s="19">
        <f t="shared" si="15"/>
        <v>1.8884144736792182E-3</v>
      </c>
      <c r="S66" s="2"/>
      <c r="T66" s="2">
        <v>8765.51</v>
      </c>
      <c r="U66" s="2"/>
      <c r="V66" s="19">
        <f t="shared" si="16"/>
        <v>2.5214917045635276E-3</v>
      </c>
      <c r="W66" s="2"/>
      <c r="X66" s="2">
        <f t="shared" si="17"/>
        <v>-3539.41</v>
      </c>
      <c r="Y66" s="2"/>
      <c r="Z66" s="19">
        <f t="shared" si="18"/>
        <v>-0.40378825647338257</v>
      </c>
    </row>
    <row r="67" spans="1:26" s="24" customFormat="1" hidden="1" outlineLevel="1" x14ac:dyDescent="0.25">
      <c r="A67" s="44"/>
      <c r="B67" s="11" t="str">
        <f>CONCATENATE("          ", "5542", " - ", "FREIGHT-IN-EVERYDAY GIFTS")</f>
        <v xml:space="preserve">          5542 - FREIGHT-IN-EVERYDAY GIFTS</v>
      </c>
      <c r="C67" s="11"/>
      <c r="D67" s="2">
        <v>384.47</v>
      </c>
      <c r="E67" s="2"/>
      <c r="F67" s="19">
        <f t="shared" si="11"/>
        <v>2.1421834346877816E-3</v>
      </c>
      <c r="G67" s="2"/>
      <c r="H67" s="2">
        <v>383.05</v>
      </c>
      <c r="I67" s="2"/>
      <c r="J67" s="19">
        <f t="shared" si="12"/>
        <v>7.6705885425016685E-4</v>
      </c>
      <c r="K67" s="2"/>
      <c r="L67" s="2">
        <f t="shared" si="13"/>
        <v>1.4200000000000159</v>
      </c>
      <c r="M67" s="2"/>
      <c r="N67" s="19">
        <f t="shared" si="14"/>
        <v>3.7070878475395272E-3</v>
      </c>
      <c r="O67" s="11"/>
      <c r="P67" s="2">
        <v>2223.5100000000002</v>
      </c>
      <c r="Q67" s="2"/>
      <c r="R67" s="19">
        <f t="shared" si="15"/>
        <v>8.0344969793354096E-4</v>
      </c>
      <c r="S67" s="2"/>
      <c r="T67" s="2">
        <v>1975.21</v>
      </c>
      <c r="U67" s="2"/>
      <c r="V67" s="19">
        <f t="shared" si="16"/>
        <v>5.6819005736927176E-4</v>
      </c>
      <c r="W67" s="2"/>
      <c r="X67" s="2">
        <f t="shared" si="17"/>
        <v>248.30000000000018</v>
      </c>
      <c r="Y67" s="2"/>
      <c r="Z67" s="19">
        <f t="shared" si="18"/>
        <v>0.12570815255086809</v>
      </c>
    </row>
    <row r="68" spans="1:26" s="24" customFormat="1" hidden="1" outlineLevel="1" x14ac:dyDescent="0.25">
      <c r="A68" s="44"/>
      <c r="B68" s="11" t="str">
        <f>CONCATENATE("          ", "5543", " - ", "FREIGHT-IN-CARDS")</f>
        <v xml:space="preserve">          5543 - FREIGHT-IN-CARDS</v>
      </c>
      <c r="C68" s="11"/>
      <c r="D68" s="2"/>
      <c r="E68" s="2"/>
      <c r="F68" s="19">
        <f t="shared" si="11"/>
        <v>0</v>
      </c>
      <c r="G68" s="2"/>
      <c r="H68" s="2"/>
      <c r="I68" s="2"/>
      <c r="J68" s="19">
        <f t="shared" si="12"/>
        <v>0</v>
      </c>
      <c r="K68" s="2"/>
      <c r="L68" s="2">
        <f t="shared" si="13"/>
        <v>0</v>
      </c>
      <c r="M68" s="2"/>
      <c r="N68" s="19">
        <f t="shared" si="14"/>
        <v>0</v>
      </c>
      <c r="O68" s="11"/>
      <c r="P68" s="2">
        <v>2926.76</v>
      </c>
      <c r="Q68" s="2"/>
      <c r="R68" s="19">
        <f t="shared" si="15"/>
        <v>1.0575641386474405E-3</v>
      </c>
      <c r="S68" s="2"/>
      <c r="T68" s="2">
        <v>57.18</v>
      </c>
      <c r="U68" s="2"/>
      <c r="V68" s="19">
        <f t="shared" si="16"/>
        <v>1.6448432055515594E-5</v>
      </c>
      <c r="W68" s="2"/>
      <c r="X68" s="2">
        <f t="shared" si="17"/>
        <v>2869.5800000000004</v>
      </c>
      <c r="Y68" s="2"/>
      <c r="Z68" s="19">
        <f t="shared" si="18"/>
        <v>50.185029730675069</v>
      </c>
    </row>
    <row r="69" spans="1:26" s="24" customFormat="1" hidden="1" outlineLevel="1" x14ac:dyDescent="0.25">
      <c r="A69" s="44"/>
      <c r="B69" s="11" t="str">
        <f>CONCATENATE("          ", "5544", " - ", "FREIGHT-IN-ACCESSORIES")</f>
        <v xml:space="preserve">          5544 - FREIGHT-IN-ACCESSORIES</v>
      </c>
      <c r="C69" s="11"/>
      <c r="D69" s="2"/>
      <c r="E69" s="2"/>
      <c r="F69" s="19">
        <f t="shared" si="11"/>
        <v>0</v>
      </c>
      <c r="G69" s="2"/>
      <c r="H69" s="2">
        <v>226.66</v>
      </c>
      <c r="I69" s="2"/>
      <c r="J69" s="19">
        <f t="shared" si="12"/>
        <v>4.5388737737721659E-4</v>
      </c>
      <c r="K69" s="2"/>
      <c r="L69" s="2">
        <f t="shared" si="13"/>
        <v>-226.66</v>
      </c>
      <c r="M69" s="2"/>
      <c r="N69" s="19">
        <f t="shared" si="14"/>
        <v>-1</v>
      </c>
      <c r="O69" s="11"/>
      <c r="P69" s="2">
        <v>483.44</v>
      </c>
      <c r="Q69" s="2"/>
      <c r="R69" s="19">
        <f t="shared" si="15"/>
        <v>1.7468764339669758E-4</v>
      </c>
      <c r="S69" s="2"/>
      <c r="T69" s="2">
        <v>1360.08</v>
      </c>
      <c r="U69" s="2"/>
      <c r="V69" s="19">
        <f t="shared" si="16"/>
        <v>3.9124140381366997E-4</v>
      </c>
      <c r="W69" s="2"/>
      <c r="X69" s="2">
        <f t="shared" si="17"/>
        <v>-876.63999999999987</v>
      </c>
      <c r="Y69" s="2"/>
      <c r="Z69" s="19">
        <f t="shared" si="18"/>
        <v>-0.64455032056937822</v>
      </c>
    </row>
    <row r="70" spans="1:26" s="24" customFormat="1" hidden="1" outlineLevel="1" x14ac:dyDescent="0.25">
      <c r="A70" s="44"/>
      <c r="B70" s="11" t="str">
        <f>CONCATENATE("          ", "5545", " - ", "FREIGHT-IN-SPECIAL ORDERS")</f>
        <v xml:space="preserve">          5545 - FREIGHT-IN-SPECIAL ORDERS</v>
      </c>
      <c r="C70" s="11"/>
      <c r="D70" s="2">
        <v>173.06</v>
      </c>
      <c r="E70" s="2"/>
      <c r="F70" s="19">
        <f t="shared" si="11"/>
        <v>9.6425277708811464E-4</v>
      </c>
      <c r="G70" s="2"/>
      <c r="H70" s="2">
        <v>637.24</v>
      </c>
      <c r="I70" s="2"/>
      <c r="J70" s="19">
        <f t="shared" si="12"/>
        <v>1.2760751449742236E-3</v>
      </c>
      <c r="K70" s="2"/>
      <c r="L70" s="2">
        <f t="shared" si="13"/>
        <v>-464.18</v>
      </c>
      <c r="M70" s="2"/>
      <c r="N70" s="19">
        <f t="shared" si="14"/>
        <v>-0.72842257234323016</v>
      </c>
      <c r="O70" s="11"/>
      <c r="P70" s="2">
        <v>1065.32</v>
      </c>
      <c r="Q70" s="2"/>
      <c r="R70" s="19">
        <f t="shared" si="15"/>
        <v>3.8494588834885371E-4</v>
      </c>
      <c r="S70" s="2"/>
      <c r="T70" s="2">
        <v>2281.42</v>
      </c>
      <c r="U70" s="2"/>
      <c r="V70" s="19">
        <f t="shared" si="16"/>
        <v>6.5627460405901351E-4</v>
      </c>
      <c r="W70" s="2"/>
      <c r="X70" s="2">
        <f t="shared" si="17"/>
        <v>-1216.1000000000001</v>
      </c>
      <c r="Y70" s="2"/>
      <c r="Z70" s="19">
        <f t="shared" si="18"/>
        <v>-0.53304520868581851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6</v>
      </c>
      <c r="C72" s="29"/>
      <c r="D72" s="21">
        <f>D12-D46</f>
        <v>85714.320000000036</v>
      </c>
      <c r="E72" s="14"/>
      <c r="F72" s="20">
        <f>IF(D$12=0,0,D72/D$12)</f>
        <v>0.47758159653426191</v>
      </c>
      <c r="G72" s="14"/>
      <c r="H72" s="21">
        <f>H12-H46</f>
        <v>261209.65000000005</v>
      </c>
      <c r="I72" s="14"/>
      <c r="J72" s="20">
        <f>IF(H$12=0,0,H72/H$12)</f>
        <v>0.52307316237589641</v>
      </c>
      <c r="K72" s="16"/>
      <c r="L72" s="21">
        <f>+D72-H72</f>
        <v>-175495.33000000002</v>
      </c>
      <c r="M72" s="16"/>
      <c r="N72" s="20">
        <f>IF(H72=0,0,L72/H72)</f>
        <v>-0.67185622736372863</v>
      </c>
      <c r="O72" s="28"/>
      <c r="P72" s="21">
        <f>P12-P46</f>
        <v>1482868.6500000004</v>
      </c>
      <c r="Q72" s="14"/>
      <c r="R72" s="20">
        <f>IF(P$12=0,0,P72/P$12)</f>
        <v>0.53582415591457555</v>
      </c>
      <c r="S72" s="14"/>
      <c r="T72" s="21">
        <f>T12-T46</f>
        <v>1922096.0399999993</v>
      </c>
      <c r="U72" s="14"/>
      <c r="V72" s="20">
        <f>IF(T$12=0,0,T72/T$12)</f>
        <v>0.55291126474493835</v>
      </c>
      <c r="W72" s="16"/>
      <c r="X72" s="21">
        <f>+P72-T72</f>
        <v>-439227.38999999897</v>
      </c>
      <c r="Y72" s="16"/>
      <c r="Z72" s="20">
        <f>IF(T72=0,0,X72/T72)</f>
        <v>-0.22851479887550213</v>
      </c>
    </row>
    <row r="73" spans="1:26" x14ac:dyDescent="0.25">
      <c r="A73" s="9"/>
      <c r="B73" s="10"/>
      <c r="C73" s="9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9</v>
      </c>
      <c r="C74" s="10"/>
      <c r="D74" s="22">
        <f>SUM(OSRRefD22x_0)</f>
        <v>78356.75</v>
      </c>
      <c r="E74" s="22"/>
      <c r="F74" s="31">
        <f t="shared" ref="F74:F83" si="19">IF(D$12=0,0,D74/D$12)</f>
        <v>0.43658681261469506</v>
      </c>
      <c r="G74" s="22"/>
      <c r="H74" s="22">
        <f>SUM(OSRRefH22x_0)</f>
        <v>78499.400000000009</v>
      </c>
      <c r="I74" s="22"/>
      <c r="J74" s="31">
        <f t="shared" ref="J74:J83" si="20">IF(H$12=0,0,H74/H$12)</f>
        <v>0.15719530041332869</v>
      </c>
      <c r="K74" s="4"/>
      <c r="L74" s="22">
        <f t="shared" ref="L74:L83" si="21">+D74-H74</f>
        <v>-142.65000000000873</v>
      </c>
      <c r="M74" s="4"/>
      <c r="N74" s="31">
        <f t="shared" ref="N74:N83" si="22">IF(H74=0,0,L74/H74)</f>
        <v>-1.8172113417428504E-3</v>
      </c>
      <c r="O74" s="10"/>
      <c r="P74" s="22">
        <f>SUM(OSRRefP22x_0)</f>
        <v>999622.87</v>
      </c>
      <c r="Q74" s="22"/>
      <c r="R74" s="31">
        <f t="shared" ref="R74:R83" si="23">IF(P$12=0,0,P74/P$12)</f>
        <v>0.36120669254869969</v>
      </c>
      <c r="S74" s="22"/>
      <c r="T74" s="22">
        <f>SUM(OSRRefT22x_0)</f>
        <v>901645.64</v>
      </c>
      <c r="U74" s="22"/>
      <c r="V74" s="31">
        <f t="shared" ref="V74:V83" si="24">IF(T$12=0,0,T74/T$12)</f>
        <v>0.25936790919363195</v>
      </c>
      <c r="W74" s="4"/>
      <c r="X74" s="22">
        <f t="shared" ref="X74:X83" si="25">+P74-T74</f>
        <v>97977.229999999981</v>
      </c>
      <c r="Y74" s="4"/>
      <c r="Z74" s="31">
        <f t="shared" ref="Z74:Z83" si="26">IF(T74=0,0,X74/T74)</f>
        <v>0.10866489633333111</v>
      </c>
    </row>
    <row r="75" spans="1:26" s="27" customFormat="1" outlineLevel="1" collapsed="1" x14ac:dyDescent="0.25">
      <c r="A75" s="25"/>
      <c r="B75" s="13" t="str">
        <f>CONCATENATE("     ","*Benefits                                         ")</f>
        <v xml:space="preserve">     *Benefits                                         </v>
      </c>
      <c r="C75" s="13"/>
      <c r="D75" s="1">
        <f>SUM(OSRRefD22_0x_0)</f>
        <v>8264.17</v>
      </c>
      <c r="E75" s="1"/>
      <c r="F75" s="5">
        <f t="shared" si="19"/>
        <v>4.6046162445558099E-2</v>
      </c>
      <c r="G75" s="1"/>
      <c r="H75" s="1">
        <f>SUM(OSRRefH22_0x_0)</f>
        <v>7629.0599999999995</v>
      </c>
      <c r="I75" s="1"/>
      <c r="J75" s="5">
        <f t="shared" si="20"/>
        <v>1.5277217132504314E-2</v>
      </c>
      <c r="K75" s="1"/>
      <c r="L75" s="1">
        <f t="shared" si="21"/>
        <v>635.11000000000058</v>
      </c>
      <c r="M75" s="1"/>
      <c r="N75" s="5">
        <f t="shared" si="22"/>
        <v>8.3248788186224859E-2</v>
      </c>
      <c r="O75" s="13"/>
      <c r="P75" s="1">
        <f>SUM(OSRRefP22_0x_0)</f>
        <v>100552.17</v>
      </c>
      <c r="Q75" s="1"/>
      <c r="R75" s="5">
        <f t="shared" si="23"/>
        <v>3.6333819327577593E-2</v>
      </c>
      <c r="S75" s="1"/>
      <c r="T75" s="1">
        <f>SUM(OSRRefT22_0x_0)</f>
        <v>80924.150000000009</v>
      </c>
      <c r="U75" s="1"/>
      <c r="V75" s="5">
        <f t="shared" si="24"/>
        <v>2.3278688053958597E-2</v>
      </c>
      <c r="W75" s="1"/>
      <c r="X75" s="1">
        <f t="shared" si="25"/>
        <v>19628.01999999999</v>
      </c>
      <c r="Y75" s="1"/>
      <c r="Z75" s="5">
        <f t="shared" si="26"/>
        <v>0.24254836164482405</v>
      </c>
    </row>
    <row r="76" spans="1:26" s="24" customFormat="1" hidden="1" outlineLevel="2" x14ac:dyDescent="0.25">
      <c r="A76" s="26"/>
      <c r="B76" s="11" t="str">
        <f>CONCATENATE("          ", "6111", " - ", "F.I.C.A.")</f>
        <v xml:space="preserve">          6111 - F.I.C.A.</v>
      </c>
      <c r="C76" s="11"/>
      <c r="D76" s="6">
        <v>1330.79</v>
      </c>
      <c r="E76" s="2"/>
      <c r="F76" s="7">
        <f t="shared" si="19"/>
        <v>7.4148731839887442E-3</v>
      </c>
      <c r="G76" s="2"/>
      <c r="H76" s="6">
        <v>2131.04</v>
      </c>
      <c r="I76" s="2"/>
      <c r="J76" s="7">
        <f t="shared" si="20"/>
        <v>4.2674144387450088E-3</v>
      </c>
      <c r="K76" s="2"/>
      <c r="L76" s="6">
        <f t="shared" si="21"/>
        <v>-800.25</v>
      </c>
      <c r="M76" s="2"/>
      <c r="N76" s="7">
        <f t="shared" si="22"/>
        <v>-0.37552087243787069</v>
      </c>
      <c r="O76" s="11"/>
      <c r="P76" s="6">
        <v>18783.400000000001</v>
      </c>
      <c r="Q76" s="2"/>
      <c r="R76" s="7">
        <f t="shared" si="23"/>
        <v>6.7872494642096833E-3</v>
      </c>
      <c r="S76" s="2"/>
      <c r="T76" s="6">
        <v>17323.289999999997</v>
      </c>
      <c r="U76" s="2"/>
      <c r="V76" s="7">
        <f t="shared" si="24"/>
        <v>4.9832276765126391E-3</v>
      </c>
      <c r="W76" s="2"/>
      <c r="X76" s="6">
        <f t="shared" si="25"/>
        <v>1460.1100000000042</v>
      </c>
      <c r="Y76" s="2"/>
      <c r="Z76" s="7">
        <f t="shared" si="26"/>
        <v>8.4285952610618678E-2</v>
      </c>
    </row>
    <row r="77" spans="1:26" s="24" customFormat="1" hidden="1" outlineLevel="2" x14ac:dyDescent="0.25">
      <c r="A77" s="26"/>
      <c r="B77" s="11" t="str">
        <f>CONCATENATE("          ", "6112", " - ", "COMPENSATION INSURANCE")</f>
        <v xml:space="preserve">          6112 - COMPENSATION INSURANCE</v>
      </c>
      <c r="C77" s="11"/>
      <c r="D77" s="6">
        <v>500.6</v>
      </c>
      <c r="E77" s="2"/>
      <c r="F77" s="7">
        <f t="shared" si="19"/>
        <v>2.789234601931759E-3</v>
      </c>
      <c r="G77" s="2"/>
      <c r="H77" s="6">
        <v>356.13</v>
      </c>
      <c r="I77" s="2"/>
      <c r="J77" s="7">
        <f t="shared" si="20"/>
        <v>7.1315146786088478E-4</v>
      </c>
      <c r="K77" s="2"/>
      <c r="L77" s="6">
        <f t="shared" si="21"/>
        <v>144.47000000000003</v>
      </c>
      <c r="M77" s="2"/>
      <c r="N77" s="7">
        <f t="shared" si="22"/>
        <v>0.40566647010922985</v>
      </c>
      <c r="O77" s="11"/>
      <c r="P77" s="6">
        <v>6317.37</v>
      </c>
      <c r="Q77" s="2"/>
      <c r="R77" s="7">
        <f t="shared" si="23"/>
        <v>2.2827372119911373E-3</v>
      </c>
      <c r="S77" s="2"/>
      <c r="T77" s="6">
        <v>3864.21</v>
      </c>
      <c r="U77" s="2"/>
      <c r="V77" s="7">
        <f t="shared" si="24"/>
        <v>1.1115808959993689E-3</v>
      </c>
      <c r="W77" s="2"/>
      <c r="X77" s="6">
        <f t="shared" si="25"/>
        <v>2453.16</v>
      </c>
      <c r="Y77" s="2"/>
      <c r="Z77" s="7">
        <f t="shared" si="26"/>
        <v>0.63484127415435487</v>
      </c>
    </row>
    <row r="78" spans="1:26" s="24" customFormat="1" hidden="1" outlineLevel="2" x14ac:dyDescent="0.25">
      <c r="A78" s="26"/>
      <c r="B78" s="11" t="str">
        <f>CONCATENATE("          ", "6113", " - ", "GROUP INSURANCE")</f>
        <v xml:space="preserve">          6113 - GROUP INSURANCE</v>
      </c>
      <c r="C78" s="11"/>
      <c r="D78" s="6">
        <v>3471.02</v>
      </c>
      <c r="E78" s="2"/>
      <c r="F78" s="7">
        <f t="shared" si="19"/>
        <v>1.9339770451452604E-2</v>
      </c>
      <c r="G78" s="2"/>
      <c r="H78" s="6">
        <v>3252.74</v>
      </c>
      <c r="I78" s="2"/>
      <c r="J78" s="7">
        <f t="shared" si="20"/>
        <v>6.5136222884053969E-3</v>
      </c>
      <c r="K78" s="2"/>
      <c r="L78" s="6">
        <f t="shared" si="21"/>
        <v>218.2800000000002</v>
      </c>
      <c r="M78" s="2"/>
      <c r="N78" s="7">
        <f t="shared" si="22"/>
        <v>6.7106500980711706E-2</v>
      </c>
      <c r="O78" s="11"/>
      <c r="P78" s="6">
        <v>33381.72</v>
      </c>
      <c r="Q78" s="2"/>
      <c r="R78" s="7">
        <f t="shared" si="23"/>
        <v>1.2062249709019542E-2</v>
      </c>
      <c r="S78" s="2"/>
      <c r="T78" s="6">
        <v>29836.11</v>
      </c>
      <c r="U78" s="2"/>
      <c r="V78" s="7">
        <f t="shared" si="24"/>
        <v>8.5826727550872579E-3</v>
      </c>
      <c r="W78" s="2"/>
      <c r="X78" s="6">
        <f t="shared" si="25"/>
        <v>3545.6100000000006</v>
      </c>
      <c r="Y78" s="2"/>
      <c r="Z78" s="7">
        <f t="shared" si="26"/>
        <v>0.11883620217246821</v>
      </c>
    </row>
    <row r="79" spans="1:26" s="24" customFormat="1" hidden="1" outlineLevel="2" x14ac:dyDescent="0.25">
      <c r="A79" s="26"/>
      <c r="B79" s="11" t="str">
        <f>CONCATENATE("          ", "6114", " - ", "STATE UNEMPLOYMENT INSURANCE")</f>
        <v xml:space="preserve">          6114 - STATE UNEMPLOYMENT INSURANCE</v>
      </c>
      <c r="C79" s="11"/>
      <c r="D79" s="6">
        <v>68.5</v>
      </c>
      <c r="E79" s="2"/>
      <c r="F79" s="7">
        <f t="shared" si="19"/>
        <v>3.8166713989677486E-4</v>
      </c>
      <c r="G79" s="2"/>
      <c r="H79" s="6">
        <v>77.81</v>
      </c>
      <c r="I79" s="2"/>
      <c r="J79" s="7">
        <f t="shared" si="20"/>
        <v>1.5581477470096719E-4</v>
      </c>
      <c r="K79" s="2"/>
      <c r="L79" s="6">
        <f t="shared" si="21"/>
        <v>-9.3100000000000023</v>
      </c>
      <c r="M79" s="2"/>
      <c r="N79" s="7">
        <f t="shared" si="22"/>
        <v>-0.11965043053592087</v>
      </c>
      <c r="O79" s="11"/>
      <c r="P79" s="6">
        <v>973.98</v>
      </c>
      <c r="Q79" s="2"/>
      <c r="R79" s="7">
        <f t="shared" si="23"/>
        <v>3.5194082185072709E-4</v>
      </c>
      <c r="S79" s="2"/>
      <c r="T79" s="6">
        <v>944.16</v>
      </c>
      <c r="U79" s="2"/>
      <c r="V79" s="7">
        <f t="shared" si="24"/>
        <v>2.7159761471730684E-4</v>
      </c>
      <c r="W79" s="2"/>
      <c r="X79" s="6">
        <f t="shared" si="25"/>
        <v>29.82000000000005</v>
      </c>
      <c r="Y79" s="2"/>
      <c r="Z79" s="7">
        <f t="shared" si="26"/>
        <v>3.1583629893238485E-2</v>
      </c>
    </row>
    <row r="80" spans="1:26" s="24" customFormat="1" hidden="1" outlineLevel="2" x14ac:dyDescent="0.25">
      <c r="A80" s="26"/>
      <c r="B80" s="11" t="str">
        <f>CONCATENATE("          ", "6115", " - ", "P.E.R.S.")</f>
        <v xml:space="preserve">          6115 - P.E.R.S.</v>
      </c>
      <c r="C80" s="11"/>
      <c r="D80" s="6">
        <v>1019.1</v>
      </c>
      <c r="E80" s="2"/>
      <c r="F80" s="7">
        <f t="shared" si="19"/>
        <v>5.6782041207124557E-3</v>
      </c>
      <c r="G80" s="2"/>
      <c r="H80" s="6">
        <v>555.77</v>
      </c>
      <c r="I80" s="2"/>
      <c r="J80" s="7">
        <f t="shared" si="20"/>
        <v>1.112931208527908E-3</v>
      </c>
      <c r="K80" s="2"/>
      <c r="L80" s="6">
        <f t="shared" si="21"/>
        <v>463.33000000000004</v>
      </c>
      <c r="M80" s="2"/>
      <c r="N80" s="7">
        <f t="shared" si="22"/>
        <v>0.83367220252982355</v>
      </c>
      <c r="O80" s="11"/>
      <c r="P80" s="6">
        <v>11177.75</v>
      </c>
      <c r="Q80" s="2"/>
      <c r="R80" s="7">
        <f t="shared" si="23"/>
        <v>4.039001336210153E-3</v>
      </c>
      <c r="S80" s="2"/>
      <c r="T80" s="6">
        <v>9965.17</v>
      </c>
      <c r="U80" s="2"/>
      <c r="V80" s="7">
        <f t="shared" si="24"/>
        <v>2.8665865978779702E-3</v>
      </c>
      <c r="W80" s="2"/>
      <c r="X80" s="6">
        <f t="shared" si="25"/>
        <v>1212.58</v>
      </c>
      <c r="Y80" s="2"/>
      <c r="Z80" s="7">
        <f t="shared" si="26"/>
        <v>0.12168181777129743</v>
      </c>
    </row>
    <row r="81" spans="1:26" s="24" customFormat="1" hidden="1" outlineLevel="2" x14ac:dyDescent="0.25">
      <c r="A81" s="26"/>
      <c r="B81" s="11" t="str">
        <f>CONCATENATE("          ", "6118", " - ", "VACATION")</f>
        <v xml:space="preserve">          6118 - VACATION</v>
      </c>
      <c r="C81" s="11"/>
      <c r="D81" s="6">
        <v>1000.72</v>
      </c>
      <c r="E81" s="2"/>
      <c r="F81" s="7">
        <f t="shared" si="19"/>
        <v>5.5757947479927088E-3</v>
      </c>
      <c r="G81" s="2"/>
      <c r="H81" s="6">
        <v>715.47</v>
      </c>
      <c r="I81" s="2"/>
      <c r="J81" s="7">
        <f t="shared" si="20"/>
        <v>1.4327309710230175E-3</v>
      </c>
      <c r="K81" s="2"/>
      <c r="L81" s="6">
        <f t="shared" si="21"/>
        <v>285.25</v>
      </c>
      <c r="M81" s="2"/>
      <c r="N81" s="7">
        <f t="shared" si="22"/>
        <v>0.39868897368163581</v>
      </c>
      <c r="O81" s="11"/>
      <c r="P81" s="6">
        <v>12643.18</v>
      </c>
      <c r="Q81" s="2"/>
      <c r="R81" s="7">
        <f t="shared" si="23"/>
        <v>4.568524158613807E-3</v>
      </c>
      <c r="S81" s="2"/>
      <c r="T81" s="6">
        <v>9498.82</v>
      </c>
      <c r="U81" s="2"/>
      <c r="V81" s="7">
        <f t="shared" si="24"/>
        <v>2.7324360856518476E-3</v>
      </c>
      <c r="W81" s="2"/>
      <c r="X81" s="6">
        <f t="shared" si="25"/>
        <v>3144.3600000000006</v>
      </c>
      <c r="Y81" s="2"/>
      <c r="Z81" s="7">
        <f t="shared" si="26"/>
        <v>0.33102638011879376</v>
      </c>
    </row>
    <row r="82" spans="1:26" s="24" customFormat="1" hidden="1" outlineLevel="2" x14ac:dyDescent="0.25">
      <c r="A82" s="26"/>
      <c r="B82" s="11" t="str">
        <f>CONCATENATE("          ", "6119", " - ", "SICK LEAVE")</f>
        <v xml:space="preserve">          6119 - SICK LEAVE</v>
      </c>
      <c r="C82" s="11"/>
      <c r="D82" s="6">
        <v>705.44</v>
      </c>
      <c r="E82" s="2"/>
      <c r="F82" s="7">
        <f t="shared" si="19"/>
        <v>3.9305586447997204E-3</v>
      </c>
      <c r="G82" s="2"/>
      <c r="H82" s="6">
        <v>408.69</v>
      </c>
      <c r="I82" s="2"/>
      <c r="J82" s="7">
        <f t="shared" si="20"/>
        <v>8.1840303653178616E-4</v>
      </c>
      <c r="K82" s="2"/>
      <c r="L82" s="6">
        <f t="shared" si="21"/>
        <v>296.75000000000006</v>
      </c>
      <c r="M82" s="2"/>
      <c r="N82" s="7">
        <f t="shared" si="22"/>
        <v>0.72610046734688893</v>
      </c>
      <c r="O82" s="11"/>
      <c r="P82" s="6">
        <v>14657.99</v>
      </c>
      <c r="Q82" s="2"/>
      <c r="R82" s="7">
        <f t="shared" si="23"/>
        <v>5.2965615795804218E-3</v>
      </c>
      <c r="S82" s="2"/>
      <c r="T82" s="6">
        <v>6837.84</v>
      </c>
      <c r="U82" s="2"/>
      <c r="V82" s="7">
        <f t="shared" si="24"/>
        <v>1.9669770312432102E-3</v>
      </c>
      <c r="W82" s="2"/>
      <c r="X82" s="6">
        <f t="shared" si="25"/>
        <v>7820.15</v>
      </c>
      <c r="Y82" s="2"/>
      <c r="Z82" s="7">
        <f t="shared" si="26"/>
        <v>1.143657938764288</v>
      </c>
    </row>
    <row r="83" spans="1:26" s="24" customFormat="1" hidden="1" outlineLevel="2" x14ac:dyDescent="0.25">
      <c r="A83" s="26"/>
      <c r="B83" s="11" t="str">
        <f>CONCATENATE("          ", "6156", " - ", "EMPLOYEE MEALS")</f>
        <v xml:space="preserve">          6156 - EMPLOYEE MEALS</v>
      </c>
      <c r="C83" s="11"/>
      <c r="D83" s="6">
        <v>168</v>
      </c>
      <c r="E83" s="2"/>
      <c r="F83" s="7">
        <f t="shared" si="19"/>
        <v>9.3605955478333097E-4</v>
      </c>
      <c r="G83" s="2"/>
      <c r="H83" s="6">
        <v>131.41</v>
      </c>
      <c r="I83" s="2"/>
      <c r="J83" s="7">
        <f t="shared" si="20"/>
        <v>2.6314894670934454E-4</v>
      </c>
      <c r="K83" s="2"/>
      <c r="L83" s="6">
        <f t="shared" si="21"/>
        <v>36.590000000000003</v>
      </c>
      <c r="M83" s="2"/>
      <c r="N83" s="7">
        <f t="shared" si="22"/>
        <v>0.27844151891028085</v>
      </c>
      <c r="O83" s="11"/>
      <c r="P83" s="6">
        <v>2616.7800000000002</v>
      </c>
      <c r="Q83" s="2"/>
      <c r="R83" s="7">
        <f t="shared" si="23"/>
        <v>9.4555504610212293E-4</v>
      </c>
      <c r="S83" s="2"/>
      <c r="T83" s="6">
        <v>2654.55</v>
      </c>
      <c r="U83" s="2"/>
      <c r="V83" s="7">
        <f t="shared" si="24"/>
        <v>7.6360939686899139E-4</v>
      </c>
      <c r="W83" s="2"/>
      <c r="X83" s="6">
        <f t="shared" si="25"/>
        <v>-37.769999999999982</v>
      </c>
      <c r="Y83" s="2"/>
      <c r="Z83" s="7">
        <f t="shared" si="26"/>
        <v>-1.4228400293835106E-2</v>
      </c>
    </row>
    <row r="84" spans="1:26" s="27" customFormat="1" outlineLevel="1" collapsed="1" x14ac:dyDescent="0.25">
      <c r="A84" s="25"/>
      <c r="B84" s="13" t="str">
        <f>CONCATENATE("     ","*Payroll                                          ")</f>
        <v xml:space="preserve">     *Payroll                                          </v>
      </c>
      <c r="C84" s="13"/>
      <c r="D84" s="1">
        <f>SUM(OSRRefD22_1x_0)</f>
        <v>15801.68</v>
      </c>
      <c r="E84" s="1"/>
      <c r="F84" s="5">
        <f t="shared" ref="F84:F90" si="27">IF(D$12=0,0,D84/D$12)</f>
        <v>8.8043533009694433E-2</v>
      </c>
      <c r="G84" s="1"/>
      <c r="H84" s="1">
        <f>SUM(OSRRefH22_1x_0)</f>
        <v>36783.919999999998</v>
      </c>
      <c r="I84" s="1"/>
      <c r="J84" s="5">
        <f t="shared" ref="J84:J90" si="28">IF(H$12=0,0,H84/H$12)</f>
        <v>7.3659917843701336E-2</v>
      </c>
      <c r="K84" s="1"/>
      <c r="L84" s="1">
        <f t="shared" ref="L84:L90" si="29">+D84-H84</f>
        <v>-20982.239999999998</v>
      </c>
      <c r="M84" s="1"/>
      <c r="N84" s="5">
        <f t="shared" ref="N84:N90" si="30">IF(H84=0,0,L84/H84)</f>
        <v>-0.57041881343804568</v>
      </c>
      <c r="O84" s="13"/>
      <c r="P84" s="1">
        <f>SUM(OSRRefP22_1x_0)</f>
        <v>353650.22000000003</v>
      </c>
      <c r="Q84" s="1"/>
      <c r="R84" s="5">
        <f t="shared" ref="R84:R90" si="31">IF(P$12=0,0,P84/P$12)</f>
        <v>0.12778901935819056</v>
      </c>
      <c r="S84" s="1"/>
      <c r="T84" s="1">
        <f>SUM(OSRRefT22_1x_0)</f>
        <v>346308.32999999996</v>
      </c>
      <c r="U84" s="1"/>
      <c r="V84" s="5">
        <f t="shared" ref="V84:V90" si="32">IF(T$12=0,0,T84/T$12)</f>
        <v>9.9619255618469266E-2</v>
      </c>
      <c r="W84" s="1"/>
      <c r="X84" s="1">
        <f t="shared" ref="X84:X90" si="33">+P84-T84</f>
        <v>7341.8900000000722</v>
      </c>
      <c r="Y84" s="1"/>
      <c r="Z84" s="5">
        <f t="shared" ref="Z84:Z90" si="34">IF(T84=0,0,X84/T84)</f>
        <v>2.1200442969419975E-2</v>
      </c>
    </row>
    <row r="85" spans="1:26" s="24" customFormat="1" hidden="1" outlineLevel="2" x14ac:dyDescent="0.25">
      <c r="A85" s="26"/>
      <c r="B85" s="11" t="str">
        <f>CONCATENATE("          ", "6002", " - ", "STAFF SALARIES")</f>
        <v xml:space="preserve">          6002 - STAFF SALARIES</v>
      </c>
      <c r="C85" s="11"/>
      <c r="D85" s="6">
        <v>9840.02</v>
      </c>
      <c r="E85" s="2"/>
      <c r="F85" s="7">
        <f t="shared" si="27"/>
        <v>5.4826456787256388E-2</v>
      </c>
      <c r="G85" s="2"/>
      <c r="H85" s="6">
        <v>6409.32</v>
      </c>
      <c r="I85" s="2"/>
      <c r="J85" s="7">
        <f t="shared" si="28"/>
        <v>1.2834683868222632E-2</v>
      </c>
      <c r="K85" s="2"/>
      <c r="L85" s="6">
        <f t="shared" si="29"/>
        <v>3430.7000000000007</v>
      </c>
      <c r="M85" s="2"/>
      <c r="N85" s="7">
        <f t="shared" si="30"/>
        <v>0.53526739186060313</v>
      </c>
      <c r="O85" s="11"/>
      <c r="P85" s="6">
        <v>105937.02</v>
      </c>
      <c r="Q85" s="2"/>
      <c r="R85" s="7">
        <f t="shared" si="31"/>
        <v>3.8279596997080959E-2</v>
      </c>
      <c r="S85" s="2"/>
      <c r="T85" s="6">
        <v>94870.989999999991</v>
      </c>
      <c r="U85" s="2"/>
      <c r="V85" s="7">
        <f t="shared" si="32"/>
        <v>2.72906441597499E-2</v>
      </c>
      <c r="W85" s="2"/>
      <c r="X85" s="6">
        <f t="shared" si="33"/>
        <v>11066.030000000013</v>
      </c>
      <c r="Y85" s="2"/>
      <c r="Z85" s="7">
        <f t="shared" si="34"/>
        <v>0.11664292741121406</v>
      </c>
    </row>
    <row r="86" spans="1:26" s="24" customFormat="1" hidden="1" outlineLevel="2" x14ac:dyDescent="0.25">
      <c r="A86" s="26"/>
      <c r="B86" s="11" t="str">
        <f>CONCATENATE("          ", "6004", " - ", "STAFF HOURLY")</f>
        <v xml:space="preserve">          6004 - STAFF HOURLY</v>
      </c>
      <c r="C86" s="11"/>
      <c r="D86" s="6">
        <v>3914</v>
      </c>
      <c r="E86" s="2"/>
      <c r="F86" s="7">
        <f t="shared" si="27"/>
        <v>2.1807958913225938E-2</v>
      </c>
      <c r="G86" s="2"/>
      <c r="H86" s="6"/>
      <c r="I86" s="2"/>
      <c r="J86" s="7">
        <f t="shared" si="28"/>
        <v>0</v>
      </c>
      <c r="K86" s="2"/>
      <c r="L86" s="6">
        <f t="shared" si="29"/>
        <v>3914</v>
      </c>
      <c r="M86" s="2"/>
      <c r="N86" s="7">
        <f t="shared" si="30"/>
        <v>0</v>
      </c>
      <c r="O86" s="11"/>
      <c r="P86" s="6">
        <v>16662.510000000002</v>
      </c>
      <c r="Q86" s="2"/>
      <c r="R86" s="7">
        <f t="shared" si="31"/>
        <v>6.0208807814287352E-3</v>
      </c>
      <c r="S86" s="2"/>
      <c r="T86" s="6"/>
      <c r="U86" s="2"/>
      <c r="V86" s="7">
        <f t="shared" si="32"/>
        <v>0</v>
      </c>
      <c r="W86" s="2"/>
      <c r="X86" s="6">
        <f t="shared" si="33"/>
        <v>16662.510000000002</v>
      </c>
      <c r="Y86" s="2"/>
      <c r="Z86" s="7">
        <f t="shared" si="34"/>
        <v>0</v>
      </c>
    </row>
    <row r="87" spans="1:26" s="24" customFormat="1" hidden="1" outlineLevel="2" x14ac:dyDescent="0.25">
      <c r="A87" s="26"/>
      <c r="B87" s="11" t="str">
        <f>CONCATENATE("          ", "6005", " - ", "TEMPORARY WAGES-HOURLY")</f>
        <v xml:space="preserve">          6005 - TEMPORARY WAGES-HOURLY</v>
      </c>
      <c r="C87" s="11"/>
      <c r="D87" s="6"/>
      <c r="E87" s="2"/>
      <c r="F87" s="7">
        <f t="shared" si="27"/>
        <v>0</v>
      </c>
      <c r="G87" s="2"/>
      <c r="H87" s="6">
        <v>8105.48</v>
      </c>
      <c r="I87" s="2"/>
      <c r="J87" s="7">
        <f t="shared" si="28"/>
        <v>1.6231249711389222E-2</v>
      </c>
      <c r="K87" s="2"/>
      <c r="L87" s="6">
        <f t="shared" si="29"/>
        <v>-8105.48</v>
      </c>
      <c r="M87" s="2"/>
      <c r="N87" s="7">
        <f t="shared" si="30"/>
        <v>-1</v>
      </c>
      <c r="O87" s="11"/>
      <c r="P87" s="6">
        <v>42291.11</v>
      </c>
      <c r="Q87" s="2"/>
      <c r="R87" s="7">
        <f t="shared" si="31"/>
        <v>1.5281595115279064E-2</v>
      </c>
      <c r="S87" s="2"/>
      <c r="T87" s="6">
        <v>60471.859999999993</v>
      </c>
      <c r="U87" s="2"/>
      <c r="V87" s="7">
        <f t="shared" si="32"/>
        <v>1.739537041763993E-2</v>
      </c>
      <c r="W87" s="2"/>
      <c r="X87" s="6">
        <f t="shared" si="33"/>
        <v>-18180.749999999993</v>
      </c>
      <c r="Y87" s="2"/>
      <c r="Z87" s="7">
        <f t="shared" si="34"/>
        <v>-0.3006481031011779</v>
      </c>
    </row>
    <row r="88" spans="1:26" s="24" customFormat="1" hidden="1" outlineLevel="2" x14ac:dyDescent="0.25">
      <c r="A88" s="26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7"/>
        <v>0</v>
      </c>
      <c r="G88" s="2"/>
      <c r="H88" s="6">
        <v>1354.7</v>
      </c>
      <c r="I88" s="2"/>
      <c r="J88" s="7">
        <f t="shared" si="28"/>
        <v>2.7127910973833731E-3</v>
      </c>
      <c r="K88" s="2"/>
      <c r="L88" s="6">
        <f t="shared" si="29"/>
        <v>-1354.7</v>
      </c>
      <c r="M88" s="2"/>
      <c r="N88" s="7">
        <f t="shared" si="30"/>
        <v>-1</v>
      </c>
      <c r="O88" s="11"/>
      <c r="P88" s="6">
        <v>1227.45</v>
      </c>
      <c r="Q88" s="2"/>
      <c r="R88" s="7">
        <f t="shared" si="31"/>
        <v>4.4353042339747732E-4</v>
      </c>
      <c r="S88" s="2"/>
      <c r="T88" s="6">
        <v>13784.75</v>
      </c>
      <c r="U88" s="2"/>
      <c r="V88" s="7">
        <f t="shared" si="32"/>
        <v>3.9653292021208219E-3</v>
      </c>
      <c r="W88" s="2"/>
      <c r="X88" s="6">
        <f t="shared" si="33"/>
        <v>-12557.3</v>
      </c>
      <c r="Y88" s="2"/>
      <c r="Z88" s="7">
        <f t="shared" si="34"/>
        <v>-0.91095594769582322</v>
      </c>
    </row>
    <row r="89" spans="1:26" s="24" customFormat="1" hidden="1" outlineLevel="2" x14ac:dyDescent="0.25">
      <c r="A89" s="26"/>
      <c r="B89" s="11" t="str">
        <f>CONCATENATE("          ", "6007", " - ", "STUDENT HOURLY")</f>
        <v xml:space="preserve">          6007 - STUDENT HOURLY</v>
      </c>
      <c r="C89" s="11"/>
      <c r="D89" s="6">
        <v>2047.66</v>
      </c>
      <c r="E89" s="2"/>
      <c r="F89" s="7">
        <f t="shared" si="27"/>
        <v>1.1409117309212116E-2</v>
      </c>
      <c r="G89" s="2"/>
      <c r="H89" s="6">
        <v>20845.419999999998</v>
      </c>
      <c r="I89" s="2"/>
      <c r="J89" s="7">
        <f t="shared" si="28"/>
        <v>4.1743020445277411E-2</v>
      </c>
      <c r="K89" s="2"/>
      <c r="L89" s="6">
        <f t="shared" si="29"/>
        <v>-18797.759999999998</v>
      </c>
      <c r="M89" s="2"/>
      <c r="N89" s="7">
        <f t="shared" si="30"/>
        <v>-0.90176930951739043</v>
      </c>
      <c r="O89" s="11"/>
      <c r="P89" s="6">
        <v>187337.13</v>
      </c>
      <c r="Q89" s="2"/>
      <c r="R89" s="7">
        <f t="shared" si="31"/>
        <v>6.7692954162669156E-2</v>
      </c>
      <c r="S89" s="2"/>
      <c r="T89" s="6">
        <v>176290.48</v>
      </c>
      <c r="U89" s="2"/>
      <c r="V89" s="7">
        <f t="shared" si="32"/>
        <v>5.071182200619502E-2</v>
      </c>
      <c r="W89" s="2"/>
      <c r="X89" s="6">
        <f t="shared" si="33"/>
        <v>11046.649999999994</v>
      </c>
      <c r="Y89" s="2"/>
      <c r="Z89" s="7">
        <f t="shared" si="34"/>
        <v>6.2661636635171644E-2</v>
      </c>
    </row>
    <row r="90" spans="1:26" s="24" customFormat="1" hidden="1" outlineLevel="2" x14ac:dyDescent="0.25">
      <c r="A90" s="26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7"/>
        <v>0</v>
      </c>
      <c r="G90" s="2"/>
      <c r="H90" s="6">
        <v>69</v>
      </c>
      <c r="I90" s="2"/>
      <c r="J90" s="7">
        <f t="shared" si="28"/>
        <v>1.3817272142869471E-4</v>
      </c>
      <c r="K90" s="2"/>
      <c r="L90" s="6">
        <f t="shared" si="29"/>
        <v>-69</v>
      </c>
      <c r="M90" s="2"/>
      <c r="N90" s="7">
        <f t="shared" si="30"/>
        <v>-1</v>
      </c>
      <c r="O90" s="11"/>
      <c r="P90" s="6">
        <v>195</v>
      </c>
      <c r="Q90" s="2"/>
      <c r="R90" s="7">
        <f t="shared" si="31"/>
        <v>7.0461878335172987E-5</v>
      </c>
      <c r="S90" s="2"/>
      <c r="T90" s="6">
        <v>890.25</v>
      </c>
      <c r="U90" s="2"/>
      <c r="V90" s="7">
        <f t="shared" si="32"/>
        <v>2.5608983276360193E-4</v>
      </c>
      <c r="W90" s="2"/>
      <c r="X90" s="6">
        <f t="shared" si="33"/>
        <v>-695.25</v>
      </c>
      <c r="Y90" s="2"/>
      <c r="Z90" s="7">
        <f t="shared" si="34"/>
        <v>-0.78096040438079195</v>
      </c>
    </row>
    <row r="91" spans="1:26" s="27" customFormat="1" outlineLevel="1" collapsed="1" x14ac:dyDescent="0.25">
      <c r="A91" s="25"/>
      <c r="B91" s="13" t="str">
        <f>CONCATENATE("     ","Advertising/Promo                                 ")</f>
        <v xml:space="preserve">     Advertising/Promo                                 </v>
      </c>
      <c r="C91" s="13"/>
      <c r="D91" s="1">
        <f>SUM(OSRRefD22_2x_0)</f>
        <v>1029</v>
      </c>
      <c r="E91" s="1"/>
      <c r="F91" s="5">
        <f t="shared" ref="F91:F99" si="35">IF(D$12=0,0,D91/D$12)</f>
        <v>5.7333647730479021E-3</v>
      </c>
      <c r="G91" s="1"/>
      <c r="H91" s="1">
        <f>SUM(OSRRefH22_2x_0)</f>
        <v>3193.3</v>
      </c>
      <c r="I91" s="1"/>
      <c r="J91" s="5">
        <f t="shared" ref="J91:J99" si="36">IF(H$12=0,0,H91/H$12)</f>
        <v>6.3945934976558094E-3</v>
      </c>
      <c r="K91" s="1"/>
      <c r="L91" s="1">
        <f t="shared" ref="L91:L99" si="37">+D91-H91</f>
        <v>-2164.3000000000002</v>
      </c>
      <c r="M91" s="1"/>
      <c r="N91" s="5">
        <f t="shared" ref="N91:N99" si="38">IF(H91=0,0,L91/H91)</f>
        <v>-0.6777628158957818</v>
      </c>
      <c r="O91" s="13"/>
      <c r="P91" s="1">
        <f>SUM(OSRRefP22_2x_0)</f>
        <v>22853.68</v>
      </c>
      <c r="Q91" s="1"/>
      <c r="R91" s="5">
        <f t="shared" ref="R91:R99" si="39">IF(P$12=0,0,P91/P$12)</f>
        <v>8.2580165111332104E-3</v>
      </c>
      <c r="S91" s="1"/>
      <c r="T91" s="1">
        <f>SUM(OSRRefT22_2x_0)</f>
        <v>13121.97</v>
      </c>
      <c r="U91" s="1"/>
      <c r="V91" s="5">
        <f t="shared" ref="V91:V99" si="40">IF(T$12=0,0,T91/T$12)</f>
        <v>3.7746735218522902E-3</v>
      </c>
      <c r="W91" s="1"/>
      <c r="X91" s="1">
        <f t="shared" ref="X91:X99" si="41">+P91-T91</f>
        <v>9731.7100000000009</v>
      </c>
      <c r="Y91" s="1"/>
      <c r="Z91" s="5">
        <f t="shared" ref="Z91:Z99" si="42">IF(T91=0,0,X91/T91)</f>
        <v>0.74163483074568848</v>
      </c>
    </row>
    <row r="92" spans="1:26" s="24" customFormat="1" hidden="1" outlineLevel="2" x14ac:dyDescent="0.25">
      <c r="A92" s="26"/>
      <c r="B92" s="11" t="str">
        <f>CONCATENATE("          ", "6362", " - ", "ADVERTISING EXPENSE")</f>
        <v xml:space="preserve">          6362 - ADVERTISING EXPENSE</v>
      </c>
      <c r="C92" s="11"/>
      <c r="D92" s="6">
        <v>1029</v>
      </c>
      <c r="E92" s="2"/>
      <c r="F92" s="7">
        <f t="shared" si="35"/>
        <v>5.7333647730479021E-3</v>
      </c>
      <c r="G92" s="2"/>
      <c r="H92" s="6">
        <v>3193.3</v>
      </c>
      <c r="I92" s="2"/>
      <c r="J92" s="7">
        <f t="shared" si="36"/>
        <v>6.3945934976558094E-3</v>
      </c>
      <c r="K92" s="2"/>
      <c r="L92" s="6">
        <f t="shared" si="37"/>
        <v>-2164.3000000000002</v>
      </c>
      <c r="M92" s="2"/>
      <c r="N92" s="7">
        <f t="shared" si="38"/>
        <v>-0.6777628158957818</v>
      </c>
      <c r="O92" s="11"/>
      <c r="P92" s="6">
        <v>22853.68</v>
      </c>
      <c r="Q92" s="2"/>
      <c r="R92" s="7">
        <f t="shared" si="39"/>
        <v>8.2580165111332104E-3</v>
      </c>
      <c r="S92" s="2"/>
      <c r="T92" s="6">
        <v>13121.97</v>
      </c>
      <c r="U92" s="2"/>
      <c r="V92" s="7">
        <f t="shared" si="40"/>
        <v>3.7746735218522902E-3</v>
      </c>
      <c r="W92" s="2"/>
      <c r="X92" s="6">
        <f t="shared" si="41"/>
        <v>9731.7100000000009</v>
      </c>
      <c r="Y92" s="2"/>
      <c r="Z92" s="7">
        <f t="shared" si="42"/>
        <v>0.74163483074568848</v>
      </c>
    </row>
    <row r="93" spans="1:26" s="27" customFormat="1" outlineLevel="1" collapsed="1" x14ac:dyDescent="0.25">
      <c r="A93" s="25"/>
      <c r="B93" s="13" t="str">
        <f>CONCATENATE("     ","Bad Debts/Over/Short                              ")</f>
        <v xml:space="preserve">     Bad Debts/Over/Short                              </v>
      </c>
      <c r="C93" s="13"/>
      <c r="D93" s="1">
        <f>SUM(OSRRefD22_3x_0)</f>
        <v>0</v>
      </c>
      <c r="E93" s="1"/>
      <c r="F93" s="5">
        <f t="shared" si="35"/>
        <v>0</v>
      </c>
      <c r="G93" s="1"/>
      <c r="H93" s="1">
        <f>SUM(OSRRefH22_3x_0)</f>
        <v>28.12</v>
      </c>
      <c r="I93" s="1"/>
      <c r="J93" s="5">
        <f t="shared" si="36"/>
        <v>5.6310390240215875E-5</v>
      </c>
      <c r="K93" s="1"/>
      <c r="L93" s="1">
        <f t="shared" si="37"/>
        <v>-28.12</v>
      </c>
      <c r="M93" s="1"/>
      <c r="N93" s="5">
        <f t="shared" si="38"/>
        <v>-1</v>
      </c>
      <c r="O93" s="13"/>
      <c r="P93" s="1">
        <f>SUM(OSRRefP22_3x_0)</f>
        <v>44.45</v>
      </c>
      <c r="Q93" s="1"/>
      <c r="R93" s="5">
        <f t="shared" si="39"/>
        <v>1.6061694830761227E-5</v>
      </c>
      <c r="S93" s="1"/>
      <c r="T93" s="1">
        <f>SUM(OSRRefT22_3x_0)</f>
        <v>165.44</v>
      </c>
      <c r="U93" s="1"/>
      <c r="V93" s="5">
        <f t="shared" si="40"/>
        <v>4.7590566618826515E-5</v>
      </c>
      <c r="W93" s="1"/>
      <c r="X93" s="1">
        <f t="shared" si="41"/>
        <v>-120.99</v>
      </c>
      <c r="Y93" s="1"/>
      <c r="Z93" s="5">
        <f t="shared" si="42"/>
        <v>-0.7313225338491296</v>
      </c>
    </row>
    <row r="94" spans="1:26" s="24" customFormat="1" hidden="1" outlineLevel="2" x14ac:dyDescent="0.25">
      <c r="A94" s="26"/>
      <c r="B94" s="11" t="str">
        <f>CONCATENATE("          ", "6272", " - ", "CASH (OVER/SHORT)")</f>
        <v xml:space="preserve">          6272 - CASH (OVER/SHORT)</v>
      </c>
      <c r="C94" s="11"/>
      <c r="D94" s="6"/>
      <c r="E94" s="2"/>
      <c r="F94" s="7">
        <f t="shared" si="35"/>
        <v>0</v>
      </c>
      <c r="G94" s="2"/>
      <c r="H94" s="6">
        <v>28.12</v>
      </c>
      <c r="I94" s="2"/>
      <c r="J94" s="7">
        <f t="shared" si="36"/>
        <v>5.6310390240215875E-5</v>
      </c>
      <c r="K94" s="2"/>
      <c r="L94" s="6">
        <f t="shared" si="37"/>
        <v>-28.12</v>
      </c>
      <c r="M94" s="2"/>
      <c r="N94" s="7">
        <f t="shared" si="38"/>
        <v>-1</v>
      </c>
      <c r="O94" s="11"/>
      <c r="P94" s="6">
        <v>44.45</v>
      </c>
      <c r="Q94" s="2"/>
      <c r="R94" s="7">
        <f t="shared" si="39"/>
        <v>1.6061694830761227E-5</v>
      </c>
      <c r="S94" s="2"/>
      <c r="T94" s="6">
        <v>165.44</v>
      </c>
      <c r="U94" s="2"/>
      <c r="V94" s="7">
        <f t="shared" si="40"/>
        <v>4.7590566618826515E-5</v>
      </c>
      <c r="W94" s="2"/>
      <c r="X94" s="6">
        <f t="shared" si="41"/>
        <v>-120.99</v>
      </c>
      <c r="Y94" s="2"/>
      <c r="Z94" s="7">
        <f t="shared" si="42"/>
        <v>-0.7313225338491296</v>
      </c>
    </row>
    <row r="95" spans="1:26" s="27" customFormat="1" outlineLevel="1" collapsed="1" x14ac:dyDescent="0.25">
      <c r="A95" s="25"/>
      <c r="B95" s="13" t="str">
        <f>CONCATENATE("     ","Bank/card Fees                                    ")</f>
        <v xml:space="preserve">     Bank/card Fees                                    </v>
      </c>
      <c r="C95" s="13"/>
      <c r="D95" s="1">
        <f>SUM(OSRRefD22_4x_0)</f>
        <v>19</v>
      </c>
      <c r="E95" s="1"/>
      <c r="F95" s="5">
        <f t="shared" si="35"/>
        <v>1.0586387821954338E-4</v>
      </c>
      <c r="G95" s="1"/>
      <c r="H95" s="1">
        <f>SUM(OSRRefH22_4x_0)</f>
        <v>869.75</v>
      </c>
      <c r="I95" s="1"/>
      <c r="J95" s="5">
        <f t="shared" si="36"/>
        <v>1.7416771661247425E-3</v>
      </c>
      <c r="K95" s="1"/>
      <c r="L95" s="1">
        <f t="shared" si="37"/>
        <v>-850.75</v>
      </c>
      <c r="M95" s="1"/>
      <c r="N95" s="5">
        <f t="shared" si="38"/>
        <v>-0.97815464213854553</v>
      </c>
      <c r="O95" s="13"/>
      <c r="P95" s="1">
        <f>SUM(OSRRefP22_4x_0)</f>
        <v>6179.92</v>
      </c>
      <c r="Q95" s="1"/>
      <c r="R95" s="5">
        <f t="shared" si="39"/>
        <v>2.2330706213389857E-3</v>
      </c>
      <c r="S95" s="1"/>
      <c r="T95" s="1">
        <f>SUM(OSRRefT22_4x_0)</f>
        <v>6958.58</v>
      </c>
      <c r="U95" s="1"/>
      <c r="V95" s="5">
        <f t="shared" si="40"/>
        <v>2.0017091698648079E-3</v>
      </c>
      <c r="W95" s="1"/>
      <c r="X95" s="1">
        <f t="shared" si="41"/>
        <v>-778.65999999999985</v>
      </c>
      <c r="Y95" s="1"/>
      <c r="Z95" s="5">
        <f t="shared" si="42"/>
        <v>-0.11189926680443422</v>
      </c>
    </row>
    <row r="96" spans="1:26" s="24" customFormat="1" hidden="1" outlineLevel="2" x14ac:dyDescent="0.25">
      <c r="A96" s="26"/>
      <c r="B96" s="11" t="str">
        <f>CONCATENATE("          ", "6381", " - ", "BANK/CREDIT CARD FEES")</f>
        <v xml:space="preserve">          6381 - BANK/CREDIT CARD FEES</v>
      </c>
      <c r="C96" s="11"/>
      <c r="D96" s="6">
        <v>19</v>
      </c>
      <c r="E96" s="2"/>
      <c r="F96" s="7">
        <f t="shared" si="35"/>
        <v>1.0586387821954338E-4</v>
      </c>
      <c r="G96" s="2"/>
      <c r="H96" s="6">
        <v>869.75</v>
      </c>
      <c r="I96" s="2"/>
      <c r="J96" s="7">
        <f t="shared" si="36"/>
        <v>1.7416771661247425E-3</v>
      </c>
      <c r="K96" s="2"/>
      <c r="L96" s="6">
        <f t="shared" si="37"/>
        <v>-850.75</v>
      </c>
      <c r="M96" s="2"/>
      <c r="N96" s="7">
        <f t="shared" si="38"/>
        <v>-0.97815464213854553</v>
      </c>
      <c r="O96" s="11"/>
      <c r="P96" s="6">
        <v>6179.92</v>
      </c>
      <c r="Q96" s="2"/>
      <c r="R96" s="7">
        <f t="shared" si="39"/>
        <v>2.2330706213389857E-3</v>
      </c>
      <c r="S96" s="2"/>
      <c r="T96" s="6">
        <v>6958.58</v>
      </c>
      <c r="U96" s="2"/>
      <c r="V96" s="7">
        <f t="shared" si="40"/>
        <v>2.0017091698648079E-3</v>
      </c>
      <c r="W96" s="2"/>
      <c r="X96" s="6">
        <f t="shared" si="41"/>
        <v>-778.65999999999985</v>
      </c>
      <c r="Y96" s="2"/>
      <c r="Z96" s="7">
        <f t="shared" si="42"/>
        <v>-0.11189926680443422</v>
      </c>
    </row>
    <row r="97" spans="1:26" s="27" customFormat="1" outlineLevel="1" collapsed="1" x14ac:dyDescent="0.25">
      <c r="A97" s="25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SUM(OSRRefD22_5x_0)</f>
        <v>41510.68</v>
      </c>
      <c r="E97" s="1"/>
      <c r="F97" s="5">
        <f t="shared" si="35"/>
        <v>0.23128850380686503</v>
      </c>
      <c r="G97" s="1"/>
      <c r="H97" s="1">
        <f>SUM(OSRRefH22_5x_0)</f>
        <v>16897.489999999998</v>
      </c>
      <c r="I97" s="1"/>
      <c r="J97" s="5">
        <f t="shared" si="36"/>
        <v>3.3837277950929771E-2</v>
      </c>
      <c r="K97" s="1"/>
      <c r="L97" s="1">
        <f t="shared" si="37"/>
        <v>24613.190000000002</v>
      </c>
      <c r="M97" s="1"/>
      <c r="N97" s="5">
        <f t="shared" si="38"/>
        <v>1.4566181131043727</v>
      </c>
      <c r="O97" s="13"/>
      <c r="P97" s="1">
        <f>SUM(OSRRefP22_5x_0)</f>
        <v>327362.86</v>
      </c>
      <c r="Q97" s="1"/>
      <c r="R97" s="5">
        <f t="shared" si="39"/>
        <v>0.11829026673217571</v>
      </c>
      <c r="S97" s="1"/>
      <c r="T97" s="1">
        <f>SUM(OSRRefT22_5x_0)</f>
        <v>269776.39</v>
      </c>
      <c r="U97" s="1"/>
      <c r="V97" s="5">
        <f t="shared" si="40"/>
        <v>7.7604033247591409E-2</v>
      </c>
      <c r="W97" s="1"/>
      <c r="X97" s="1">
        <f t="shared" si="41"/>
        <v>57586.469999999972</v>
      </c>
      <c r="Y97" s="1"/>
      <c r="Z97" s="5">
        <f t="shared" si="42"/>
        <v>0.21346000663734868</v>
      </c>
    </row>
    <row r="98" spans="1:26" s="24" customFormat="1" hidden="1" outlineLevel="2" x14ac:dyDescent="0.25">
      <c r="A98" s="26"/>
      <c r="B98" s="11" t="str">
        <f>CONCATENATE("          ", "6382", " - ", "DISCOUNTS/MARK DOWNS")</f>
        <v xml:space="preserve">          6382 - DISCOUNTS/MARK DOWNS</v>
      </c>
      <c r="C98" s="11"/>
      <c r="D98" s="6">
        <v>41510.68</v>
      </c>
      <c r="E98" s="2"/>
      <c r="F98" s="7">
        <f t="shared" si="35"/>
        <v>0.23128850380686503</v>
      </c>
      <c r="G98" s="2"/>
      <c r="H98" s="6">
        <v>16897.489999999998</v>
      </c>
      <c r="I98" s="2"/>
      <c r="J98" s="7">
        <f t="shared" si="36"/>
        <v>3.3837277950929771E-2</v>
      </c>
      <c r="K98" s="2"/>
      <c r="L98" s="6">
        <f t="shared" si="37"/>
        <v>24613.190000000002</v>
      </c>
      <c r="M98" s="2"/>
      <c r="N98" s="7">
        <f t="shared" si="38"/>
        <v>1.4566181131043727</v>
      </c>
      <c r="O98" s="11"/>
      <c r="P98" s="6">
        <v>327382.25</v>
      </c>
      <c r="Q98" s="2"/>
      <c r="R98" s="7">
        <f t="shared" si="39"/>
        <v>0.118297273172283</v>
      </c>
      <c r="S98" s="2"/>
      <c r="T98" s="6">
        <v>269782.25</v>
      </c>
      <c r="U98" s="2"/>
      <c r="V98" s="7">
        <f t="shared" si="40"/>
        <v>7.7605718938599549E-2</v>
      </c>
      <c r="W98" s="2"/>
      <c r="X98" s="6">
        <f t="shared" si="41"/>
        <v>57600</v>
      </c>
      <c r="Y98" s="2"/>
      <c r="Z98" s="7">
        <f t="shared" si="42"/>
        <v>0.21350552158268382</v>
      </c>
    </row>
    <row r="99" spans="1:26" s="24" customFormat="1" hidden="1" outlineLevel="2" x14ac:dyDescent="0.25">
      <c r="A99" s="26"/>
      <c r="B99" s="11" t="str">
        <f>CONCATENATE("          ", "9175", " - ", "EARNED DISCOUNTS")</f>
        <v xml:space="preserve">          9175 - EARNED DISCOUNTS</v>
      </c>
      <c r="C99" s="11"/>
      <c r="D99" s="6"/>
      <c r="E99" s="2"/>
      <c r="F99" s="7">
        <f t="shared" si="35"/>
        <v>0</v>
      </c>
      <c r="G99" s="2"/>
      <c r="H99" s="6"/>
      <c r="I99" s="2"/>
      <c r="J99" s="7">
        <f t="shared" si="36"/>
        <v>0</v>
      </c>
      <c r="K99" s="2"/>
      <c r="L99" s="6">
        <f t="shared" si="37"/>
        <v>0</v>
      </c>
      <c r="M99" s="2"/>
      <c r="N99" s="7">
        <f t="shared" si="38"/>
        <v>0</v>
      </c>
      <c r="O99" s="11"/>
      <c r="P99" s="6">
        <v>-19.39</v>
      </c>
      <c r="Q99" s="2"/>
      <c r="R99" s="7">
        <f t="shared" si="39"/>
        <v>-7.0064401072769445E-6</v>
      </c>
      <c r="S99" s="2"/>
      <c r="T99" s="6">
        <v>-5.86</v>
      </c>
      <c r="U99" s="2"/>
      <c r="V99" s="7">
        <f t="shared" si="40"/>
        <v>-1.6856910081378347E-6</v>
      </c>
      <c r="W99" s="2"/>
      <c r="X99" s="6">
        <f t="shared" si="41"/>
        <v>-13.530000000000001</v>
      </c>
      <c r="Y99" s="2"/>
      <c r="Z99" s="7">
        <f t="shared" si="42"/>
        <v>2.308873720136519</v>
      </c>
    </row>
    <row r="100" spans="1:26" s="27" customFormat="1" outlineLevel="1" collapsed="1" x14ac:dyDescent="0.25">
      <c r="A100" s="25"/>
      <c r="B100" s="13" t="str">
        <f>CONCATENATE("     ","Donations                                         ")</f>
        <v xml:space="preserve">     Donations                                         </v>
      </c>
      <c r="C100" s="13"/>
      <c r="D100" s="1">
        <f>SUM(OSRRefD22_6x_0)</f>
        <v>0</v>
      </c>
      <c r="E100" s="1"/>
      <c r="F100" s="5">
        <f t="shared" ref="F100:F106" si="43">IF(D$12=0,0,D100/D$12)</f>
        <v>0</v>
      </c>
      <c r="G100" s="1"/>
      <c r="H100" s="1">
        <f>SUM(OSRRefH22_6x_0)</f>
        <v>0</v>
      </c>
      <c r="I100" s="1"/>
      <c r="J100" s="5">
        <f t="shared" ref="J100:J106" si="44">IF(H$12=0,0,H100/H$12)</f>
        <v>0</v>
      </c>
      <c r="K100" s="1"/>
      <c r="L100" s="1">
        <f t="shared" ref="L100:L106" si="45">+D100-H100</f>
        <v>0</v>
      </c>
      <c r="M100" s="1"/>
      <c r="N100" s="5">
        <f t="shared" ref="N100:N106" si="46">IF(H100=0,0,L100/H100)</f>
        <v>0</v>
      </c>
      <c r="O100" s="13"/>
      <c r="P100" s="1">
        <f>SUM(OSRRefP22_6x_0)</f>
        <v>0</v>
      </c>
      <c r="Q100" s="1"/>
      <c r="R100" s="5">
        <f t="shared" ref="R100:R106" si="47">IF(P$12=0,0,P100/P$12)</f>
        <v>0</v>
      </c>
      <c r="S100" s="1"/>
      <c r="T100" s="1">
        <f>SUM(OSRRefT22_6x_0)</f>
        <v>141.53</v>
      </c>
      <c r="U100" s="1"/>
      <c r="V100" s="5">
        <f t="shared" ref="V100:V106" si="48">IF(T$12=0,0,T100/T$12)</f>
        <v>4.0712602112926235E-5</v>
      </c>
      <c r="W100" s="1"/>
      <c r="X100" s="1">
        <f t="shared" ref="X100:X106" si="49">+P100-T100</f>
        <v>-141.53</v>
      </c>
      <c r="Y100" s="1"/>
      <c r="Z100" s="5">
        <f t="shared" ref="Z100:Z106" si="50">IF(T100=0,0,X100/T100)</f>
        <v>-1</v>
      </c>
    </row>
    <row r="101" spans="1:26" s="24" customFormat="1" hidden="1" outlineLevel="2" x14ac:dyDescent="0.25">
      <c r="A101" s="26"/>
      <c r="B101" s="11" t="str">
        <f>CONCATENATE("          ", "6399", " - ", "DONATION-ON CAMPUS")</f>
        <v xml:space="preserve">          6399 - DONATION-ON CAMPUS</v>
      </c>
      <c r="C101" s="11"/>
      <c r="D101" s="6"/>
      <c r="E101" s="2"/>
      <c r="F101" s="7">
        <f t="shared" si="43"/>
        <v>0</v>
      </c>
      <c r="G101" s="2"/>
      <c r="H101" s="6"/>
      <c r="I101" s="2"/>
      <c r="J101" s="7">
        <f t="shared" si="44"/>
        <v>0</v>
      </c>
      <c r="K101" s="2"/>
      <c r="L101" s="6">
        <f t="shared" si="45"/>
        <v>0</v>
      </c>
      <c r="M101" s="2"/>
      <c r="N101" s="7">
        <f t="shared" si="46"/>
        <v>0</v>
      </c>
      <c r="O101" s="11"/>
      <c r="P101" s="6"/>
      <c r="Q101" s="2"/>
      <c r="R101" s="7">
        <f t="shared" si="47"/>
        <v>0</v>
      </c>
      <c r="S101" s="2"/>
      <c r="T101" s="6">
        <v>141.53</v>
      </c>
      <c r="U101" s="2"/>
      <c r="V101" s="7">
        <f t="shared" si="48"/>
        <v>4.0712602112926235E-5</v>
      </c>
      <c r="W101" s="2"/>
      <c r="X101" s="6">
        <f t="shared" si="49"/>
        <v>-141.53</v>
      </c>
      <c r="Y101" s="2"/>
      <c r="Z101" s="7">
        <f t="shared" si="50"/>
        <v>-1</v>
      </c>
    </row>
    <row r="102" spans="1:26" s="27" customFormat="1" outlineLevel="1" collapsed="1" x14ac:dyDescent="0.25">
      <c r="A102" s="25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SUM(OSRRefD22_7x_0)</f>
        <v>0</v>
      </c>
      <c r="E102" s="1"/>
      <c r="F102" s="5">
        <f t="shared" si="43"/>
        <v>0</v>
      </c>
      <c r="G102" s="1"/>
      <c r="H102" s="1">
        <f>SUM(OSRRefH22_7x_0)</f>
        <v>136.44</v>
      </c>
      <c r="I102" s="1"/>
      <c r="J102" s="5">
        <f t="shared" si="44"/>
        <v>2.7322153785117547E-4</v>
      </c>
      <c r="K102" s="1"/>
      <c r="L102" s="1">
        <f t="shared" si="45"/>
        <v>-136.44</v>
      </c>
      <c r="M102" s="1"/>
      <c r="N102" s="5">
        <f t="shared" si="46"/>
        <v>-1</v>
      </c>
      <c r="O102" s="13"/>
      <c r="P102" s="1">
        <f>SUM(OSRRefP22_7x_0)</f>
        <v>376.37</v>
      </c>
      <c r="Q102" s="1"/>
      <c r="R102" s="5">
        <f t="shared" si="47"/>
        <v>1.3599865204620029E-4</v>
      </c>
      <c r="S102" s="1"/>
      <c r="T102" s="1">
        <f>SUM(OSRRefT22_7x_0)</f>
        <v>756.33</v>
      </c>
      <c r="U102" s="1"/>
      <c r="V102" s="5">
        <f t="shared" si="48"/>
        <v>2.1756632767660214E-4</v>
      </c>
      <c r="W102" s="1"/>
      <c r="X102" s="1">
        <f t="shared" si="49"/>
        <v>-379.96000000000004</v>
      </c>
      <c r="Y102" s="1"/>
      <c r="Z102" s="5">
        <f t="shared" si="50"/>
        <v>-0.50237330265889235</v>
      </c>
    </row>
    <row r="103" spans="1:26" s="24" customFormat="1" hidden="1" outlineLevel="2" x14ac:dyDescent="0.25">
      <c r="A103" s="26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43"/>
        <v>0</v>
      </c>
      <c r="G103" s="2"/>
      <c r="H103" s="6">
        <v>136.44</v>
      </c>
      <c r="I103" s="2"/>
      <c r="J103" s="7">
        <f t="shared" si="44"/>
        <v>2.7322153785117547E-4</v>
      </c>
      <c r="K103" s="2"/>
      <c r="L103" s="6">
        <f t="shared" si="45"/>
        <v>-136.44</v>
      </c>
      <c r="M103" s="2"/>
      <c r="N103" s="7">
        <f t="shared" si="46"/>
        <v>-1</v>
      </c>
      <c r="O103" s="11"/>
      <c r="P103" s="6">
        <v>376.37</v>
      </c>
      <c r="Q103" s="2"/>
      <c r="R103" s="7">
        <f t="shared" si="47"/>
        <v>1.3599865204620029E-4</v>
      </c>
      <c r="S103" s="2"/>
      <c r="T103" s="6">
        <v>756.33</v>
      </c>
      <c r="U103" s="2"/>
      <c r="V103" s="7">
        <f t="shared" si="48"/>
        <v>2.1756632767660214E-4</v>
      </c>
      <c r="W103" s="2"/>
      <c r="X103" s="6">
        <f t="shared" si="49"/>
        <v>-379.96000000000004</v>
      </c>
      <c r="Y103" s="2"/>
      <c r="Z103" s="7">
        <f t="shared" si="50"/>
        <v>-0.50237330265889235</v>
      </c>
    </row>
    <row r="104" spans="1:26" s="27" customFormat="1" outlineLevel="1" collapsed="1" x14ac:dyDescent="0.25">
      <c r="A104" s="25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SUM(OSRRefD22_8x_0)</f>
        <v>10.73</v>
      </c>
      <c r="E104" s="1"/>
      <c r="F104" s="5">
        <f t="shared" si="43"/>
        <v>5.9785232278721083E-5</v>
      </c>
      <c r="G104" s="1"/>
      <c r="H104" s="1">
        <f>SUM(OSRRefH22_8x_0)</f>
        <v>0</v>
      </c>
      <c r="I104" s="1"/>
      <c r="J104" s="5">
        <f t="shared" si="44"/>
        <v>0</v>
      </c>
      <c r="K104" s="1"/>
      <c r="L104" s="1">
        <f t="shared" si="45"/>
        <v>10.73</v>
      </c>
      <c r="M104" s="1"/>
      <c r="N104" s="5">
        <f t="shared" si="46"/>
        <v>0</v>
      </c>
      <c r="O104" s="13"/>
      <c r="P104" s="1">
        <f>SUM(OSRRefP22_8x_0)</f>
        <v>129.6</v>
      </c>
      <c r="Q104" s="1"/>
      <c r="R104" s="5">
        <f t="shared" si="47"/>
        <v>4.6830048370453426E-5</v>
      </c>
      <c r="S104" s="1"/>
      <c r="T104" s="1">
        <f>SUM(OSRRefT22_8x_0)</f>
        <v>32.6</v>
      </c>
      <c r="U104" s="1"/>
      <c r="V104" s="5">
        <f t="shared" si="48"/>
        <v>9.3777349599476819E-6</v>
      </c>
      <c r="W104" s="1"/>
      <c r="X104" s="1">
        <f t="shared" si="49"/>
        <v>97</v>
      </c>
      <c r="Y104" s="1"/>
      <c r="Z104" s="5">
        <f t="shared" si="50"/>
        <v>2.9754601226993862</v>
      </c>
    </row>
    <row r="105" spans="1:26" s="24" customFormat="1" hidden="1" outlineLevel="2" x14ac:dyDescent="0.25">
      <c r="A105" s="26"/>
      <c r="B105" s="11" t="str">
        <f>CONCATENATE("          ", "6305", " - ", "FREIGHT OUT")</f>
        <v xml:space="preserve">          6305 - FREIGHT OUT</v>
      </c>
      <c r="C105" s="11"/>
      <c r="D105" s="6">
        <v>10.73</v>
      </c>
      <c r="E105" s="2"/>
      <c r="F105" s="7">
        <f t="shared" si="43"/>
        <v>5.9785232278721083E-5</v>
      </c>
      <c r="G105" s="2"/>
      <c r="H105" s="6"/>
      <c r="I105" s="2"/>
      <c r="J105" s="7">
        <f t="shared" si="44"/>
        <v>0</v>
      </c>
      <c r="K105" s="2"/>
      <c r="L105" s="6">
        <f t="shared" si="45"/>
        <v>10.73</v>
      </c>
      <c r="M105" s="2"/>
      <c r="N105" s="7">
        <f t="shared" si="46"/>
        <v>0</v>
      </c>
      <c r="O105" s="11"/>
      <c r="P105" s="6">
        <v>129.1</v>
      </c>
      <c r="Q105" s="2"/>
      <c r="R105" s="7">
        <f t="shared" si="47"/>
        <v>4.6649376887542727E-5</v>
      </c>
      <c r="S105" s="2"/>
      <c r="T105" s="6">
        <v>32.6</v>
      </c>
      <c r="U105" s="2"/>
      <c r="V105" s="7">
        <f t="shared" si="48"/>
        <v>9.3777349599476819E-6</v>
      </c>
      <c r="W105" s="2"/>
      <c r="X105" s="6">
        <f t="shared" si="49"/>
        <v>96.5</v>
      </c>
      <c r="Y105" s="2"/>
      <c r="Z105" s="7">
        <f t="shared" si="50"/>
        <v>2.9601226993865031</v>
      </c>
    </row>
    <row r="106" spans="1:26" s="24" customFormat="1" hidden="1" outlineLevel="2" x14ac:dyDescent="0.25">
      <c r="A106" s="26"/>
      <c r="B106" s="11" t="str">
        <f>CONCATENATE("          ", "6307", " - ", "POSTAGE")</f>
        <v xml:space="preserve">          6307 - POSTAGE</v>
      </c>
      <c r="C106" s="11"/>
      <c r="D106" s="6"/>
      <c r="E106" s="2"/>
      <c r="F106" s="7">
        <f t="shared" si="43"/>
        <v>0</v>
      </c>
      <c r="G106" s="2"/>
      <c r="H106" s="6"/>
      <c r="I106" s="2"/>
      <c r="J106" s="7">
        <f t="shared" si="44"/>
        <v>0</v>
      </c>
      <c r="K106" s="2"/>
      <c r="L106" s="6">
        <f t="shared" si="45"/>
        <v>0</v>
      </c>
      <c r="M106" s="2"/>
      <c r="N106" s="7">
        <f t="shared" si="46"/>
        <v>0</v>
      </c>
      <c r="O106" s="11"/>
      <c r="P106" s="6">
        <v>0.5</v>
      </c>
      <c r="Q106" s="2"/>
      <c r="R106" s="7">
        <f t="shared" si="47"/>
        <v>1.8067148291069996E-7</v>
      </c>
      <c r="S106" s="2"/>
      <c r="T106" s="6"/>
      <c r="U106" s="2"/>
      <c r="V106" s="7">
        <f t="shared" si="48"/>
        <v>0</v>
      </c>
      <c r="W106" s="2"/>
      <c r="X106" s="6">
        <f t="shared" si="49"/>
        <v>0.5</v>
      </c>
      <c r="Y106" s="2"/>
      <c r="Z106" s="7">
        <f t="shared" si="50"/>
        <v>0</v>
      </c>
    </row>
    <row r="107" spans="1:26" s="27" customFormat="1" outlineLevel="1" collapsed="1" x14ac:dyDescent="0.25">
      <c r="A107" s="25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SUM(OSRRefD22_9x_0)</f>
        <v>120.99</v>
      </c>
      <c r="E107" s="1"/>
      <c r="F107" s="5">
        <f t="shared" ref="F107:F120" si="51">IF(D$12=0,0,D107/D$12)</f>
        <v>6.7413003293592384E-4</v>
      </c>
      <c r="G107" s="1"/>
      <c r="H107" s="1">
        <f>SUM(OSRRefH22_9x_0)</f>
        <v>0</v>
      </c>
      <c r="I107" s="1"/>
      <c r="J107" s="5">
        <f t="shared" ref="J107:J120" si="52">IF(H$12=0,0,H107/H$12)</f>
        <v>0</v>
      </c>
      <c r="K107" s="1"/>
      <c r="L107" s="1">
        <f t="shared" ref="L107:L120" si="53">+D107-H107</f>
        <v>120.99</v>
      </c>
      <c r="M107" s="1"/>
      <c r="N107" s="5">
        <f t="shared" ref="N107:N120" si="54">IF(H107=0,0,L107/H107)</f>
        <v>0</v>
      </c>
      <c r="O107" s="13"/>
      <c r="P107" s="1">
        <f>SUM(OSRRefP22_9x_0)</f>
        <v>1392.43</v>
      </c>
      <c r="Q107" s="1"/>
      <c r="R107" s="5">
        <f t="shared" ref="R107:R120" si="55">IF(P$12=0,0,P107/P$12)</f>
        <v>5.031447858986919E-4</v>
      </c>
      <c r="S107" s="1"/>
      <c r="T107" s="1">
        <f>SUM(OSRRefT22_9x_0)</f>
        <v>1527.44</v>
      </c>
      <c r="U107" s="1"/>
      <c r="V107" s="5">
        <f t="shared" ref="V107:V120" si="56">IF(T$12=0,0,T107/T$12)</f>
        <v>4.3938427874915605E-4</v>
      </c>
      <c r="W107" s="1"/>
      <c r="X107" s="1">
        <f t="shared" ref="X107:X120" si="57">+P107-T107</f>
        <v>-135.01</v>
      </c>
      <c r="Y107" s="1"/>
      <c r="Z107" s="5">
        <f t="shared" ref="Z107:Z120" si="58">IF(T107=0,0,X107/T107)</f>
        <v>-8.8389723982611412E-2</v>
      </c>
    </row>
    <row r="108" spans="1:26" s="24" customFormat="1" hidden="1" outlineLevel="2" x14ac:dyDescent="0.25">
      <c r="A108" s="26"/>
      <c r="B108" s="11" t="str">
        <f>CONCATENATE("          ", "6279", " - ", "GENERAL EXPENSE")</f>
        <v xml:space="preserve">          6279 - GENERAL EXPENSE</v>
      </c>
      <c r="C108" s="11"/>
      <c r="D108" s="6">
        <v>120.99</v>
      </c>
      <c r="E108" s="2"/>
      <c r="F108" s="7">
        <f t="shared" si="51"/>
        <v>6.7413003293592384E-4</v>
      </c>
      <c r="G108" s="2"/>
      <c r="H108" s="6"/>
      <c r="I108" s="2"/>
      <c r="J108" s="7">
        <f t="shared" si="52"/>
        <v>0</v>
      </c>
      <c r="K108" s="2"/>
      <c r="L108" s="6">
        <f t="shared" si="53"/>
        <v>120.99</v>
      </c>
      <c r="M108" s="2"/>
      <c r="N108" s="7">
        <f t="shared" si="54"/>
        <v>0</v>
      </c>
      <c r="O108" s="11"/>
      <c r="P108" s="6">
        <v>1392.43</v>
      </c>
      <c r="Q108" s="2"/>
      <c r="R108" s="7">
        <f t="shared" si="55"/>
        <v>5.031447858986919E-4</v>
      </c>
      <c r="S108" s="2"/>
      <c r="T108" s="6">
        <v>1527.44</v>
      </c>
      <c r="U108" s="2"/>
      <c r="V108" s="7">
        <f t="shared" si="56"/>
        <v>4.3938427874915605E-4</v>
      </c>
      <c r="W108" s="2"/>
      <c r="X108" s="6">
        <f t="shared" si="57"/>
        <v>-135.01</v>
      </c>
      <c r="Y108" s="2"/>
      <c r="Z108" s="7">
        <f t="shared" si="58"/>
        <v>-8.8389723982611412E-2</v>
      </c>
    </row>
    <row r="109" spans="1:26" s="27" customFormat="1" outlineLevel="1" collapsed="1" x14ac:dyDescent="0.25">
      <c r="A109" s="25"/>
      <c r="B109" s="13" t="str">
        <f>CONCATENATE("     ","Insurance                                         ")</f>
        <v xml:space="preserve">     Insurance                                         </v>
      </c>
      <c r="C109" s="13"/>
      <c r="D109" s="1">
        <f>SUM(OSRRefD22_10x_0)</f>
        <v>161.18</v>
      </c>
      <c r="E109" s="1"/>
      <c r="F109" s="5">
        <f t="shared" si="51"/>
        <v>8.980599942855791E-4</v>
      </c>
      <c r="G109" s="1"/>
      <c r="H109" s="1">
        <f>SUM(OSRRefH22_10x_0)</f>
        <v>151.85</v>
      </c>
      <c r="I109" s="1"/>
      <c r="J109" s="5">
        <f t="shared" si="52"/>
        <v>3.0408011230358394E-4</v>
      </c>
      <c r="K109" s="1"/>
      <c r="L109" s="1">
        <f t="shared" si="53"/>
        <v>9.3300000000000125</v>
      </c>
      <c r="M109" s="1"/>
      <c r="N109" s="5">
        <f t="shared" si="54"/>
        <v>6.1442212709911181E-2</v>
      </c>
      <c r="O109" s="13"/>
      <c r="P109" s="1">
        <f>SUM(OSRRefP22_10x_0)</f>
        <v>1772.98</v>
      </c>
      <c r="Q109" s="1"/>
      <c r="R109" s="5">
        <f t="shared" si="55"/>
        <v>6.4065385154202562E-4</v>
      </c>
      <c r="S109" s="1"/>
      <c r="T109" s="1">
        <f>SUM(OSRRefT22_10x_0)</f>
        <v>1399.4</v>
      </c>
      <c r="U109" s="1"/>
      <c r="V109" s="5">
        <f t="shared" si="56"/>
        <v>4.0255221788192597E-4</v>
      </c>
      <c r="W109" s="1"/>
      <c r="X109" s="1">
        <f t="shared" si="57"/>
        <v>373.57999999999993</v>
      </c>
      <c r="Y109" s="1"/>
      <c r="Z109" s="5">
        <f t="shared" si="58"/>
        <v>0.26695726740031434</v>
      </c>
    </row>
    <row r="110" spans="1:26" s="24" customFormat="1" hidden="1" outlineLevel="2" x14ac:dyDescent="0.25">
      <c r="A110" s="26"/>
      <c r="B110" s="11" t="str">
        <f>CONCATENATE("          ", "6314", " - ", "LIABILITY INSURANCE")</f>
        <v xml:space="preserve">          6314 - LIABILITY INSURANCE</v>
      </c>
      <c r="C110" s="11"/>
      <c r="D110" s="6">
        <v>161.18</v>
      </c>
      <c r="E110" s="2"/>
      <c r="F110" s="7">
        <f t="shared" si="51"/>
        <v>8.980599942855791E-4</v>
      </c>
      <c r="G110" s="2"/>
      <c r="H110" s="6">
        <v>151.85</v>
      </c>
      <c r="I110" s="2"/>
      <c r="J110" s="7">
        <f t="shared" si="52"/>
        <v>3.0408011230358394E-4</v>
      </c>
      <c r="K110" s="2"/>
      <c r="L110" s="6">
        <f t="shared" si="53"/>
        <v>9.3300000000000125</v>
      </c>
      <c r="M110" s="2"/>
      <c r="N110" s="7">
        <f t="shared" si="54"/>
        <v>6.1442212709911181E-2</v>
      </c>
      <c r="O110" s="11"/>
      <c r="P110" s="6">
        <v>1772.98</v>
      </c>
      <c r="Q110" s="2"/>
      <c r="R110" s="7">
        <f t="shared" si="55"/>
        <v>6.4065385154202562E-4</v>
      </c>
      <c r="S110" s="2"/>
      <c r="T110" s="6">
        <v>1399.4</v>
      </c>
      <c r="U110" s="2"/>
      <c r="V110" s="7">
        <f t="shared" si="56"/>
        <v>4.0255221788192597E-4</v>
      </c>
      <c r="W110" s="2"/>
      <c r="X110" s="6">
        <f t="shared" si="57"/>
        <v>373.57999999999993</v>
      </c>
      <c r="Y110" s="2"/>
      <c r="Z110" s="7">
        <f t="shared" si="58"/>
        <v>0.26695726740031434</v>
      </c>
    </row>
    <row r="111" spans="1:26" s="27" customFormat="1" outlineLevel="1" collapsed="1" x14ac:dyDescent="0.25">
      <c r="A111" s="25"/>
      <c r="B111" s="13" t="str">
        <f>CONCATENATE("     ","Inventory Adjustment                              ")</f>
        <v xml:space="preserve">     Inventory Adjustment                              </v>
      </c>
      <c r="C111" s="13"/>
      <c r="D111" s="1">
        <f>SUM(OSRRefD22_11x_0)</f>
        <v>3450</v>
      </c>
      <c r="E111" s="1"/>
      <c r="F111" s="5">
        <f t="shared" si="51"/>
        <v>1.9222651571443403E-2</v>
      </c>
      <c r="G111" s="1"/>
      <c r="H111" s="1">
        <f>SUM(OSRRefH22_11x_0)</f>
        <v>1600</v>
      </c>
      <c r="I111" s="1"/>
      <c r="J111" s="5">
        <f t="shared" si="52"/>
        <v>3.204005134578428E-3</v>
      </c>
      <c r="K111" s="1"/>
      <c r="L111" s="1">
        <f t="shared" si="53"/>
        <v>1850</v>
      </c>
      <c r="M111" s="1"/>
      <c r="N111" s="5">
        <f t="shared" si="54"/>
        <v>1.15625</v>
      </c>
      <c r="O111" s="13"/>
      <c r="P111" s="1">
        <f>SUM(OSRRefP22_11x_0)</f>
        <v>35550</v>
      </c>
      <c r="Q111" s="1"/>
      <c r="R111" s="5">
        <f t="shared" si="55"/>
        <v>1.2845742434950767E-2</v>
      </c>
      <c r="S111" s="1"/>
      <c r="T111" s="1">
        <f>SUM(OSRRefT22_11x_0)</f>
        <v>15200</v>
      </c>
      <c r="U111" s="1"/>
      <c r="V111" s="5">
        <f t="shared" si="56"/>
        <v>4.3724408402210048E-3</v>
      </c>
      <c r="W111" s="1"/>
      <c r="X111" s="1">
        <f t="shared" si="57"/>
        <v>20350</v>
      </c>
      <c r="Y111" s="1"/>
      <c r="Z111" s="5">
        <f t="shared" si="58"/>
        <v>1.3388157894736843</v>
      </c>
    </row>
    <row r="112" spans="1:26" s="24" customFormat="1" hidden="1" outlineLevel="2" x14ac:dyDescent="0.25">
      <c r="A112" s="26"/>
      <c r="B112" s="11" t="str">
        <f>CONCATENATE("          ", "6408", " - ", "INVENTORY ADJUSTMENT")</f>
        <v xml:space="preserve">          6408 - INVENTORY ADJUSTMENT</v>
      </c>
      <c r="C112" s="11"/>
      <c r="D112" s="6">
        <v>3450</v>
      </c>
      <c r="E112" s="2"/>
      <c r="F112" s="7">
        <f t="shared" si="51"/>
        <v>1.9222651571443403E-2</v>
      </c>
      <c r="G112" s="2"/>
      <c r="H112" s="6">
        <v>1600</v>
      </c>
      <c r="I112" s="2"/>
      <c r="J112" s="7">
        <f t="shared" si="52"/>
        <v>3.204005134578428E-3</v>
      </c>
      <c r="K112" s="2"/>
      <c r="L112" s="6">
        <f t="shared" si="53"/>
        <v>1850</v>
      </c>
      <c r="M112" s="2"/>
      <c r="N112" s="7">
        <f t="shared" si="54"/>
        <v>1.15625</v>
      </c>
      <c r="O112" s="11"/>
      <c r="P112" s="6">
        <v>35550</v>
      </c>
      <c r="Q112" s="2"/>
      <c r="R112" s="7">
        <f t="shared" si="55"/>
        <v>1.2845742434950767E-2</v>
      </c>
      <c r="S112" s="2"/>
      <c r="T112" s="6">
        <v>15200</v>
      </c>
      <c r="U112" s="2"/>
      <c r="V112" s="7">
        <f t="shared" si="56"/>
        <v>4.3724408402210048E-3</v>
      </c>
      <c r="W112" s="2"/>
      <c r="X112" s="6">
        <f t="shared" si="57"/>
        <v>20350</v>
      </c>
      <c r="Y112" s="2"/>
      <c r="Z112" s="7">
        <f t="shared" si="58"/>
        <v>1.3388157894736843</v>
      </c>
    </row>
    <row r="113" spans="1:26" s="27" customFormat="1" outlineLevel="1" collapsed="1" x14ac:dyDescent="0.25">
      <c r="A113" s="25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SUM(OSRRefD22_12x_0)</f>
        <v>0</v>
      </c>
      <c r="E113" s="1"/>
      <c r="F113" s="5">
        <f t="shared" si="51"/>
        <v>0</v>
      </c>
      <c r="G113" s="1"/>
      <c r="H113" s="1">
        <f>SUM(OSRRefH22_12x_0)</f>
        <v>0</v>
      </c>
      <c r="I113" s="1"/>
      <c r="J113" s="5">
        <f t="shared" si="52"/>
        <v>0</v>
      </c>
      <c r="K113" s="1"/>
      <c r="L113" s="1">
        <f t="shared" si="53"/>
        <v>0</v>
      </c>
      <c r="M113" s="1"/>
      <c r="N113" s="5">
        <f t="shared" si="54"/>
        <v>0</v>
      </c>
      <c r="O113" s="13"/>
      <c r="P113" s="1">
        <f>SUM(OSRRefP22_12x_0)</f>
        <v>3680</v>
      </c>
      <c r="Q113" s="1"/>
      <c r="R113" s="5">
        <f t="shared" si="55"/>
        <v>1.3297421142227516E-3</v>
      </c>
      <c r="S113" s="1"/>
      <c r="T113" s="1">
        <f>SUM(OSRRefT22_12x_0)</f>
        <v>750</v>
      </c>
      <c r="U113" s="1"/>
      <c r="V113" s="5">
        <f t="shared" si="56"/>
        <v>2.1574543619511536E-4</v>
      </c>
      <c r="W113" s="1"/>
      <c r="X113" s="1">
        <f t="shared" si="57"/>
        <v>2930</v>
      </c>
      <c r="Y113" s="1"/>
      <c r="Z113" s="5">
        <f t="shared" si="58"/>
        <v>3.9066666666666667</v>
      </c>
    </row>
    <row r="114" spans="1:26" s="24" customFormat="1" hidden="1" outlineLevel="2" x14ac:dyDescent="0.25">
      <c r="A114" s="26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51"/>
        <v>0</v>
      </c>
      <c r="G114" s="2"/>
      <c r="H114" s="6"/>
      <c r="I114" s="2"/>
      <c r="J114" s="7">
        <f t="shared" si="52"/>
        <v>0</v>
      </c>
      <c r="K114" s="2"/>
      <c r="L114" s="6">
        <f t="shared" si="53"/>
        <v>0</v>
      </c>
      <c r="M114" s="2"/>
      <c r="N114" s="7">
        <f t="shared" si="54"/>
        <v>0</v>
      </c>
      <c r="O114" s="11"/>
      <c r="P114" s="6">
        <v>3680</v>
      </c>
      <c r="Q114" s="2"/>
      <c r="R114" s="7">
        <f t="shared" si="55"/>
        <v>1.3297421142227516E-3</v>
      </c>
      <c r="S114" s="2"/>
      <c r="T114" s="6">
        <v>750</v>
      </c>
      <c r="U114" s="2"/>
      <c r="V114" s="7">
        <f t="shared" si="56"/>
        <v>2.1574543619511536E-4</v>
      </c>
      <c r="W114" s="2"/>
      <c r="X114" s="6">
        <f t="shared" si="57"/>
        <v>2930</v>
      </c>
      <c r="Y114" s="2"/>
      <c r="Z114" s="7">
        <f t="shared" si="58"/>
        <v>3.9066666666666667</v>
      </c>
    </row>
    <row r="115" spans="1:26" s="27" customFormat="1" outlineLevel="1" collapsed="1" x14ac:dyDescent="0.25">
      <c r="A115" s="25"/>
      <c r="B115" s="13" t="str">
        <f>CONCATENATE("     ","Rent                                              ")</f>
        <v xml:space="preserve">     Rent                                              </v>
      </c>
      <c r="C115" s="13"/>
      <c r="D115" s="1">
        <f>SUM(OSRRefD22_13x_0)</f>
        <v>6900</v>
      </c>
      <c r="E115" s="1"/>
      <c r="F115" s="5">
        <f t="shared" si="51"/>
        <v>3.8445303142886807E-2</v>
      </c>
      <c r="G115" s="1"/>
      <c r="H115" s="1">
        <f>SUM(OSRRefH22_13x_0)</f>
        <v>6900</v>
      </c>
      <c r="I115" s="1"/>
      <c r="J115" s="5">
        <f t="shared" si="52"/>
        <v>1.3817272142869472E-2</v>
      </c>
      <c r="K115" s="1"/>
      <c r="L115" s="1">
        <f t="shared" si="53"/>
        <v>0</v>
      </c>
      <c r="M115" s="1"/>
      <c r="N115" s="5">
        <f t="shared" si="54"/>
        <v>0</v>
      </c>
      <c r="O115" s="13"/>
      <c r="P115" s="1">
        <f>SUM(OSRRefP22_13x_0)</f>
        <v>75900</v>
      </c>
      <c r="Q115" s="1"/>
      <c r="R115" s="5">
        <f t="shared" si="55"/>
        <v>2.7425931105844254E-2</v>
      </c>
      <c r="S115" s="1"/>
      <c r="T115" s="1">
        <f>SUM(OSRRefT22_13x_0)</f>
        <v>75900</v>
      </c>
      <c r="U115" s="1"/>
      <c r="V115" s="5">
        <f t="shared" si="56"/>
        <v>2.1833438142945673E-2</v>
      </c>
      <c r="W115" s="1"/>
      <c r="X115" s="1">
        <f t="shared" si="57"/>
        <v>0</v>
      </c>
      <c r="Y115" s="1"/>
      <c r="Z115" s="5">
        <f t="shared" si="58"/>
        <v>0</v>
      </c>
    </row>
    <row r="116" spans="1:26" s="24" customFormat="1" hidden="1" outlineLevel="2" x14ac:dyDescent="0.25">
      <c r="A116" s="26"/>
      <c r="B116" s="11" t="str">
        <f>CONCATENATE("          ", "6273", " - ", "RENT")</f>
        <v xml:space="preserve">          6273 - RENT</v>
      </c>
      <c r="C116" s="11"/>
      <c r="D116" s="6">
        <v>6900</v>
      </c>
      <c r="E116" s="2"/>
      <c r="F116" s="7">
        <f t="shared" si="51"/>
        <v>3.8445303142886807E-2</v>
      </c>
      <c r="G116" s="2"/>
      <c r="H116" s="6">
        <v>6900</v>
      </c>
      <c r="I116" s="2"/>
      <c r="J116" s="7">
        <f t="shared" si="52"/>
        <v>1.3817272142869472E-2</v>
      </c>
      <c r="K116" s="2"/>
      <c r="L116" s="6">
        <f t="shared" si="53"/>
        <v>0</v>
      </c>
      <c r="M116" s="2"/>
      <c r="N116" s="7">
        <f t="shared" si="54"/>
        <v>0</v>
      </c>
      <c r="O116" s="11"/>
      <c r="P116" s="6">
        <v>75900</v>
      </c>
      <c r="Q116" s="2"/>
      <c r="R116" s="7">
        <f t="shared" si="55"/>
        <v>2.7425931105844254E-2</v>
      </c>
      <c r="S116" s="2"/>
      <c r="T116" s="6">
        <v>75900</v>
      </c>
      <c r="U116" s="2"/>
      <c r="V116" s="7">
        <f t="shared" si="56"/>
        <v>2.1833438142945673E-2</v>
      </c>
      <c r="W116" s="2"/>
      <c r="X116" s="6">
        <f t="shared" si="57"/>
        <v>0</v>
      </c>
      <c r="Y116" s="2"/>
      <c r="Z116" s="7">
        <f t="shared" si="58"/>
        <v>0</v>
      </c>
    </row>
    <row r="117" spans="1:26" s="27" customFormat="1" outlineLevel="1" collapsed="1" x14ac:dyDescent="0.25">
      <c r="A117" s="25"/>
      <c r="B117" s="13" t="str">
        <f>CONCATENATE("     ","Repair and Maintenance                            ")</f>
        <v xml:space="preserve">     Repair and Maintenance                            </v>
      </c>
      <c r="C117" s="13"/>
      <c r="D117" s="1">
        <f>SUM(OSRRefD22_14x_0)</f>
        <v>0</v>
      </c>
      <c r="E117" s="1"/>
      <c r="F117" s="5">
        <f t="shared" si="51"/>
        <v>0</v>
      </c>
      <c r="G117" s="1"/>
      <c r="H117" s="1">
        <f>SUM(OSRRefH22_14x_0)</f>
        <v>0</v>
      </c>
      <c r="I117" s="1"/>
      <c r="J117" s="5">
        <f t="shared" si="52"/>
        <v>0</v>
      </c>
      <c r="K117" s="1"/>
      <c r="L117" s="1">
        <f t="shared" si="53"/>
        <v>0</v>
      </c>
      <c r="M117" s="1"/>
      <c r="N117" s="5">
        <f t="shared" si="54"/>
        <v>0</v>
      </c>
      <c r="O117" s="13"/>
      <c r="P117" s="1">
        <f>SUM(OSRRefP22_14x_0)</f>
        <v>633.76</v>
      </c>
      <c r="Q117" s="1"/>
      <c r="R117" s="5">
        <f t="shared" si="55"/>
        <v>2.2900471801897039E-4</v>
      </c>
      <c r="S117" s="1"/>
      <c r="T117" s="1">
        <f>SUM(OSRRefT22_14x_0)</f>
        <v>863.25</v>
      </c>
      <c r="U117" s="1"/>
      <c r="V117" s="5">
        <f t="shared" si="56"/>
        <v>2.483229970605778E-4</v>
      </c>
      <c r="W117" s="1"/>
      <c r="X117" s="1">
        <f t="shared" si="57"/>
        <v>-229.49</v>
      </c>
      <c r="Y117" s="1"/>
      <c r="Z117" s="5">
        <f t="shared" si="58"/>
        <v>-0.26584419345496668</v>
      </c>
    </row>
    <row r="118" spans="1:26" s="24" customFormat="1" hidden="1" outlineLevel="2" x14ac:dyDescent="0.25">
      <c r="A118" s="26"/>
      <c r="B118" s="11" t="str">
        <f>CONCATENATE("          ", "6371", " - ", "COMPUTER SOFTWARE MAINTENANCE")</f>
        <v xml:space="preserve">          6371 - COMPUTER SOFTWARE MAINTENANCE</v>
      </c>
      <c r="C118" s="11"/>
      <c r="D118" s="6"/>
      <c r="E118" s="2"/>
      <c r="F118" s="7">
        <f t="shared" si="51"/>
        <v>0</v>
      </c>
      <c r="G118" s="2"/>
      <c r="H118" s="6"/>
      <c r="I118" s="2"/>
      <c r="J118" s="7">
        <f t="shared" si="52"/>
        <v>0</v>
      </c>
      <c r="K118" s="2"/>
      <c r="L118" s="6">
        <f t="shared" si="53"/>
        <v>0</v>
      </c>
      <c r="M118" s="2"/>
      <c r="N118" s="7">
        <f t="shared" si="54"/>
        <v>0</v>
      </c>
      <c r="O118" s="11"/>
      <c r="P118" s="6"/>
      <c r="Q118" s="2"/>
      <c r="R118" s="7">
        <f t="shared" si="55"/>
        <v>0</v>
      </c>
      <c r="S118" s="2"/>
      <c r="T118" s="6">
        <v>186.58</v>
      </c>
      <c r="U118" s="2"/>
      <c r="V118" s="7">
        <f t="shared" si="56"/>
        <v>5.3671711313712835E-5</v>
      </c>
      <c r="W118" s="2"/>
      <c r="X118" s="6">
        <f t="shared" si="57"/>
        <v>-186.58</v>
      </c>
      <c r="Y118" s="2"/>
      <c r="Z118" s="7">
        <f t="shared" si="58"/>
        <v>-1</v>
      </c>
    </row>
    <row r="119" spans="1:26" s="24" customFormat="1" hidden="1" outlineLevel="2" x14ac:dyDescent="0.25">
      <c r="A119" s="26"/>
      <c r="B119" s="11" t="str">
        <f>CONCATENATE("          ", "6373", " - ", "MAINTENANCE CONTRACTS")</f>
        <v xml:space="preserve">          6373 - MAINTENANCE CONTRACTS</v>
      </c>
      <c r="C119" s="11"/>
      <c r="D119" s="6"/>
      <c r="E119" s="2"/>
      <c r="F119" s="7">
        <f t="shared" si="51"/>
        <v>0</v>
      </c>
      <c r="G119" s="2"/>
      <c r="H119" s="6"/>
      <c r="I119" s="2"/>
      <c r="J119" s="7">
        <f t="shared" si="52"/>
        <v>0</v>
      </c>
      <c r="K119" s="2"/>
      <c r="L119" s="6">
        <f t="shared" si="53"/>
        <v>0</v>
      </c>
      <c r="M119" s="2"/>
      <c r="N119" s="7">
        <f t="shared" si="54"/>
        <v>0</v>
      </c>
      <c r="O119" s="11"/>
      <c r="P119" s="6">
        <v>451.23</v>
      </c>
      <c r="Q119" s="2"/>
      <c r="R119" s="7">
        <f t="shared" si="55"/>
        <v>1.6304878646759027E-4</v>
      </c>
      <c r="S119" s="2"/>
      <c r="T119" s="6">
        <v>134.94</v>
      </c>
      <c r="U119" s="2"/>
      <c r="V119" s="7">
        <f t="shared" si="56"/>
        <v>3.8816918880225153E-5</v>
      </c>
      <c r="W119" s="2"/>
      <c r="X119" s="6">
        <f t="shared" si="57"/>
        <v>316.29000000000002</v>
      </c>
      <c r="Y119" s="2"/>
      <c r="Z119" s="7">
        <f t="shared" si="58"/>
        <v>2.3439306358381504</v>
      </c>
    </row>
    <row r="120" spans="1:26" s="24" customFormat="1" hidden="1" outlineLevel="2" x14ac:dyDescent="0.25">
      <c r="A120" s="26"/>
      <c r="B120" s="11" t="str">
        <f>CONCATENATE("          ", "6375", " - ", "OUTSIDE REPAIRS &amp; MAINTENANCE")</f>
        <v xml:space="preserve">          6375 - OUTSIDE REPAIRS &amp; MAINTENANCE</v>
      </c>
      <c r="C120" s="11"/>
      <c r="D120" s="6"/>
      <c r="E120" s="2"/>
      <c r="F120" s="7">
        <f t="shared" si="51"/>
        <v>0</v>
      </c>
      <c r="G120" s="2"/>
      <c r="H120" s="6"/>
      <c r="I120" s="2"/>
      <c r="J120" s="7">
        <f t="shared" si="52"/>
        <v>0</v>
      </c>
      <c r="K120" s="2"/>
      <c r="L120" s="6">
        <f t="shared" si="53"/>
        <v>0</v>
      </c>
      <c r="M120" s="2"/>
      <c r="N120" s="7">
        <f t="shared" si="54"/>
        <v>0</v>
      </c>
      <c r="O120" s="11"/>
      <c r="P120" s="6">
        <v>182.53</v>
      </c>
      <c r="Q120" s="2"/>
      <c r="R120" s="7">
        <f t="shared" si="55"/>
        <v>6.595593155138013E-5</v>
      </c>
      <c r="S120" s="2"/>
      <c r="T120" s="6">
        <v>541.73</v>
      </c>
      <c r="U120" s="2"/>
      <c r="V120" s="7">
        <f t="shared" si="56"/>
        <v>1.5583436686663981E-4</v>
      </c>
      <c r="W120" s="2"/>
      <c r="X120" s="6">
        <f t="shared" si="57"/>
        <v>-359.20000000000005</v>
      </c>
      <c r="Y120" s="2"/>
      <c r="Z120" s="7">
        <f t="shared" si="58"/>
        <v>-0.66306093441382241</v>
      </c>
    </row>
    <row r="121" spans="1:26" s="27" customFormat="1" outlineLevel="1" collapsed="1" x14ac:dyDescent="0.25">
      <c r="A121" s="25"/>
      <c r="B121" s="13" t="str">
        <f>CONCATENATE("     ","Royalty &amp; Commissions                             ")</f>
        <v xml:space="preserve">     Royalty &amp; Commissions                             </v>
      </c>
      <c r="C121" s="13"/>
      <c r="D121" s="1">
        <f>SUM(OSRRefD22_15x_0)</f>
        <v>0</v>
      </c>
      <c r="E121" s="1"/>
      <c r="F121" s="5">
        <f t="shared" ref="F121:F123" si="59">IF(D$12=0,0,D121/D$12)</f>
        <v>0</v>
      </c>
      <c r="G121" s="1"/>
      <c r="H121" s="1">
        <f>SUM(OSRRefH22_15x_0)</f>
        <v>2865.23</v>
      </c>
      <c r="I121" s="1"/>
      <c r="J121" s="5">
        <f t="shared" ref="J121:J123" si="60">IF(H$12=0,0,H121/H$12)</f>
        <v>5.7376322698425939E-3</v>
      </c>
      <c r="K121" s="1"/>
      <c r="L121" s="1">
        <f t="shared" ref="L121:L123" si="61">+D121-H121</f>
        <v>-2865.23</v>
      </c>
      <c r="M121" s="1"/>
      <c r="N121" s="5">
        <f t="shared" ref="N121:N123" si="62">IF(H121=0,0,L121/H121)</f>
        <v>-1</v>
      </c>
      <c r="O121" s="13"/>
      <c r="P121" s="1">
        <f>SUM(OSRRefP22_15x_0)</f>
        <v>40841.660000000003</v>
      </c>
      <c r="Q121" s="1"/>
      <c r="R121" s="5">
        <f t="shared" ref="R121:R123" si="63">IF(P$12=0,0,P121/P$12)</f>
        <v>1.4757846553469237E-2</v>
      </c>
      <c r="S121" s="1"/>
      <c r="T121" s="1">
        <f>SUM(OSRRefT22_15x_0)</f>
        <v>57814.420000000006</v>
      </c>
      <c r="U121" s="1"/>
      <c r="V121" s="5">
        <f t="shared" ref="V121:V123" si="64">IF(T$12=0,0,T121/T$12)</f>
        <v>1.6630929681690138E-2</v>
      </c>
      <c r="W121" s="1"/>
      <c r="X121" s="1">
        <f t="shared" ref="X121:X123" si="65">+P121-T121</f>
        <v>-16972.760000000002</v>
      </c>
      <c r="Y121" s="1"/>
      <c r="Z121" s="5">
        <f t="shared" ref="Z121:Z123" si="66">IF(T121=0,0,X121/T121)</f>
        <v>-0.29357312587413315</v>
      </c>
    </row>
    <row r="122" spans="1:26" s="24" customFormat="1" hidden="1" outlineLevel="2" x14ac:dyDescent="0.25">
      <c r="A122" s="26"/>
      <c r="B122" s="11" t="str">
        <f>CONCATENATE("          ", "6253", " - ", "ROYALTY DUE ATHLETICS-LRG")</f>
        <v xml:space="preserve">          6253 - ROYALTY DUE ATHLETICS-LRG</v>
      </c>
      <c r="C122" s="11"/>
      <c r="D122" s="6"/>
      <c r="E122" s="2"/>
      <c r="F122" s="7">
        <f t="shared" si="59"/>
        <v>0</v>
      </c>
      <c r="G122" s="2"/>
      <c r="H122" s="6"/>
      <c r="I122" s="2"/>
      <c r="J122" s="7">
        <f t="shared" si="60"/>
        <v>0</v>
      </c>
      <c r="K122" s="2"/>
      <c r="L122" s="6">
        <f t="shared" si="61"/>
        <v>0</v>
      </c>
      <c r="M122" s="2"/>
      <c r="N122" s="7">
        <f t="shared" si="62"/>
        <v>0</v>
      </c>
      <c r="O122" s="11"/>
      <c r="P122" s="6">
        <v>32870.44</v>
      </c>
      <c r="Q122" s="2"/>
      <c r="R122" s="7">
        <f t="shared" si="63"/>
        <v>1.1877502277454377E-2</v>
      </c>
      <c r="S122" s="2"/>
      <c r="T122" s="6">
        <v>41365.990000000005</v>
      </c>
      <c r="U122" s="2"/>
      <c r="V122" s="7">
        <f t="shared" si="64"/>
        <v>1.1899364741590375E-2</v>
      </c>
      <c r="W122" s="2"/>
      <c r="X122" s="6">
        <f t="shared" si="65"/>
        <v>-8495.5500000000029</v>
      </c>
      <c r="Y122" s="2"/>
      <c r="Z122" s="7">
        <f t="shared" si="66"/>
        <v>-0.20537523700025073</v>
      </c>
    </row>
    <row r="123" spans="1:26" s="24" customFormat="1" hidden="1" outlineLevel="2" x14ac:dyDescent="0.25">
      <c r="A123" s="26"/>
      <c r="B123" s="11" t="str">
        <f>CONCATENATE("          ", "6254", " - ", "ROYALTY &amp; COMMISSIONS")</f>
        <v xml:space="preserve">          6254 - ROYALTY &amp; COMMISSIONS</v>
      </c>
      <c r="C123" s="11"/>
      <c r="D123" s="6"/>
      <c r="E123" s="2"/>
      <c r="F123" s="7">
        <f t="shared" si="59"/>
        <v>0</v>
      </c>
      <c r="G123" s="2"/>
      <c r="H123" s="6">
        <v>2865.23</v>
      </c>
      <c r="I123" s="2"/>
      <c r="J123" s="7">
        <f t="shared" si="60"/>
        <v>5.7376322698425939E-3</v>
      </c>
      <c r="K123" s="2"/>
      <c r="L123" s="6">
        <f t="shared" si="61"/>
        <v>-2865.23</v>
      </c>
      <c r="M123" s="2"/>
      <c r="N123" s="7">
        <f t="shared" si="62"/>
        <v>-1</v>
      </c>
      <c r="O123" s="11"/>
      <c r="P123" s="6">
        <v>7971.22</v>
      </c>
      <c r="Q123" s="2"/>
      <c r="R123" s="7">
        <f t="shared" si="63"/>
        <v>2.8803442760148594E-3</v>
      </c>
      <c r="S123" s="2"/>
      <c r="T123" s="6">
        <v>16448.43</v>
      </c>
      <c r="U123" s="2"/>
      <c r="V123" s="7">
        <f t="shared" si="64"/>
        <v>4.7315649400997617E-3</v>
      </c>
      <c r="W123" s="2"/>
      <c r="X123" s="6">
        <f t="shared" si="65"/>
        <v>-8477.2099999999991</v>
      </c>
      <c r="Y123" s="2"/>
      <c r="Z123" s="7">
        <f t="shared" si="66"/>
        <v>-0.51538110324207231</v>
      </c>
    </row>
    <row r="124" spans="1:26" s="27" customFormat="1" outlineLevel="1" collapsed="1" x14ac:dyDescent="0.25">
      <c r="A124" s="25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SUM(OSRRefD22_16x_0)</f>
        <v>189.45</v>
      </c>
      <c r="E124" s="1"/>
      <c r="F124" s="5">
        <f t="shared" ref="F124:F127" si="67">IF(D$12=0,0,D124/D$12)</f>
        <v>1.0555743015101312E-3</v>
      </c>
      <c r="G124" s="1"/>
      <c r="H124" s="1">
        <f>SUM(OSRRefH22_16x_0)</f>
        <v>272.19</v>
      </c>
      <c r="I124" s="1"/>
      <c r="J124" s="5">
        <f t="shared" ref="J124:J127" si="68">IF(H$12=0,0,H124/H$12)</f>
        <v>5.4506134848806393E-4</v>
      </c>
      <c r="K124" s="1"/>
      <c r="L124" s="1">
        <f t="shared" ref="L124:L127" si="69">+D124-H124</f>
        <v>-82.740000000000009</v>
      </c>
      <c r="M124" s="1"/>
      <c r="N124" s="5">
        <f t="shared" ref="N124:N127" si="70">IF(H124=0,0,L124/H124)</f>
        <v>-0.30397883831147365</v>
      </c>
      <c r="O124" s="13"/>
      <c r="P124" s="1">
        <f>SUM(OSRRefP22_16x_0)</f>
        <v>2949.5299999999997</v>
      </c>
      <c r="Q124" s="1"/>
      <c r="R124" s="5">
        <f t="shared" ref="R124:R127" si="71">IF(P$12=0,0,P124/P$12)</f>
        <v>1.0657919179791935E-3</v>
      </c>
      <c r="S124" s="1"/>
      <c r="T124" s="1">
        <f>SUM(OSRRefT22_16x_0)</f>
        <v>2375.5099999999998</v>
      </c>
      <c r="U124" s="1"/>
      <c r="V124" s="5">
        <f t="shared" ref="V124:V127" si="72">IF(T$12=0,0,T124/T$12)</f>
        <v>6.8334058818114458E-4</v>
      </c>
      <c r="W124" s="1"/>
      <c r="X124" s="1">
        <f t="shared" ref="X124:X127" si="73">+P124-T124</f>
        <v>574.02</v>
      </c>
      <c r="Y124" s="1"/>
      <c r="Z124" s="5">
        <f t="shared" ref="Z124:Z127" si="74">IF(T124=0,0,X124/T124)</f>
        <v>0.24164074240899849</v>
      </c>
    </row>
    <row r="125" spans="1:26" s="24" customFormat="1" hidden="1" outlineLevel="2" x14ac:dyDescent="0.25">
      <c r="A125" s="26"/>
      <c r="B125" s="11" t="str">
        <f>CONCATENATE("          ", "6283", " - ", "PLANT SERVICE")</f>
        <v xml:space="preserve">          6283 - PLANT SERVICE</v>
      </c>
      <c r="C125" s="11"/>
      <c r="D125" s="6"/>
      <c r="E125" s="2"/>
      <c r="F125" s="7">
        <f t="shared" si="67"/>
        <v>0</v>
      </c>
      <c r="G125" s="2"/>
      <c r="H125" s="6">
        <v>56</v>
      </c>
      <c r="I125" s="2"/>
      <c r="J125" s="7">
        <f t="shared" si="68"/>
        <v>1.1214017971024498E-4</v>
      </c>
      <c r="K125" s="2"/>
      <c r="L125" s="6">
        <f t="shared" si="69"/>
        <v>-56</v>
      </c>
      <c r="M125" s="2"/>
      <c r="N125" s="7">
        <f t="shared" si="70"/>
        <v>-1</v>
      </c>
      <c r="O125" s="11"/>
      <c r="P125" s="6">
        <v>178.65</v>
      </c>
      <c r="Q125" s="2"/>
      <c r="R125" s="7">
        <f t="shared" si="71"/>
        <v>6.4553920843993088E-5</v>
      </c>
      <c r="S125" s="2"/>
      <c r="T125" s="6">
        <v>616</v>
      </c>
      <c r="U125" s="2"/>
      <c r="V125" s="7">
        <f t="shared" si="72"/>
        <v>1.7719891826158807E-4</v>
      </c>
      <c r="W125" s="2"/>
      <c r="X125" s="6">
        <f t="shared" si="73"/>
        <v>-437.35</v>
      </c>
      <c r="Y125" s="2"/>
      <c r="Z125" s="7">
        <f t="shared" si="74"/>
        <v>-0.70998376623376624</v>
      </c>
    </row>
    <row r="126" spans="1:26" s="24" customFormat="1" hidden="1" outlineLevel="2" x14ac:dyDescent="0.25">
      <c r="A126" s="26"/>
      <c r="B126" s="11" t="str">
        <f>CONCATENATE("          ", "6284", " - ", "TRASH REMOVAL EXPENSE")</f>
        <v xml:space="preserve">          6284 - TRASH REMOVAL EXPENSE</v>
      </c>
      <c r="C126" s="11"/>
      <c r="D126" s="6">
        <v>134.82</v>
      </c>
      <c r="E126" s="2"/>
      <c r="F126" s="7">
        <f t="shared" si="67"/>
        <v>7.511877927136231E-4</v>
      </c>
      <c r="G126" s="2"/>
      <c r="H126" s="6">
        <v>121.46</v>
      </c>
      <c r="I126" s="2"/>
      <c r="J126" s="7">
        <f t="shared" si="68"/>
        <v>2.432240397786849E-4</v>
      </c>
      <c r="K126" s="2"/>
      <c r="L126" s="6">
        <f t="shared" si="69"/>
        <v>13.36</v>
      </c>
      <c r="M126" s="2"/>
      <c r="N126" s="7">
        <f t="shared" si="70"/>
        <v>0.10999506010209123</v>
      </c>
      <c r="O126" s="11"/>
      <c r="P126" s="6">
        <v>1483.02</v>
      </c>
      <c r="Q126" s="2"/>
      <c r="R126" s="7">
        <f t="shared" si="71"/>
        <v>5.3587884517245247E-4</v>
      </c>
      <c r="S126" s="2"/>
      <c r="T126" s="6">
        <v>1336.06</v>
      </c>
      <c r="U126" s="2"/>
      <c r="V126" s="7">
        <f t="shared" si="72"/>
        <v>3.8433179664379441E-4</v>
      </c>
      <c r="W126" s="2"/>
      <c r="X126" s="6">
        <f t="shared" si="73"/>
        <v>146.96000000000004</v>
      </c>
      <c r="Y126" s="2"/>
      <c r="Z126" s="7">
        <f t="shared" si="74"/>
        <v>0.10999506010209126</v>
      </c>
    </row>
    <row r="127" spans="1:26" s="24" customFormat="1" hidden="1" outlineLevel="2" x14ac:dyDescent="0.25">
      <c r="A127" s="26"/>
      <c r="B127" s="11" t="str">
        <f>CONCATENATE("          ", "6285", " - ", "JANITORIAL SERVICES")</f>
        <v xml:space="preserve">          6285 - JANITORIAL SERVICES</v>
      </c>
      <c r="C127" s="11"/>
      <c r="D127" s="6">
        <v>54.63</v>
      </c>
      <c r="E127" s="2"/>
      <c r="F127" s="7">
        <f t="shared" si="67"/>
        <v>3.043865087965082E-4</v>
      </c>
      <c r="G127" s="2"/>
      <c r="H127" s="6">
        <v>94.73</v>
      </c>
      <c r="I127" s="2"/>
      <c r="J127" s="7">
        <f t="shared" si="68"/>
        <v>1.8969712899913406E-4</v>
      </c>
      <c r="K127" s="2"/>
      <c r="L127" s="6">
        <f t="shared" si="69"/>
        <v>-40.1</v>
      </c>
      <c r="M127" s="2"/>
      <c r="N127" s="7">
        <f t="shared" si="70"/>
        <v>-0.42330835004750345</v>
      </c>
      <c r="O127" s="11"/>
      <c r="P127" s="6">
        <v>1287.8599999999999</v>
      </c>
      <c r="Q127" s="2"/>
      <c r="R127" s="7">
        <f t="shared" si="71"/>
        <v>4.6535915196274804E-4</v>
      </c>
      <c r="S127" s="2"/>
      <c r="T127" s="6">
        <v>423.45</v>
      </c>
      <c r="U127" s="2"/>
      <c r="V127" s="7">
        <f t="shared" si="72"/>
        <v>1.2180987327576213E-4</v>
      </c>
      <c r="W127" s="2"/>
      <c r="X127" s="6">
        <f t="shared" si="73"/>
        <v>864.40999999999985</v>
      </c>
      <c r="Y127" s="2"/>
      <c r="Z127" s="7">
        <f t="shared" si="74"/>
        <v>2.0413508088322114</v>
      </c>
    </row>
    <row r="128" spans="1:26" s="27" customFormat="1" outlineLevel="1" collapsed="1" x14ac:dyDescent="0.25">
      <c r="A128" s="25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SUM(OSRRefD22_17x_0)</f>
        <v>0</v>
      </c>
      <c r="E128" s="1"/>
      <c r="F128" s="5">
        <f t="shared" ref="F128:F130" si="75">IF(D$12=0,0,D128/D$12)</f>
        <v>0</v>
      </c>
      <c r="G128" s="1"/>
      <c r="H128" s="1">
        <f>SUM(OSRRefH22_17x_0)</f>
        <v>131.97999999999999</v>
      </c>
      <c r="I128" s="1"/>
      <c r="J128" s="5">
        <f t="shared" ref="J128:J130" si="76">IF(H$12=0,0,H128/H$12)</f>
        <v>2.6429037353853808E-4</v>
      </c>
      <c r="K128" s="1"/>
      <c r="L128" s="1">
        <f t="shared" ref="L128:L130" si="77">+D128-H128</f>
        <v>-131.97999999999999</v>
      </c>
      <c r="M128" s="1"/>
      <c r="N128" s="5">
        <f t="shared" ref="N128:N130" si="78">IF(H128=0,0,L128/H128)</f>
        <v>-1</v>
      </c>
      <c r="O128" s="13"/>
      <c r="P128" s="1">
        <f>SUM(OSRRefP22_17x_0)</f>
        <v>647.99</v>
      </c>
      <c r="Q128" s="1"/>
      <c r="R128" s="5">
        <f t="shared" ref="R128:R130" si="79">IF(P$12=0,0,P128/P$12)</f>
        <v>2.3414662842260892E-4</v>
      </c>
      <c r="S128" s="1"/>
      <c r="T128" s="1">
        <f>SUM(OSRRefT22_17x_0)</f>
        <v>2453.1800000000003</v>
      </c>
      <c r="U128" s="1"/>
      <c r="V128" s="5">
        <f t="shared" ref="V128:V130" si="80">IF(T$12=0,0,T128/T$12)</f>
        <v>7.0568318555351084E-4</v>
      </c>
      <c r="W128" s="1"/>
      <c r="X128" s="1">
        <f t="shared" ref="X128:X130" si="81">+P128-T128</f>
        <v>-1805.1900000000003</v>
      </c>
      <c r="Y128" s="1"/>
      <c r="Z128" s="5">
        <f t="shared" ref="Z128:Z130" si="82">IF(T128=0,0,X128/T128)</f>
        <v>-0.73585713237512129</v>
      </c>
    </row>
    <row r="129" spans="1:26" s="24" customFormat="1" hidden="1" outlineLevel="2" x14ac:dyDescent="0.25">
      <c r="A129" s="26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75"/>
        <v>0</v>
      </c>
      <c r="G129" s="2"/>
      <c r="H129" s="6"/>
      <c r="I129" s="2"/>
      <c r="J129" s="7">
        <f t="shared" si="76"/>
        <v>0</v>
      </c>
      <c r="K129" s="2"/>
      <c r="L129" s="6">
        <f t="shared" si="77"/>
        <v>0</v>
      </c>
      <c r="M129" s="2"/>
      <c r="N129" s="7">
        <f t="shared" si="78"/>
        <v>0</v>
      </c>
      <c r="O129" s="11"/>
      <c r="P129" s="6">
        <v>112.93</v>
      </c>
      <c r="Q129" s="2"/>
      <c r="R129" s="7">
        <f t="shared" si="79"/>
        <v>4.0806461130210692E-5</v>
      </c>
      <c r="S129" s="2"/>
      <c r="T129" s="6">
        <v>129.88</v>
      </c>
      <c r="U129" s="2"/>
      <c r="V129" s="7">
        <f t="shared" si="80"/>
        <v>3.7361356337362107E-5</v>
      </c>
      <c r="W129" s="2"/>
      <c r="X129" s="6">
        <f t="shared" si="81"/>
        <v>-16.949999999999989</v>
      </c>
      <c r="Y129" s="2"/>
      <c r="Z129" s="7">
        <f t="shared" si="82"/>
        <v>-0.13050508161379726</v>
      </c>
    </row>
    <row r="130" spans="1:26" s="24" customFormat="1" hidden="1" outlineLevel="2" x14ac:dyDescent="0.25">
      <c r="A130" s="26"/>
      <c r="B130" s="11" t="str">
        <f>CONCATENATE("          ", "6275", " - ", "SUBSCRIPTIONS")</f>
        <v xml:space="preserve">          6275 - SUBSCRIPTIONS</v>
      </c>
      <c r="C130" s="11"/>
      <c r="D130" s="6"/>
      <c r="E130" s="2"/>
      <c r="F130" s="7">
        <f t="shared" si="75"/>
        <v>0</v>
      </c>
      <c r="G130" s="2"/>
      <c r="H130" s="6">
        <v>131.97999999999999</v>
      </c>
      <c r="I130" s="2"/>
      <c r="J130" s="7">
        <f t="shared" si="76"/>
        <v>2.6429037353853808E-4</v>
      </c>
      <c r="K130" s="2"/>
      <c r="L130" s="6">
        <f t="shared" si="77"/>
        <v>-131.97999999999999</v>
      </c>
      <c r="M130" s="2"/>
      <c r="N130" s="7">
        <f t="shared" si="78"/>
        <v>-1</v>
      </c>
      <c r="O130" s="11"/>
      <c r="P130" s="6">
        <v>535.05999999999995</v>
      </c>
      <c r="Q130" s="2"/>
      <c r="R130" s="7">
        <f t="shared" si="79"/>
        <v>1.9334016729239821E-4</v>
      </c>
      <c r="S130" s="2"/>
      <c r="T130" s="6">
        <v>2323.3000000000002</v>
      </c>
      <c r="U130" s="2"/>
      <c r="V130" s="7">
        <f t="shared" si="80"/>
        <v>6.6832182921614869E-4</v>
      </c>
      <c r="W130" s="2"/>
      <c r="X130" s="6">
        <f t="shared" si="81"/>
        <v>-1788.2400000000002</v>
      </c>
      <c r="Y130" s="2"/>
      <c r="Z130" s="7">
        <f t="shared" si="82"/>
        <v>-0.76969827400680069</v>
      </c>
    </row>
    <row r="131" spans="1:26" s="27" customFormat="1" outlineLevel="1" collapsed="1" x14ac:dyDescent="0.25">
      <c r="A131" s="25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SUM(OSRRefD22_18x_0)</f>
        <v>68.91</v>
      </c>
      <c r="E131" s="1"/>
      <c r="F131" s="5">
        <f t="shared" ref="F131:F137" si="83">IF(D$12=0,0,D131/D$12)</f>
        <v>3.8395157095309128E-4</v>
      </c>
      <c r="G131" s="1"/>
      <c r="H131" s="1">
        <f>SUM(OSRRefH22_18x_0)</f>
        <v>116.72</v>
      </c>
      <c r="I131" s="1"/>
      <c r="J131" s="5">
        <f t="shared" ref="J131:J137" si="84">IF(H$12=0,0,H131/H$12)</f>
        <v>2.3373217456749634E-4</v>
      </c>
      <c r="K131" s="1"/>
      <c r="L131" s="1">
        <f t="shared" ref="L131:L137" si="85">+D131-H131</f>
        <v>-47.81</v>
      </c>
      <c r="M131" s="1"/>
      <c r="N131" s="5">
        <f t="shared" ref="N131:N137" si="86">IF(H131=0,0,L131/H131)</f>
        <v>-0.40961274845784784</v>
      </c>
      <c r="O131" s="13"/>
      <c r="P131" s="1">
        <f>SUM(OSRRefP22_18x_0)</f>
        <v>7435.9099999999989</v>
      </c>
      <c r="Q131" s="1"/>
      <c r="R131" s="5">
        <f t="shared" ref="R131:R137" si="87">IF(P$12=0,0,P131/P$12)</f>
        <v>2.6869137729810056E-3</v>
      </c>
      <c r="S131" s="1"/>
      <c r="T131" s="1">
        <f>SUM(OSRRefT22_18x_0)</f>
        <v>7699.75</v>
      </c>
      <c r="U131" s="1"/>
      <c r="V131" s="5">
        <f t="shared" ref="V131:V137" si="88">IF(T$12=0,0,T131/T$12)</f>
        <v>2.2149145631244526E-3</v>
      </c>
      <c r="W131" s="1"/>
      <c r="X131" s="1">
        <f t="shared" ref="X131:X137" si="89">+P131-T131</f>
        <v>-263.84000000000106</v>
      </c>
      <c r="Y131" s="1"/>
      <c r="Z131" s="5">
        <f t="shared" ref="Z131:Z137" si="90">IF(T131=0,0,X131/T131)</f>
        <v>-3.4266047598948156E-2</v>
      </c>
    </row>
    <row r="132" spans="1:26" s="24" customFormat="1" hidden="1" outlineLevel="2" x14ac:dyDescent="0.25">
      <c r="A132" s="26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/>
      <c r="E132" s="2"/>
      <c r="F132" s="7">
        <f t="shared" si="83"/>
        <v>0</v>
      </c>
      <c r="G132" s="2"/>
      <c r="H132" s="6"/>
      <c r="I132" s="2"/>
      <c r="J132" s="7">
        <f t="shared" si="84"/>
        <v>0</v>
      </c>
      <c r="K132" s="2"/>
      <c r="L132" s="6">
        <f t="shared" si="85"/>
        <v>0</v>
      </c>
      <c r="M132" s="2"/>
      <c r="N132" s="7">
        <f t="shared" si="86"/>
        <v>0</v>
      </c>
      <c r="O132" s="11"/>
      <c r="P132" s="6">
        <v>976.24</v>
      </c>
      <c r="Q132" s="2"/>
      <c r="R132" s="7">
        <f t="shared" si="87"/>
        <v>3.5275745695348345E-4</v>
      </c>
      <c r="S132" s="2"/>
      <c r="T132" s="6">
        <v>529.80999999999995</v>
      </c>
      <c r="U132" s="2"/>
      <c r="V132" s="7">
        <f t="shared" si="88"/>
        <v>1.5240545273404542E-4</v>
      </c>
      <c r="W132" s="2"/>
      <c r="X132" s="6">
        <f t="shared" si="89"/>
        <v>446.43000000000006</v>
      </c>
      <c r="Y132" s="2"/>
      <c r="Z132" s="7">
        <f t="shared" si="90"/>
        <v>0.84262282705120728</v>
      </c>
    </row>
    <row r="133" spans="1:26" s="24" customFormat="1" hidden="1" outlineLevel="2" x14ac:dyDescent="0.25">
      <c r="A133" s="26"/>
      <c r="B133" s="11" t="str">
        <f>CONCATENATE("          ", "6237", " - ", "JANITORIAL SUPPLIES")</f>
        <v xml:space="preserve">          6237 - JANITORIAL SUPPLIES</v>
      </c>
      <c r="C133" s="11"/>
      <c r="D133" s="6"/>
      <c r="E133" s="2"/>
      <c r="F133" s="7">
        <f t="shared" si="83"/>
        <v>0</v>
      </c>
      <c r="G133" s="2"/>
      <c r="H133" s="6"/>
      <c r="I133" s="2"/>
      <c r="J133" s="7">
        <f t="shared" si="84"/>
        <v>0</v>
      </c>
      <c r="K133" s="2"/>
      <c r="L133" s="6">
        <f t="shared" si="85"/>
        <v>0</v>
      </c>
      <c r="M133" s="2"/>
      <c r="N133" s="7">
        <f t="shared" si="86"/>
        <v>0</v>
      </c>
      <c r="O133" s="11"/>
      <c r="P133" s="6">
        <v>670.42</v>
      </c>
      <c r="Q133" s="2"/>
      <c r="R133" s="7">
        <f t="shared" si="87"/>
        <v>2.4225155114598291E-4</v>
      </c>
      <c r="S133" s="2"/>
      <c r="T133" s="6">
        <v>641.32000000000005</v>
      </c>
      <c r="U133" s="2"/>
      <c r="V133" s="7">
        <f t="shared" si="88"/>
        <v>1.844824841875352E-4</v>
      </c>
      <c r="W133" s="2"/>
      <c r="X133" s="6">
        <f t="shared" si="89"/>
        <v>29.099999999999909</v>
      </c>
      <c r="Y133" s="2"/>
      <c r="Z133" s="7">
        <f t="shared" si="90"/>
        <v>4.5375163724817417E-2</v>
      </c>
    </row>
    <row r="134" spans="1:26" s="24" customFormat="1" hidden="1" outlineLevel="2" x14ac:dyDescent="0.25">
      <c r="A134" s="26"/>
      <c r="B134" s="11" t="str">
        <f>CONCATENATE("          ", "6241", " - ", "OFFICE EXPENSE")</f>
        <v xml:space="preserve">          6241 - OFFICE EXPENSE</v>
      </c>
      <c r="C134" s="11"/>
      <c r="D134" s="6">
        <v>68.91</v>
      </c>
      <c r="E134" s="2"/>
      <c r="F134" s="7">
        <f t="shared" si="83"/>
        <v>3.8395157095309128E-4</v>
      </c>
      <c r="G134" s="2"/>
      <c r="H134" s="6">
        <v>116.72</v>
      </c>
      <c r="I134" s="2"/>
      <c r="J134" s="7">
        <f t="shared" si="84"/>
        <v>2.3373217456749634E-4</v>
      </c>
      <c r="K134" s="2"/>
      <c r="L134" s="6">
        <f t="shared" si="85"/>
        <v>-47.81</v>
      </c>
      <c r="M134" s="2"/>
      <c r="N134" s="7">
        <f t="shared" si="86"/>
        <v>-0.40961274845784784</v>
      </c>
      <c r="O134" s="11"/>
      <c r="P134" s="6">
        <v>5056.82</v>
      </c>
      <c r="Q134" s="2"/>
      <c r="R134" s="7">
        <f t="shared" si="87"/>
        <v>1.8272463364249712E-3</v>
      </c>
      <c r="S134" s="2"/>
      <c r="T134" s="6">
        <v>3007.55</v>
      </c>
      <c r="U134" s="2"/>
      <c r="V134" s="7">
        <f t="shared" si="88"/>
        <v>8.6515358217149234E-4</v>
      </c>
      <c r="W134" s="2"/>
      <c r="X134" s="6">
        <f t="shared" si="89"/>
        <v>2049.2699999999995</v>
      </c>
      <c r="Y134" s="2"/>
      <c r="Z134" s="7">
        <f t="shared" si="90"/>
        <v>0.68137520573224031</v>
      </c>
    </row>
    <row r="135" spans="1:26" s="24" customFormat="1" hidden="1" outlineLevel="2" x14ac:dyDescent="0.25">
      <c r="A135" s="26"/>
      <c r="B135" s="11" t="str">
        <f>CONCATENATE("          ", "6245", " - ", "PRINTING")</f>
        <v xml:space="preserve">          6245 - PRINTING</v>
      </c>
      <c r="C135" s="11"/>
      <c r="D135" s="6"/>
      <c r="E135" s="2"/>
      <c r="F135" s="7">
        <f t="shared" si="83"/>
        <v>0</v>
      </c>
      <c r="G135" s="2"/>
      <c r="H135" s="6"/>
      <c r="I135" s="2"/>
      <c r="J135" s="7">
        <f t="shared" si="84"/>
        <v>0</v>
      </c>
      <c r="K135" s="2"/>
      <c r="L135" s="6">
        <f t="shared" si="85"/>
        <v>0</v>
      </c>
      <c r="M135" s="2"/>
      <c r="N135" s="7">
        <f t="shared" si="86"/>
        <v>0</v>
      </c>
      <c r="O135" s="11"/>
      <c r="P135" s="6">
        <v>-506.93</v>
      </c>
      <c r="Q135" s="2"/>
      <c r="R135" s="7">
        <f t="shared" si="87"/>
        <v>-1.8317558966384224E-4</v>
      </c>
      <c r="S135" s="2"/>
      <c r="T135" s="6">
        <v>970.75</v>
      </c>
      <c r="U135" s="2"/>
      <c r="V135" s="7">
        <f t="shared" si="88"/>
        <v>2.7924650958187765E-4</v>
      </c>
      <c r="W135" s="2"/>
      <c r="X135" s="6">
        <f t="shared" si="89"/>
        <v>-1477.68</v>
      </c>
      <c r="Y135" s="2"/>
      <c r="Z135" s="7">
        <f t="shared" si="90"/>
        <v>-1.5222044810713367</v>
      </c>
    </row>
    <row r="136" spans="1:26" s="24" customFormat="1" hidden="1" outlineLevel="2" x14ac:dyDescent="0.25">
      <c r="A136" s="26"/>
      <c r="B136" s="11" t="str">
        <f>CONCATENATE("          ", "6247", " - ", "STORE SUPPLIES")</f>
        <v xml:space="preserve">          6247 - STORE SUPPLIES</v>
      </c>
      <c r="C136" s="11"/>
      <c r="D136" s="6"/>
      <c r="E136" s="2"/>
      <c r="F136" s="7">
        <f t="shared" si="83"/>
        <v>0</v>
      </c>
      <c r="G136" s="2"/>
      <c r="H136" s="6"/>
      <c r="I136" s="2"/>
      <c r="J136" s="7">
        <f t="shared" si="84"/>
        <v>0</v>
      </c>
      <c r="K136" s="2"/>
      <c r="L136" s="6">
        <f t="shared" si="85"/>
        <v>0</v>
      </c>
      <c r="M136" s="2"/>
      <c r="N136" s="7">
        <f t="shared" si="86"/>
        <v>0</v>
      </c>
      <c r="O136" s="11"/>
      <c r="P136" s="6">
        <v>1239.3599999999999</v>
      </c>
      <c r="Q136" s="2"/>
      <c r="R136" s="7">
        <f t="shared" si="87"/>
        <v>4.4783401812041016E-4</v>
      </c>
      <c r="S136" s="2"/>
      <c r="T136" s="6">
        <v>1975.04</v>
      </c>
      <c r="U136" s="2"/>
      <c r="V136" s="7">
        <f t="shared" si="88"/>
        <v>5.6814115507040084E-4</v>
      </c>
      <c r="W136" s="2"/>
      <c r="X136" s="6">
        <f t="shared" si="89"/>
        <v>-735.68000000000006</v>
      </c>
      <c r="Y136" s="2"/>
      <c r="Z136" s="7">
        <f t="shared" si="90"/>
        <v>-0.37248865845755025</v>
      </c>
    </row>
    <row r="137" spans="1:26" s="24" customFormat="1" hidden="1" outlineLevel="2" x14ac:dyDescent="0.25">
      <c r="A137" s="26"/>
      <c r="B137" s="11" t="str">
        <f>CONCATENATE("          ", "6248", " - ", "UNIFORMS")</f>
        <v xml:space="preserve">          6248 - UNIFORMS</v>
      </c>
      <c r="C137" s="11"/>
      <c r="D137" s="6"/>
      <c r="E137" s="2"/>
      <c r="F137" s="7">
        <f t="shared" si="83"/>
        <v>0</v>
      </c>
      <c r="G137" s="2"/>
      <c r="H137" s="6"/>
      <c r="I137" s="2"/>
      <c r="J137" s="7">
        <f t="shared" si="84"/>
        <v>0</v>
      </c>
      <c r="K137" s="2"/>
      <c r="L137" s="6">
        <f t="shared" si="85"/>
        <v>0</v>
      </c>
      <c r="M137" s="2"/>
      <c r="N137" s="7">
        <f t="shared" si="86"/>
        <v>0</v>
      </c>
      <c r="O137" s="11"/>
      <c r="P137" s="6"/>
      <c r="Q137" s="2"/>
      <c r="R137" s="7">
        <f t="shared" si="87"/>
        <v>0</v>
      </c>
      <c r="S137" s="2"/>
      <c r="T137" s="6">
        <v>575.28</v>
      </c>
      <c r="U137" s="2"/>
      <c r="V137" s="7">
        <f t="shared" si="88"/>
        <v>1.6548537937910129E-4</v>
      </c>
      <c r="W137" s="2"/>
      <c r="X137" s="6">
        <f t="shared" si="89"/>
        <v>-575.28</v>
      </c>
      <c r="Y137" s="2"/>
      <c r="Z137" s="7">
        <f t="shared" si="90"/>
        <v>-1</v>
      </c>
    </row>
    <row r="138" spans="1:26" s="27" customFormat="1" outlineLevel="1" collapsed="1" x14ac:dyDescent="0.25">
      <c r="A138" s="25"/>
      <c r="B138" s="13" t="str">
        <f>CONCATENATE("     ","Telephone/Data Lines                              ")</f>
        <v xml:space="preserve">     Telephone/Data Lines                              </v>
      </c>
      <c r="C138" s="13"/>
      <c r="D138" s="1">
        <f>SUM(OSRRefD22_19x_0)</f>
        <v>804.53</v>
      </c>
      <c r="E138" s="1"/>
      <c r="F138" s="5">
        <f t="shared" ref="F138:F144" si="91">IF(D$12=0,0,D138/D$12)</f>
        <v>4.4826666286299595E-3</v>
      </c>
      <c r="G138" s="1"/>
      <c r="H138" s="1">
        <f>SUM(OSRRefH22_19x_0)</f>
        <v>897.16</v>
      </c>
      <c r="I138" s="1"/>
      <c r="J138" s="5">
        <f t="shared" ref="J138:J144" si="92">IF(H$12=0,0,H138/H$12)</f>
        <v>1.7965657790864891E-3</v>
      </c>
      <c r="K138" s="1"/>
      <c r="L138" s="1">
        <f t="shared" ref="L138:L144" si="93">+D138-H138</f>
        <v>-92.63</v>
      </c>
      <c r="M138" s="1"/>
      <c r="N138" s="5">
        <f t="shared" ref="N138:N144" si="94">IF(H138=0,0,L138/H138)</f>
        <v>-0.10324802710776228</v>
      </c>
      <c r="O138" s="13"/>
      <c r="P138" s="1">
        <f>SUM(OSRRefP22_19x_0)</f>
        <v>8832.0400000000009</v>
      </c>
      <c r="Q138" s="1"/>
      <c r="R138" s="5">
        <f t="shared" ref="R138:R144" si="95">IF(P$12=0,0,P138/P$12)</f>
        <v>3.1913955278532373E-3</v>
      </c>
      <c r="S138" s="1"/>
      <c r="T138" s="1">
        <f>SUM(OSRRefT22_19x_0)</f>
        <v>9923.1200000000008</v>
      </c>
      <c r="U138" s="1"/>
      <c r="V138" s="5">
        <f t="shared" ref="V138:V144" si="96">IF(T$12=0,0,T138/T$12)</f>
        <v>2.8544904704219643E-3</v>
      </c>
      <c r="W138" s="1"/>
      <c r="X138" s="1">
        <f t="shared" ref="X138:X144" si="97">+P138-T138</f>
        <v>-1091.08</v>
      </c>
      <c r="Y138" s="1"/>
      <c r="Z138" s="5">
        <f t="shared" ref="Z138:Z144" si="98">IF(T138=0,0,X138/T138)</f>
        <v>-0.10995332113286949</v>
      </c>
    </row>
    <row r="139" spans="1:26" s="24" customFormat="1" hidden="1" outlineLevel="2" x14ac:dyDescent="0.25">
      <c r="A139" s="26"/>
      <c r="B139" s="11" t="str">
        <f>CONCATENATE("          ", "6309", " - ", "TELEPHONE")</f>
        <v xml:space="preserve">          6309 - TELEPHONE</v>
      </c>
      <c r="C139" s="11"/>
      <c r="D139" s="6">
        <v>804.53</v>
      </c>
      <c r="E139" s="2"/>
      <c r="F139" s="7">
        <f t="shared" si="91"/>
        <v>4.4826666286299595E-3</v>
      </c>
      <c r="G139" s="2"/>
      <c r="H139" s="6">
        <v>897.16</v>
      </c>
      <c r="I139" s="2"/>
      <c r="J139" s="7">
        <f t="shared" si="92"/>
        <v>1.7965657790864891E-3</v>
      </c>
      <c r="K139" s="2"/>
      <c r="L139" s="6">
        <f t="shared" si="93"/>
        <v>-92.63</v>
      </c>
      <c r="M139" s="2"/>
      <c r="N139" s="7">
        <f t="shared" si="94"/>
        <v>-0.10324802710776228</v>
      </c>
      <c r="O139" s="11"/>
      <c r="P139" s="6">
        <v>8832.0400000000009</v>
      </c>
      <c r="Q139" s="2"/>
      <c r="R139" s="7">
        <f t="shared" si="95"/>
        <v>3.1913955278532373E-3</v>
      </c>
      <c r="S139" s="2"/>
      <c r="T139" s="6">
        <v>9923.1200000000008</v>
      </c>
      <c r="U139" s="2"/>
      <c r="V139" s="7">
        <f t="shared" si="96"/>
        <v>2.8544904704219643E-3</v>
      </c>
      <c r="W139" s="2"/>
      <c r="X139" s="6">
        <f t="shared" si="97"/>
        <v>-1091.08</v>
      </c>
      <c r="Y139" s="2"/>
      <c r="Z139" s="7">
        <f t="shared" si="98"/>
        <v>-0.10995332113286949</v>
      </c>
    </row>
    <row r="140" spans="1:26" s="27" customFormat="1" outlineLevel="1" collapsed="1" x14ac:dyDescent="0.25">
      <c r="A140" s="25"/>
      <c r="B140" s="13" t="str">
        <f>CONCATENATE("     ","Training                                          ")</f>
        <v xml:space="preserve">     Training                                          </v>
      </c>
      <c r="C140" s="13"/>
      <c r="D140" s="1">
        <f>SUM(OSRRefD22_20x_0)</f>
        <v>0</v>
      </c>
      <c r="E140" s="1"/>
      <c r="F140" s="5">
        <f t="shared" si="91"/>
        <v>0</v>
      </c>
      <c r="G140" s="1"/>
      <c r="H140" s="1">
        <f>SUM(OSRRefH22_20x_0)</f>
        <v>0</v>
      </c>
      <c r="I140" s="1"/>
      <c r="J140" s="5">
        <f t="shared" si="92"/>
        <v>0</v>
      </c>
      <c r="K140" s="1"/>
      <c r="L140" s="1">
        <f t="shared" si="93"/>
        <v>0</v>
      </c>
      <c r="M140" s="1"/>
      <c r="N140" s="5">
        <f t="shared" si="94"/>
        <v>0</v>
      </c>
      <c r="O140" s="13"/>
      <c r="P140" s="1">
        <f>SUM(OSRRefP22_20x_0)</f>
        <v>5264.54</v>
      </c>
      <c r="Q140" s="1"/>
      <c r="R140" s="5">
        <f t="shared" si="95"/>
        <v>1.9023044972853926E-3</v>
      </c>
      <c r="S140" s="1"/>
      <c r="T140" s="1">
        <f>SUM(OSRRefT22_20x_0)</f>
        <v>3454.53</v>
      </c>
      <c r="U140" s="1"/>
      <c r="V140" s="5">
        <f t="shared" si="96"/>
        <v>9.9373210893214932E-4</v>
      </c>
      <c r="W140" s="1"/>
      <c r="X140" s="1">
        <f t="shared" si="97"/>
        <v>1810.0099999999998</v>
      </c>
      <c r="Y140" s="1"/>
      <c r="Z140" s="5">
        <f t="shared" si="98"/>
        <v>0.52395260715640035</v>
      </c>
    </row>
    <row r="141" spans="1:26" s="24" customFormat="1" hidden="1" outlineLevel="2" x14ac:dyDescent="0.25">
      <c r="A141" s="26"/>
      <c r="B141" s="11" t="str">
        <f>CONCATENATE("          ", "6376", " - ", "TRAINING")</f>
        <v xml:space="preserve">          6376 - TRAINING</v>
      </c>
      <c r="C141" s="11"/>
      <c r="D141" s="6"/>
      <c r="E141" s="2"/>
      <c r="F141" s="7">
        <f t="shared" si="91"/>
        <v>0</v>
      </c>
      <c r="G141" s="2"/>
      <c r="H141" s="6"/>
      <c r="I141" s="2"/>
      <c r="J141" s="7">
        <f t="shared" si="92"/>
        <v>0</v>
      </c>
      <c r="K141" s="2"/>
      <c r="L141" s="6">
        <f t="shared" si="93"/>
        <v>0</v>
      </c>
      <c r="M141" s="2"/>
      <c r="N141" s="7">
        <f t="shared" si="94"/>
        <v>0</v>
      </c>
      <c r="O141" s="11"/>
      <c r="P141" s="6">
        <v>5264.54</v>
      </c>
      <c r="Q141" s="2"/>
      <c r="R141" s="7">
        <f t="shared" si="95"/>
        <v>1.9023044972853926E-3</v>
      </c>
      <c r="S141" s="2"/>
      <c r="T141" s="6">
        <v>3454.53</v>
      </c>
      <c r="U141" s="2"/>
      <c r="V141" s="7">
        <f t="shared" si="96"/>
        <v>9.9373210893214932E-4</v>
      </c>
      <c r="W141" s="2"/>
      <c r="X141" s="6">
        <f t="shared" si="97"/>
        <v>1810.0099999999998</v>
      </c>
      <c r="Y141" s="2"/>
      <c r="Z141" s="7">
        <f t="shared" si="98"/>
        <v>0.52395260715640035</v>
      </c>
    </row>
    <row r="142" spans="1:26" s="27" customFormat="1" outlineLevel="1" collapsed="1" x14ac:dyDescent="0.25">
      <c r="A142" s="25"/>
      <c r="B142" s="13" t="str">
        <f>CONCATENATE("     ","Travel                                            ")</f>
        <v xml:space="preserve">     Travel                                            </v>
      </c>
      <c r="C142" s="13"/>
      <c r="D142" s="1">
        <f>SUM(OSRRefD22_21x_0)</f>
        <v>0</v>
      </c>
      <c r="E142" s="1"/>
      <c r="F142" s="5">
        <f t="shared" si="91"/>
        <v>0</v>
      </c>
      <c r="G142" s="1"/>
      <c r="H142" s="1">
        <f>SUM(OSRRefH22_21x_0)</f>
        <v>0</v>
      </c>
      <c r="I142" s="1"/>
      <c r="J142" s="5">
        <f t="shared" si="92"/>
        <v>0</v>
      </c>
      <c r="K142" s="1"/>
      <c r="L142" s="1">
        <f t="shared" si="93"/>
        <v>0</v>
      </c>
      <c r="M142" s="1"/>
      <c r="N142" s="5">
        <f t="shared" si="94"/>
        <v>0</v>
      </c>
      <c r="O142" s="13"/>
      <c r="P142" s="1">
        <f>SUM(OSRRefP22_21x_0)</f>
        <v>612.98</v>
      </c>
      <c r="Q142" s="1"/>
      <c r="R142" s="5">
        <f t="shared" si="95"/>
        <v>2.2149601118920173E-4</v>
      </c>
      <c r="S142" s="1"/>
      <c r="T142" s="1">
        <f>SUM(OSRRefT22_21x_0)</f>
        <v>579.4</v>
      </c>
      <c r="U142" s="1"/>
      <c r="V142" s="5">
        <f t="shared" si="96"/>
        <v>1.6667054097526646E-4</v>
      </c>
      <c r="W142" s="1"/>
      <c r="X142" s="1">
        <f t="shared" si="97"/>
        <v>33.580000000000041</v>
      </c>
      <c r="Y142" s="1"/>
      <c r="Z142" s="5">
        <f t="shared" si="98"/>
        <v>5.7956506731101212E-2</v>
      </c>
    </row>
    <row r="143" spans="1:26" s="24" customFormat="1" hidden="1" outlineLevel="2" x14ac:dyDescent="0.25">
      <c r="A143" s="26"/>
      <c r="B143" s="11" t="str">
        <f>CONCATENATE("          ", "6292", " - ", "TRAVEL/CONFERENCE")</f>
        <v xml:space="preserve">          6292 - TRAVEL/CONFERENCE</v>
      </c>
      <c r="C143" s="11"/>
      <c r="D143" s="6"/>
      <c r="E143" s="2"/>
      <c r="F143" s="7">
        <f t="shared" si="91"/>
        <v>0</v>
      </c>
      <c r="G143" s="2"/>
      <c r="H143" s="6"/>
      <c r="I143" s="2"/>
      <c r="J143" s="7">
        <f t="shared" si="92"/>
        <v>0</v>
      </c>
      <c r="K143" s="2"/>
      <c r="L143" s="6">
        <f t="shared" si="93"/>
        <v>0</v>
      </c>
      <c r="M143" s="2"/>
      <c r="N143" s="7">
        <f t="shared" si="94"/>
        <v>0</v>
      </c>
      <c r="O143" s="11"/>
      <c r="P143" s="6">
        <v>107.04</v>
      </c>
      <c r="Q143" s="2"/>
      <c r="R143" s="7">
        <f t="shared" si="95"/>
        <v>3.867815106152265E-5</v>
      </c>
      <c r="S143" s="2"/>
      <c r="T143" s="6"/>
      <c r="U143" s="2"/>
      <c r="V143" s="7">
        <f t="shared" si="96"/>
        <v>0</v>
      </c>
      <c r="W143" s="2"/>
      <c r="X143" s="6">
        <f t="shared" si="97"/>
        <v>107.04</v>
      </c>
      <c r="Y143" s="2"/>
      <c r="Z143" s="7">
        <f t="shared" si="98"/>
        <v>0</v>
      </c>
    </row>
    <row r="144" spans="1:26" s="24" customFormat="1" hidden="1" outlineLevel="2" x14ac:dyDescent="0.25">
      <c r="A144" s="26"/>
      <c r="B144" s="11" t="str">
        <f>CONCATENATE("          ", "6294", " - ", "TRAVEL OPERATIONAL")</f>
        <v xml:space="preserve">          6294 - TRAVEL OPERATIONAL</v>
      </c>
      <c r="C144" s="11"/>
      <c r="D144" s="6"/>
      <c r="E144" s="2"/>
      <c r="F144" s="7">
        <f t="shared" si="91"/>
        <v>0</v>
      </c>
      <c r="G144" s="2"/>
      <c r="H144" s="6"/>
      <c r="I144" s="2"/>
      <c r="J144" s="7">
        <f t="shared" si="92"/>
        <v>0</v>
      </c>
      <c r="K144" s="2"/>
      <c r="L144" s="6">
        <f t="shared" si="93"/>
        <v>0</v>
      </c>
      <c r="M144" s="2"/>
      <c r="N144" s="7">
        <f t="shared" si="94"/>
        <v>0</v>
      </c>
      <c r="O144" s="11"/>
      <c r="P144" s="6">
        <v>505.94</v>
      </c>
      <c r="Q144" s="2"/>
      <c r="R144" s="7">
        <f t="shared" si="95"/>
        <v>1.8281786012767906E-4</v>
      </c>
      <c r="S144" s="2"/>
      <c r="T144" s="6">
        <v>579.4</v>
      </c>
      <c r="U144" s="2"/>
      <c r="V144" s="7">
        <f t="shared" si="96"/>
        <v>1.6667054097526646E-4</v>
      </c>
      <c r="W144" s="2"/>
      <c r="X144" s="6">
        <f t="shared" si="97"/>
        <v>-73.45999999999998</v>
      </c>
      <c r="Y144" s="2"/>
      <c r="Z144" s="7">
        <f t="shared" si="98"/>
        <v>-0.12678633068691747</v>
      </c>
    </row>
    <row r="145" spans="1:26" s="27" customFormat="1" outlineLevel="1" collapsed="1" x14ac:dyDescent="0.25">
      <c r="A145" s="25"/>
      <c r="B145" s="13" t="str">
        <f>CONCATENATE("     ","Utilities                                         ")</f>
        <v xml:space="preserve">     Utilities                                         </v>
      </c>
      <c r="C145" s="13"/>
      <c r="D145" s="1">
        <f>SUM(OSRRefD22_22x_0)</f>
        <v>26.43</v>
      </c>
      <c r="E145" s="1"/>
      <c r="F145" s="5">
        <f t="shared" ref="F145:F146" si="99">IF(D$12=0,0,D145/D$12)</f>
        <v>1.4726222638644903E-4</v>
      </c>
      <c r="G145" s="1"/>
      <c r="H145" s="1">
        <f>SUM(OSRRefH22_22x_0)</f>
        <v>26.19</v>
      </c>
      <c r="I145" s="1"/>
      <c r="J145" s="5">
        <f t="shared" ref="J145:J146" si="100">IF(H$12=0,0,H145/H$12)</f>
        <v>5.2445559046630647E-5</v>
      </c>
      <c r="K145" s="1"/>
      <c r="L145" s="1">
        <f t="shared" ref="L145:L146" si="101">+D145-H145</f>
        <v>0.23999999999999844</v>
      </c>
      <c r="M145" s="1"/>
      <c r="N145" s="5">
        <f t="shared" ref="N145:N146" si="102">IF(H145=0,0,L145/H145)</f>
        <v>9.1638029782359076E-3</v>
      </c>
      <c r="O145" s="13"/>
      <c r="P145" s="1">
        <f>SUM(OSRRefP22_22x_0)</f>
        <v>2959.78</v>
      </c>
      <c r="Q145" s="1"/>
      <c r="R145" s="5">
        <f t="shared" ref="R145:R146" si="103">IF(P$12=0,0,P145/P$12)</f>
        <v>1.069495683378863E-3</v>
      </c>
      <c r="S145" s="1"/>
      <c r="T145" s="1">
        <f>SUM(OSRRefT22_22x_0)</f>
        <v>3520.32</v>
      </c>
      <c r="U145" s="1"/>
      <c r="V145" s="5">
        <f t="shared" ref="V145:V146" si="104">IF(T$12=0,0,T145/T$12)</f>
        <v>1.0126572985951847E-3</v>
      </c>
      <c r="W145" s="1"/>
      <c r="X145" s="1">
        <f t="shared" ref="X145:X146" si="105">+P145-T145</f>
        <v>-560.54</v>
      </c>
      <c r="Y145" s="1"/>
      <c r="Z145" s="5">
        <f t="shared" ref="Z145:Z146" si="106">IF(T145=0,0,X145/T145)</f>
        <v>-0.15922984274156893</v>
      </c>
    </row>
    <row r="146" spans="1:26" s="24" customFormat="1" hidden="1" outlineLevel="2" x14ac:dyDescent="0.25">
      <c r="A146" s="26"/>
      <c r="B146" s="11" t="str">
        <f>CONCATENATE("          ", "6274", " - ", "UTILITIES")</f>
        <v xml:space="preserve">          6274 - UTILITIES</v>
      </c>
      <c r="C146" s="11"/>
      <c r="D146" s="6">
        <v>26.43</v>
      </c>
      <c r="E146" s="2"/>
      <c r="F146" s="7">
        <f t="shared" si="99"/>
        <v>1.4726222638644903E-4</v>
      </c>
      <c r="G146" s="2"/>
      <c r="H146" s="6">
        <v>26.19</v>
      </c>
      <c r="I146" s="2"/>
      <c r="J146" s="7">
        <f t="shared" si="100"/>
        <v>5.2445559046630647E-5</v>
      </c>
      <c r="K146" s="2"/>
      <c r="L146" s="6">
        <f t="shared" si="101"/>
        <v>0.23999999999999844</v>
      </c>
      <c r="M146" s="2"/>
      <c r="N146" s="7">
        <f t="shared" si="102"/>
        <v>9.1638029782359076E-3</v>
      </c>
      <c r="O146" s="11"/>
      <c r="P146" s="6">
        <v>2959.78</v>
      </c>
      <c r="Q146" s="2"/>
      <c r="R146" s="7">
        <f t="shared" si="103"/>
        <v>1.069495683378863E-3</v>
      </c>
      <c r="S146" s="2"/>
      <c r="T146" s="6">
        <v>3520.32</v>
      </c>
      <c r="U146" s="2"/>
      <c r="V146" s="7">
        <f t="shared" si="104"/>
        <v>1.0126572985951847E-3</v>
      </c>
      <c r="W146" s="2"/>
      <c r="X146" s="6">
        <f t="shared" si="105"/>
        <v>-560.54</v>
      </c>
      <c r="Y146" s="2"/>
      <c r="Z146" s="7">
        <f t="shared" si="106"/>
        <v>-0.15922984274156893</v>
      </c>
    </row>
    <row r="147" spans="1:26" s="58" customFormat="1" x14ac:dyDescent="0.25">
      <c r="A147" s="37"/>
      <c r="B147" s="37"/>
      <c r="C147" s="37"/>
      <c r="D147" s="1"/>
      <c r="E147" s="1"/>
      <c r="F147" s="5"/>
      <c r="G147" s="1"/>
      <c r="H147" s="1"/>
      <c r="I147" s="1"/>
      <c r="J147" s="5"/>
      <c r="K147" s="1"/>
      <c r="L147" s="1"/>
      <c r="M147" s="1"/>
      <c r="N147" s="5"/>
      <c r="O147" s="37"/>
      <c r="P147" s="1"/>
      <c r="Q147" s="1"/>
      <c r="R147" s="5"/>
      <c r="S147" s="1"/>
      <c r="T147" s="1"/>
      <c r="U147" s="1"/>
      <c r="V147" s="5"/>
      <c r="W147" s="1"/>
      <c r="X147" s="1"/>
      <c r="Y147" s="1"/>
      <c r="Z147" s="5"/>
    </row>
    <row r="148" spans="1:26" s="23" customFormat="1" collapsed="1" x14ac:dyDescent="0.25">
      <c r="A148" s="10"/>
      <c r="B148" s="28" t="s">
        <v>0</v>
      </c>
      <c r="C148" s="10"/>
      <c r="D148" s="4">
        <f>SUM(OSRRefD25x_0)</f>
        <v>0</v>
      </c>
      <c r="E148" s="4"/>
      <c r="F148" s="12">
        <f t="shared" ref="F148:F149" si="107">IF(D$12=0,0,D148/D$12)</f>
        <v>0</v>
      </c>
      <c r="G148" s="4"/>
      <c r="H148" s="4">
        <f>SUM(OSRRefH25x_0)</f>
        <v>0</v>
      </c>
      <c r="I148" s="4"/>
      <c r="J148" s="12">
        <f t="shared" ref="J148:J149" si="108">IF(H$12=0,0,H148/H$12)</f>
        <v>0</v>
      </c>
      <c r="K148" s="4"/>
      <c r="L148" s="4">
        <f t="shared" ref="L148:L149" si="109">+D148-H148</f>
        <v>0</v>
      </c>
      <c r="M148" s="4"/>
      <c r="N148" s="12">
        <f t="shared" ref="N148:N149" si="110">IF(H148=0,0,L148/H148)</f>
        <v>0</v>
      </c>
      <c r="O148" s="10"/>
      <c r="P148" s="4">
        <f>SUM(OSRRefP25x_0)</f>
        <v>96904.89</v>
      </c>
      <c r="Q148" s="4"/>
      <c r="R148" s="12">
        <f t="shared" ref="R148:R149" si="111">IF(P$12=0,0,P148/P$12)</f>
        <v>3.5015900355196514E-2</v>
      </c>
      <c r="S148" s="4"/>
      <c r="T148" s="4">
        <f>SUM(OSRRefT25x_0)</f>
        <v>112587.23</v>
      </c>
      <c r="U148" s="4"/>
      <c r="V148" s="12">
        <f t="shared" ref="V148:V149" si="112">IF(T$12=0,0,T148/T$12)</f>
        <v>3.2386908061799703E-2</v>
      </c>
      <c r="W148" s="4"/>
      <c r="X148" s="4">
        <f t="shared" ref="X148:X149" si="113">+P148-T148</f>
        <v>-15682.339999999997</v>
      </c>
      <c r="Y148" s="4"/>
      <c r="Z148" s="12">
        <f t="shared" ref="Z148:Z149" si="114">IF(T148=0,0,X148/T148)</f>
        <v>-0.13929057496129887</v>
      </c>
    </row>
    <row r="149" spans="1:26" s="24" customFormat="1" hidden="1" outlineLevel="1" x14ac:dyDescent="0.25">
      <c r="A149" s="44"/>
      <c r="B149" s="11" t="str">
        <f>CONCATENATE("          ", "9150", " - ", "MISC. INCOME")</f>
        <v xml:space="preserve">          9150 - MISC. INCOME</v>
      </c>
      <c r="C149" s="11"/>
      <c r="D149" s="2">
        <f>0</f>
        <v>0</v>
      </c>
      <c r="E149" s="2"/>
      <c r="F149" s="19">
        <f t="shared" si="107"/>
        <v>0</v>
      </c>
      <c r="G149" s="2"/>
      <c r="H149" s="2">
        <f>0</f>
        <v>0</v>
      </c>
      <c r="I149" s="2"/>
      <c r="J149" s="19">
        <f t="shared" si="108"/>
        <v>0</v>
      </c>
      <c r="K149" s="2"/>
      <c r="L149" s="2">
        <f t="shared" si="109"/>
        <v>0</v>
      </c>
      <c r="M149" s="2"/>
      <c r="N149" s="19">
        <f t="shared" si="110"/>
        <v>0</v>
      </c>
      <c r="O149" s="11"/>
      <c r="P149" s="2">
        <f>--96904.89</f>
        <v>96904.89</v>
      </c>
      <c r="Q149" s="2"/>
      <c r="R149" s="19">
        <f t="shared" si="111"/>
        <v>3.5015900355196514E-2</v>
      </c>
      <c r="S149" s="2"/>
      <c r="T149" s="2">
        <f>--112587.23</f>
        <v>112587.23</v>
      </c>
      <c r="U149" s="2"/>
      <c r="V149" s="19">
        <f t="shared" si="112"/>
        <v>3.2386908061799703E-2</v>
      </c>
      <c r="W149" s="2"/>
      <c r="X149" s="2">
        <f t="shared" si="113"/>
        <v>-15682.339999999997</v>
      </c>
      <c r="Y149" s="2"/>
      <c r="Z149" s="19">
        <f t="shared" si="114"/>
        <v>-0.13929057496129887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10"/>
      <c r="B151" s="29" t="s">
        <v>3</v>
      </c>
      <c r="C151" s="29"/>
      <c r="D151" s="21">
        <f>+D72-D74+D148</f>
        <v>7357.5700000000361</v>
      </c>
      <c r="E151" s="14"/>
      <c r="F151" s="20">
        <f>IF(D$12=0,0,D151/D$12)</f>
        <v>4.0994783919566825E-2</v>
      </c>
      <c r="G151" s="14"/>
      <c r="H151" s="21">
        <f>+H72-H74+H148</f>
        <v>182710.25000000006</v>
      </c>
      <c r="I151" s="14"/>
      <c r="J151" s="20">
        <f>IF(H$12=0,0,H151/H$12)</f>
        <v>0.36587786196256777</v>
      </c>
      <c r="K151" s="16"/>
      <c r="L151" s="21">
        <f>+D151-H151</f>
        <v>-175352.68000000002</v>
      </c>
      <c r="M151" s="16"/>
      <c r="N151" s="20">
        <f>IF(H151=0,0,L151/H151)</f>
        <v>-0.95973094010872384</v>
      </c>
      <c r="O151" s="28"/>
      <c r="P151" s="21">
        <f>+P72-P74+P148</f>
        <v>580150.67000000039</v>
      </c>
      <c r="Q151" s="14"/>
      <c r="R151" s="20">
        <f>IF(P$12=0,0,P151/P$12)</f>
        <v>0.20963336372107239</v>
      </c>
      <c r="S151" s="14"/>
      <c r="T151" s="21">
        <f>+T72-T74+T148</f>
        <v>1133037.6299999994</v>
      </c>
      <c r="U151" s="14"/>
      <c r="V151" s="20">
        <f>IF(T$12=0,0,T151/T$12)</f>
        <v>0.32593026361310612</v>
      </c>
      <c r="W151" s="16"/>
      <c r="X151" s="21">
        <f>+P151-T151</f>
        <v>-552886.95999999903</v>
      </c>
      <c r="Y151" s="16"/>
      <c r="Z151" s="20">
        <f>IF(T151=0,0,X151/T151)</f>
        <v>-0.48796875351792096</v>
      </c>
    </row>
    <row r="152" spans="1:26" x14ac:dyDescent="0.25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51"/>
      <c r="B153" s="10" t="s">
        <v>13</v>
      </c>
      <c r="C153" s="10"/>
      <c r="D153" s="4">
        <v>33863.369999999995</v>
      </c>
      <c r="E153" s="4"/>
      <c r="F153" s="12">
        <f>IF(D$12=0,0,D153/D$12)</f>
        <v>0.18867935146228096</v>
      </c>
      <c r="G153" s="4"/>
      <c r="H153" s="4">
        <v>52109.06</v>
      </c>
      <c r="I153" s="4"/>
      <c r="J153" s="12">
        <f>IF(H$12=0,0,H153/H$12)</f>
        <v>0.10434855987378461</v>
      </c>
      <c r="K153" s="4"/>
      <c r="L153" s="4">
        <f>+D153-H153</f>
        <v>-18245.690000000002</v>
      </c>
      <c r="M153" s="4"/>
      <c r="N153" s="12">
        <f>IF(H153=0,0,L153/H153)</f>
        <v>-0.35014429352592435</v>
      </c>
      <c r="O153" s="10"/>
      <c r="P153" s="4">
        <v>327709.76</v>
      </c>
      <c r="Q153" s="4"/>
      <c r="R153" s="12">
        <f>IF(P$12=0,0,P153/P$12)</f>
        <v>0.11841561660701917</v>
      </c>
      <c r="S153" s="4"/>
      <c r="T153" s="4">
        <v>361587.87</v>
      </c>
      <c r="U153" s="4"/>
      <c r="V153" s="12">
        <f>IF(T$12=0,0,T153/T$12)</f>
        <v>0.10401457698135022</v>
      </c>
      <c r="W153" s="4"/>
      <c r="X153" s="4">
        <f>+P153-T153</f>
        <v>-33878.109999999986</v>
      </c>
      <c r="Y153" s="4"/>
      <c r="Z153" s="12">
        <f>IF(T153=0,0,X153/T153)</f>
        <v>-9.3692606447223978E-2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9" t="s">
        <v>4</v>
      </c>
      <c r="C155" s="29"/>
      <c r="D155" s="35">
        <f>+D151-D153</f>
        <v>-26505.799999999959</v>
      </c>
      <c r="E155" s="14"/>
      <c r="F155" s="32">
        <f>IF(D$12=0,0,D155/D$12)</f>
        <v>-0.14768456754271414</v>
      </c>
      <c r="G155" s="14"/>
      <c r="H155" s="35">
        <f>+H151-H153</f>
        <v>130601.19000000006</v>
      </c>
      <c r="I155" s="14"/>
      <c r="J155" s="32">
        <f>IF(H$12=0,0,H155/H$12)</f>
        <v>0.26152930208878317</v>
      </c>
      <c r="K155" s="16"/>
      <c r="L155" s="35">
        <f>D155-H155</f>
        <v>-157106.99000000002</v>
      </c>
      <c r="M155" s="16"/>
      <c r="N155" s="32">
        <f>IF(H155=0,0,L155/H155)</f>
        <v>-1.2029522089346962</v>
      </c>
      <c r="O155" s="28"/>
      <c r="P155" s="35">
        <f>+P151-P153</f>
        <v>252440.91000000038</v>
      </c>
      <c r="Q155" s="14"/>
      <c r="R155" s="32">
        <f>IF(P$12=0,0,P155/P$12)</f>
        <v>9.1217747114053227E-2</v>
      </c>
      <c r="S155" s="14"/>
      <c r="T155" s="35">
        <f>+T151-T153</f>
        <v>771449.75999999943</v>
      </c>
      <c r="U155" s="14"/>
      <c r="V155" s="32">
        <f>IF(T$12=0,0,T155/T$12)</f>
        <v>0.22191568663175593</v>
      </c>
      <c r="W155" s="16"/>
      <c r="X155" s="35">
        <f>P155-T155</f>
        <v>-519008.84999999905</v>
      </c>
      <c r="Y155" s="16"/>
      <c r="Z155" s="32">
        <f>IF(T155=0,0,X155/T155)</f>
        <v>-0.67277077122948281</v>
      </c>
    </row>
    <row r="156" spans="1:26" ht="15.75" thickTop="1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25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9" t="s">
        <v>5</v>
      </c>
      <c r="C158" s="29"/>
      <c r="D158" s="36">
        <f>SUM(D155:D157)</f>
        <v>-26505.799999999959</v>
      </c>
      <c r="E158" s="14"/>
      <c r="F158" s="33">
        <f>IF(D$12=0,0,D158/D$12)</f>
        <v>-0.14768456754271414</v>
      </c>
      <c r="G158" s="14"/>
      <c r="H158" s="36">
        <f>SUM(H155:H157)</f>
        <v>130601.19000000006</v>
      </c>
      <c r="I158" s="14"/>
      <c r="J158" s="33">
        <f>IF(H$12=0,0,H158/H$12)</f>
        <v>0.26152930208878317</v>
      </c>
      <c r="K158" s="16"/>
      <c r="L158" s="36">
        <f>+D158-H158</f>
        <v>-157106.99000000002</v>
      </c>
      <c r="M158" s="16"/>
      <c r="N158" s="33">
        <f>IF(H158=0,0,L158/H158)</f>
        <v>-1.2029522089346962</v>
      </c>
      <c r="O158" s="28"/>
      <c r="P158" s="36">
        <f>SUM(P155:P157)</f>
        <v>252440.91000000038</v>
      </c>
      <c r="Q158" s="14"/>
      <c r="R158" s="33">
        <f>IF(P$12=0,0,P158/P$12)</f>
        <v>9.1217747114053227E-2</v>
      </c>
      <c r="S158" s="14"/>
      <c r="T158" s="36">
        <f>SUM(T155:T157)</f>
        <v>771449.75999999943</v>
      </c>
      <c r="U158" s="14"/>
      <c r="V158" s="33">
        <f>IF(T$12=0,0,T158/T$12)</f>
        <v>0.22191568663175593</v>
      </c>
      <c r="W158" s="16"/>
      <c r="X158" s="36">
        <f>+P158-T158</f>
        <v>-519008.84999999905</v>
      </c>
      <c r="Y158" s="16"/>
      <c r="Z158" s="33">
        <f>IF(T158=0,0,X158/T158)</f>
        <v>-0.67277077122948281</v>
      </c>
    </row>
    <row r="159" spans="1:26" ht="15.75" thickTop="1" x14ac:dyDescent="0.25">
      <c r="A159" s="9"/>
      <c r="C159" s="9"/>
      <c r="D159" s="17"/>
      <c r="E159" s="17"/>
      <c r="G159" s="17"/>
      <c r="H159" s="17"/>
      <c r="I159" s="17"/>
      <c r="J159" s="42"/>
      <c r="K159" s="17"/>
      <c r="L159" s="17"/>
      <c r="M159" s="17"/>
      <c r="P159" s="17"/>
      <c r="Q159" s="17"/>
      <c r="R159" s="42"/>
      <c r="S159" s="17"/>
      <c r="T159" s="17"/>
      <c r="U159" s="17"/>
      <c r="V159" s="42"/>
      <c r="W159" s="17"/>
      <c r="X159" s="17"/>
    </row>
    <row r="160" spans="1:26" x14ac:dyDescent="0.25">
      <c r="A160" s="9"/>
      <c r="B160" s="55">
        <v>43992.37490008102</v>
      </c>
      <c r="D160" s="17"/>
      <c r="E160" s="17"/>
      <c r="G160" s="17"/>
      <c r="H160" s="17"/>
      <c r="I160" s="17"/>
      <c r="J160" s="42"/>
      <c r="K160" s="17"/>
      <c r="L160" s="17"/>
      <c r="M160" s="17"/>
      <c r="P160" s="17"/>
      <c r="Q160" s="17"/>
      <c r="R160" s="42"/>
      <c r="S160" s="17"/>
      <c r="T160" s="17"/>
      <c r="U160" s="17"/>
      <c r="V160" s="42"/>
      <c r="W160" s="17"/>
      <c r="X160" s="17"/>
    </row>
    <row r="161" spans="1:24" x14ac:dyDescent="0.25">
      <c r="A161" s="9"/>
      <c r="B161" s="62" t="s">
        <v>313</v>
      </c>
      <c r="D161" s="17"/>
      <c r="E161" s="17"/>
      <c r="G161" s="17"/>
      <c r="H161" s="17"/>
      <c r="I161" s="17"/>
      <c r="J161" s="42"/>
      <c r="K161" s="17"/>
      <c r="L161" s="17"/>
      <c r="M161" s="17"/>
      <c r="P161" s="17"/>
      <c r="Q161" s="17"/>
      <c r="R161" s="42"/>
      <c r="S161" s="17"/>
      <c r="T161" s="17"/>
      <c r="U161" s="17"/>
      <c r="V161" s="42"/>
      <c r="W161" s="17"/>
      <c r="X161" s="17"/>
    </row>
    <row r="162" spans="1:24" x14ac:dyDescent="0.25">
      <c r="A162" s="9"/>
      <c r="B162" s="53"/>
      <c r="D162" s="17"/>
      <c r="E162" s="17"/>
      <c r="G162" s="17"/>
      <c r="H162" s="17"/>
      <c r="I162" s="17"/>
      <c r="J162" s="42"/>
      <c r="K162" s="17"/>
      <c r="L162" s="17"/>
      <c r="M162" s="17"/>
      <c r="P162" s="17"/>
      <c r="Q162" s="17"/>
      <c r="R162" s="42"/>
      <c r="S162" s="17"/>
      <c r="T162" s="17"/>
      <c r="U162" s="17"/>
      <c r="V162" s="42"/>
      <c r="W162" s="17"/>
      <c r="X162" s="17"/>
    </row>
    <row r="163" spans="1:24" x14ac:dyDescent="0.25">
      <c r="D163" s="17"/>
      <c r="E163" s="17"/>
      <c r="G163" s="17"/>
      <c r="H163" s="17"/>
      <c r="I163" s="17"/>
      <c r="J163" s="42"/>
      <c r="K163" s="17"/>
      <c r="L163" s="17"/>
      <c r="M163" s="17"/>
      <c r="P163" s="17"/>
      <c r="Q163" s="17"/>
      <c r="R163" s="42"/>
      <c r="S163" s="17"/>
      <c r="T163" s="17"/>
      <c r="U163" s="17"/>
      <c r="V163" s="42"/>
      <c r="W163" s="17"/>
      <c r="X163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1">
        <f>IF(D$12=0,0,D18/D$12)</f>
        <v>0</v>
      </c>
      <c r="G18" s="22"/>
      <c r="H18" s="22">
        <f>SUM(0)</f>
        <v>0</v>
      </c>
      <c r="I18" s="22"/>
      <c r="J18" s="31">
        <f>IF(H$12=0,0,H18/H$12)</f>
        <v>0</v>
      </c>
      <c r="K18" s="4"/>
      <c r="L18" s="22">
        <f>+D18-H18</f>
        <v>0</v>
      </c>
      <c r="M18" s="4"/>
      <c r="N18" s="31">
        <f>IF(H18=0,0,L18/H18)</f>
        <v>0</v>
      </c>
      <c r="O18" s="10"/>
      <c r="P18" s="22">
        <f>SUM(0)</f>
        <v>0</v>
      </c>
      <c r="Q18" s="22"/>
      <c r="R18" s="31">
        <f>IF(P$12=0,0,P18/P$12)</f>
        <v>0</v>
      </c>
      <c r="S18" s="22"/>
      <c r="T18" s="22">
        <f>SUM(0)</f>
        <v>0</v>
      </c>
      <c r="U18" s="22"/>
      <c r="V18" s="31">
        <f>IF(T$12=0,0,T18/T$12)</f>
        <v>0</v>
      </c>
      <c r="W18" s="4"/>
      <c r="X18" s="22">
        <f>+P18-T18</f>
        <v>0</v>
      </c>
      <c r="Y18" s="4"/>
      <c r="Z18" s="31">
        <f>IF(T18=0,0,X18/T18)</f>
        <v>0</v>
      </c>
    </row>
    <row r="19" spans="1:26" s="58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5">
        <f>+D22-D24</f>
        <v>0</v>
      </c>
      <c r="E26" s="14"/>
      <c r="F26" s="32">
        <f>IF(D$12=0,0,D26/D$12)</f>
        <v>0</v>
      </c>
      <c r="G26" s="14"/>
      <c r="H26" s="35">
        <f>+H22-H24</f>
        <v>0</v>
      </c>
      <c r="I26" s="14"/>
      <c r="J26" s="32">
        <f>IF(H$12=0,0,H26/H$12)</f>
        <v>0</v>
      </c>
      <c r="K26" s="16"/>
      <c r="L26" s="35">
        <f>D26-H26</f>
        <v>0</v>
      </c>
      <c r="M26" s="16"/>
      <c r="N26" s="32">
        <f>IF(H26=0,0,L26/H26)</f>
        <v>0</v>
      </c>
      <c r="O26" s="28"/>
      <c r="P26" s="35">
        <f>+P22-P24</f>
        <v>0</v>
      </c>
      <c r="Q26" s="14"/>
      <c r="R26" s="32">
        <f>IF(P$12=0,0,P26/P$12)</f>
        <v>0</v>
      </c>
      <c r="S26" s="14"/>
      <c r="T26" s="35">
        <f>+T22-T24</f>
        <v>0</v>
      </c>
      <c r="U26" s="14"/>
      <c r="V26" s="32">
        <f>IF(T$12=0,0,T26/T$12)</f>
        <v>0</v>
      </c>
      <c r="W26" s="16"/>
      <c r="X26" s="35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--502115.75</f>
        <v>502115.75</v>
      </c>
      <c r="E28" s="4"/>
      <c r="F28" s="12">
        <f t="shared" ref="F28:F29" si="0">IF(D$12=0,0,D28/D$12)</f>
        <v>0</v>
      </c>
      <c r="G28" s="4"/>
      <c r="H28" s="4">
        <f>-505590.93</f>
        <v>-505590.93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1007706.6799999999</v>
      </c>
      <c r="M28" s="4"/>
      <c r="N28" s="12">
        <f t="shared" ref="N28:N29" si="3">IF(H28=0,0,L28/H28)</f>
        <v>-1.9931264985311345</v>
      </c>
      <c r="O28" s="10"/>
      <c r="P28" s="4">
        <f>-359271.52</f>
        <v>-359271.52</v>
      </c>
      <c r="Q28" s="4"/>
      <c r="R28" s="12">
        <f t="shared" ref="R28:R29" si="4">IF(P$12=0,0,P28/P$12)</f>
        <v>0</v>
      </c>
      <c r="S28" s="4"/>
      <c r="T28" s="4">
        <f>-506922.68</f>
        <v>-506922.68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147651.15999999997</v>
      </c>
      <c r="Y28" s="4"/>
      <c r="Z28" s="12">
        <f t="shared" ref="Z28:Z29" si="7">IF(T28=0,0,X28/T28)</f>
        <v>-0.29126958770122491</v>
      </c>
    </row>
    <row r="29" spans="1:26" s="23" customFormat="1" x14ac:dyDescent="0.25">
      <c r="A29" s="51"/>
      <c r="B29" s="10" t="s">
        <v>1</v>
      </c>
      <c r="C29" s="10"/>
      <c r="D29" s="4">
        <f>--23915.4</f>
        <v>23915.4</v>
      </c>
      <c r="E29" s="4"/>
      <c r="F29" s="12">
        <f t="shared" si="0"/>
        <v>0</v>
      </c>
      <c r="G29" s="4"/>
      <c r="H29" s="4">
        <f>--17671.49</f>
        <v>17671.490000000002</v>
      </c>
      <c r="I29" s="4"/>
      <c r="J29" s="12">
        <f t="shared" si="1"/>
        <v>0</v>
      </c>
      <c r="K29" s="4"/>
      <c r="L29" s="4">
        <f t="shared" si="2"/>
        <v>6243.91</v>
      </c>
      <c r="M29" s="4"/>
      <c r="N29" s="12">
        <f t="shared" si="3"/>
        <v>0.3533324015122663</v>
      </c>
      <c r="O29" s="10"/>
      <c r="P29" s="4">
        <f>--267586.13</f>
        <v>267586.13</v>
      </c>
      <c r="Q29" s="4"/>
      <c r="R29" s="12">
        <f t="shared" si="4"/>
        <v>0</v>
      </c>
      <c r="S29" s="4"/>
      <c r="T29" s="4">
        <f>--407577.88</f>
        <v>407577.88</v>
      </c>
      <c r="U29" s="4"/>
      <c r="V29" s="12">
        <f t="shared" si="5"/>
        <v>0</v>
      </c>
      <c r="W29" s="4"/>
      <c r="X29" s="4">
        <f t="shared" si="6"/>
        <v>-139991.75</v>
      </c>
      <c r="Y29" s="4"/>
      <c r="Z29" s="12">
        <f t="shared" si="7"/>
        <v>-0.3434723935459893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SUM(D26:D30)</f>
        <v>526031.15</v>
      </c>
      <c r="E31" s="14"/>
      <c r="F31" s="33">
        <f>IF(D$12=0,0,D31/D$12)</f>
        <v>0</v>
      </c>
      <c r="G31" s="14"/>
      <c r="H31" s="36">
        <f>SUM(H26:H30)</f>
        <v>-487919.44</v>
      </c>
      <c r="I31" s="14"/>
      <c r="J31" s="33">
        <f>IF(H$12=0,0,H31/H$12)</f>
        <v>0</v>
      </c>
      <c r="K31" s="16"/>
      <c r="L31" s="36">
        <f>+D31-H31</f>
        <v>1013950.5900000001</v>
      </c>
      <c r="M31" s="16"/>
      <c r="N31" s="33">
        <f>IF(H31=0,0,L31/H31)</f>
        <v>-2.07811066105503</v>
      </c>
      <c r="O31" s="28"/>
      <c r="P31" s="36">
        <f>SUM(P26:P30)</f>
        <v>-91685.390000000014</v>
      </c>
      <c r="Q31" s="14"/>
      <c r="R31" s="33">
        <f>IF(P$12=0,0,P31/P$12)</f>
        <v>0</v>
      </c>
      <c r="S31" s="14"/>
      <c r="T31" s="36">
        <f>SUM(T26:T30)</f>
        <v>-99344.799999999988</v>
      </c>
      <c r="U31" s="14"/>
      <c r="V31" s="33">
        <f>IF(T$12=0,0,T31/T$12)</f>
        <v>0</v>
      </c>
      <c r="W31" s="16"/>
      <c r="X31" s="36">
        <f>+P31-T31</f>
        <v>7659.4099999999744</v>
      </c>
      <c r="Y31" s="16"/>
      <c r="Z31" s="33">
        <f>IF(T31=0,0,X31/T31)</f>
        <v>-7.7099254314266827E-2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5">
        <v>43992.374703587964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2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179475.76000000004</v>
      </c>
      <c r="E12" s="4"/>
      <c r="F12" s="12"/>
      <c r="G12" s="4"/>
      <c r="H12" s="4">
        <f>SUM(OSRRefH13x_0)</f>
        <v>442964.87000000005</v>
      </c>
      <c r="I12" s="4"/>
      <c r="J12" s="12"/>
      <c r="K12" s="4"/>
      <c r="L12" s="4">
        <f t="shared" ref="L12:L33" si="0">+D12-H12</f>
        <v>-263489.11</v>
      </c>
      <c r="M12" s="4"/>
      <c r="N12" s="12">
        <f t="shared" ref="N12:N33" si="1">IF(H12=0,0,L12/H12)</f>
        <v>-0.59483071422797018</v>
      </c>
      <c r="O12" s="10"/>
      <c r="P12" s="4">
        <f>SUM(OSRRefP13x_0)</f>
        <v>2337613.0300000003</v>
      </c>
      <c r="Q12" s="4"/>
      <c r="R12" s="12"/>
      <c r="S12" s="4"/>
      <c r="T12" s="4">
        <f>SUM(OSRRefT13x_0)</f>
        <v>3015503.620000001</v>
      </c>
      <c r="U12" s="4"/>
      <c r="V12" s="12"/>
      <c r="W12" s="4"/>
      <c r="X12" s="4">
        <f t="shared" ref="X12:X33" si="2">+P12-T12</f>
        <v>-677890.59000000078</v>
      </c>
      <c r="Y12" s="4"/>
      <c r="Z12" s="12">
        <f t="shared" ref="Z12:Z33" si="3">IF(T12=0,0,X12/T12)</f>
        <v>-0.2248017828610667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--50806.72</f>
        <v>50806.720000000001</v>
      </c>
      <c r="E13" s="2"/>
      <c r="F13" s="19"/>
      <c r="G13" s="2"/>
      <c r="H13" s="2">
        <f>--207532.89</f>
        <v>207532.89</v>
      </c>
      <c r="I13" s="2"/>
      <c r="J13" s="19"/>
      <c r="K13" s="2"/>
      <c r="L13" s="2">
        <f t="shared" si="0"/>
        <v>-156726.17000000001</v>
      </c>
      <c r="M13" s="2"/>
      <c r="N13" s="19">
        <f t="shared" si="1"/>
        <v>-0.75518714166222034</v>
      </c>
      <c r="O13" s="11"/>
      <c r="P13" s="2">
        <f>--1533036.45</f>
        <v>1533036.45</v>
      </c>
      <c r="Q13" s="2"/>
      <c r="R13" s="19"/>
      <c r="S13" s="2"/>
      <c r="T13" s="2">
        <f>--1995014.9</f>
        <v>1995014.9</v>
      </c>
      <c r="U13" s="2"/>
      <c r="V13" s="19"/>
      <c r="W13" s="2"/>
      <c r="X13" s="2">
        <f t="shared" si="2"/>
        <v>-461978.44999999995</v>
      </c>
      <c r="Y13" s="2"/>
      <c r="Z13" s="19">
        <f t="shared" si="3"/>
        <v>-0.23156641586987645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--44686.17</f>
        <v>44686.17</v>
      </c>
      <c r="E14" s="2"/>
      <c r="F14" s="19"/>
      <c r="G14" s="2"/>
      <c r="H14" s="2">
        <f>--152069.39</f>
        <v>152069.39000000001</v>
      </c>
      <c r="I14" s="2"/>
      <c r="J14" s="19"/>
      <c r="K14" s="2"/>
      <c r="L14" s="2">
        <f t="shared" si="0"/>
        <v>-107383.22000000002</v>
      </c>
      <c r="M14" s="2"/>
      <c r="N14" s="19">
        <f t="shared" si="1"/>
        <v>-0.70614618760553982</v>
      </c>
      <c r="O14" s="11"/>
      <c r="P14" s="2">
        <f>--302567.67</f>
        <v>302567.67</v>
      </c>
      <c r="Q14" s="2"/>
      <c r="R14" s="19"/>
      <c r="S14" s="2"/>
      <c r="T14" s="2">
        <f>--573085.62</f>
        <v>573085.62</v>
      </c>
      <c r="U14" s="2"/>
      <c r="V14" s="19"/>
      <c r="W14" s="2"/>
      <c r="X14" s="2">
        <f t="shared" si="2"/>
        <v>-270517.95</v>
      </c>
      <c r="Y14" s="2"/>
      <c r="Z14" s="19">
        <f t="shared" si="3"/>
        <v>-0.47203758140014057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--1342.97</f>
        <v>1342.97</v>
      </c>
      <c r="E15" s="2"/>
      <c r="F15" s="19"/>
      <c r="G15" s="2"/>
      <c r="H15" s="2">
        <f>--21826.7</f>
        <v>21826.7</v>
      </c>
      <c r="I15" s="2"/>
      <c r="J15" s="19"/>
      <c r="K15" s="2"/>
      <c r="L15" s="2">
        <f t="shared" si="0"/>
        <v>-20483.73</v>
      </c>
      <c r="M15" s="2"/>
      <c r="N15" s="19">
        <f t="shared" si="1"/>
        <v>-0.93847123019054635</v>
      </c>
      <c r="O15" s="11"/>
      <c r="P15" s="2">
        <f>--174913.27</f>
        <v>174913.27</v>
      </c>
      <c r="Q15" s="2"/>
      <c r="R15" s="19"/>
      <c r="S15" s="2"/>
      <c r="T15" s="2">
        <f>--200838.84</f>
        <v>200838.84</v>
      </c>
      <c r="U15" s="2"/>
      <c r="V15" s="19"/>
      <c r="W15" s="2"/>
      <c r="X15" s="2">
        <f t="shared" si="2"/>
        <v>-25925.570000000007</v>
      </c>
      <c r="Y15" s="2"/>
      <c r="Z15" s="19">
        <f t="shared" si="3"/>
        <v>-0.1290864356715066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--49.95</f>
        <v>49.95</v>
      </c>
      <c r="E16" s="2"/>
      <c r="F16" s="19"/>
      <c r="G16" s="2"/>
      <c r="H16" s="2">
        <f>--942.23</f>
        <v>942.23</v>
      </c>
      <c r="I16" s="2"/>
      <c r="J16" s="19"/>
      <c r="K16" s="2"/>
      <c r="L16" s="2">
        <f t="shared" si="0"/>
        <v>-892.28</v>
      </c>
      <c r="M16" s="2"/>
      <c r="N16" s="19">
        <f t="shared" si="1"/>
        <v>-0.9469874659053521</v>
      </c>
      <c r="O16" s="11"/>
      <c r="P16" s="2">
        <f>--74803.44</f>
        <v>74803.44</v>
      </c>
      <c r="Q16" s="2"/>
      <c r="R16" s="19"/>
      <c r="S16" s="2"/>
      <c r="T16" s="2">
        <f>--3315.62</f>
        <v>3315.62</v>
      </c>
      <c r="U16" s="2"/>
      <c r="V16" s="19"/>
      <c r="W16" s="2"/>
      <c r="X16" s="2">
        <f t="shared" si="2"/>
        <v>71487.820000000007</v>
      </c>
      <c r="Y16" s="2"/>
      <c r="Z16" s="19">
        <f t="shared" si="3"/>
        <v>21.560920732773965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--3915.24</f>
        <v>3915.24</v>
      </c>
      <c r="E17" s="2"/>
      <c r="F17" s="19"/>
      <c r="G17" s="2"/>
      <c r="H17" s="2">
        <f>--4980.45</f>
        <v>4980.45</v>
      </c>
      <c r="I17" s="2"/>
      <c r="J17" s="19"/>
      <c r="K17" s="2"/>
      <c r="L17" s="2">
        <f t="shared" si="0"/>
        <v>-1065.21</v>
      </c>
      <c r="M17" s="2"/>
      <c r="N17" s="19">
        <f t="shared" si="1"/>
        <v>-0.21387826401228807</v>
      </c>
      <c r="O17" s="11"/>
      <c r="P17" s="2">
        <f>--66739.53</f>
        <v>66739.53</v>
      </c>
      <c r="Q17" s="2"/>
      <c r="R17" s="19"/>
      <c r="S17" s="2"/>
      <c r="T17" s="2">
        <f>--79869.46</f>
        <v>79869.460000000006</v>
      </c>
      <c r="U17" s="2"/>
      <c r="V17" s="19"/>
      <c r="W17" s="2"/>
      <c r="X17" s="2">
        <f t="shared" si="2"/>
        <v>-13129.930000000008</v>
      </c>
      <c r="Y17" s="2"/>
      <c r="Z17" s="19">
        <f t="shared" si="3"/>
        <v>-0.1643923722534246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--13525.59</f>
        <v>13525.59</v>
      </c>
      <c r="E18" s="2"/>
      <c r="F18" s="19"/>
      <c r="G18" s="2"/>
      <c r="H18" s="2">
        <f>--59947.47</f>
        <v>59947.47</v>
      </c>
      <c r="I18" s="2"/>
      <c r="J18" s="19"/>
      <c r="K18" s="2"/>
      <c r="L18" s="2">
        <f t="shared" si="0"/>
        <v>-46421.880000000005</v>
      </c>
      <c r="M18" s="2"/>
      <c r="N18" s="19">
        <f t="shared" si="1"/>
        <v>-0.77437596615837168</v>
      </c>
      <c r="O18" s="11"/>
      <c r="P18" s="2">
        <f>--96371.96</f>
        <v>96371.96</v>
      </c>
      <c r="Q18" s="2"/>
      <c r="R18" s="19"/>
      <c r="S18" s="2"/>
      <c r="T18" s="2">
        <f>--191323.27</f>
        <v>191323.27</v>
      </c>
      <c r="U18" s="2"/>
      <c r="V18" s="19"/>
      <c r="W18" s="2"/>
      <c r="X18" s="2">
        <f t="shared" si="2"/>
        <v>-94951.309999999983</v>
      </c>
      <c r="Y18" s="2"/>
      <c r="Z18" s="19">
        <f t="shared" si="3"/>
        <v>-0.49628730472775207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--56556.05</f>
        <v>56556.05</v>
      </c>
      <c r="E19" s="2"/>
      <c r="F19" s="19"/>
      <c r="G19" s="2"/>
      <c r="H19" s="2">
        <f>--8734.95</f>
        <v>8734.9500000000007</v>
      </c>
      <c r="I19" s="2"/>
      <c r="J19" s="19"/>
      <c r="K19" s="2"/>
      <c r="L19" s="2">
        <f t="shared" si="0"/>
        <v>47821.100000000006</v>
      </c>
      <c r="M19" s="2"/>
      <c r="N19" s="19">
        <f t="shared" si="1"/>
        <v>5.4746850296796206</v>
      </c>
      <c r="O19" s="11"/>
      <c r="P19" s="2">
        <f>--135480.76</f>
        <v>135480.76</v>
      </c>
      <c r="Q19" s="2"/>
      <c r="R19" s="19"/>
      <c r="S19" s="2"/>
      <c r="T19" s="2">
        <f>--55990.72</f>
        <v>55990.720000000001</v>
      </c>
      <c r="U19" s="2"/>
      <c r="V19" s="19"/>
      <c r="W19" s="2"/>
      <c r="X19" s="2">
        <f t="shared" si="2"/>
        <v>79490.040000000008</v>
      </c>
      <c r="Y19" s="2"/>
      <c r="Z19" s="19">
        <f t="shared" si="3"/>
        <v>1.4197002646152792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--4127.98</f>
        <v>4127.9799999999996</v>
      </c>
      <c r="E20" s="2"/>
      <c r="F20" s="19"/>
      <c r="G20" s="2"/>
      <c r="H20" s="2">
        <f>--435.05</f>
        <v>435.05</v>
      </c>
      <c r="I20" s="2"/>
      <c r="J20" s="19"/>
      <c r="K20" s="2"/>
      <c r="L20" s="2">
        <f t="shared" si="0"/>
        <v>3692.9299999999994</v>
      </c>
      <c r="M20" s="2"/>
      <c r="N20" s="19">
        <f t="shared" si="1"/>
        <v>8.4885185610849305</v>
      </c>
      <c r="O20" s="11"/>
      <c r="P20" s="2">
        <f>--16038.71</f>
        <v>16038.71</v>
      </c>
      <c r="Q20" s="2"/>
      <c r="R20" s="19"/>
      <c r="S20" s="2"/>
      <c r="T20" s="2">
        <f>--4410.58</f>
        <v>4410.58</v>
      </c>
      <c r="U20" s="2"/>
      <c r="V20" s="19"/>
      <c r="W20" s="2"/>
      <c r="X20" s="2">
        <f t="shared" si="2"/>
        <v>11628.13</v>
      </c>
      <c r="Y20" s="2"/>
      <c r="Z20" s="19">
        <f t="shared" si="3"/>
        <v>2.6364174326279084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--1204.14</f>
        <v>1204.1400000000001</v>
      </c>
      <c r="E21" s="2"/>
      <c r="F21" s="19"/>
      <c r="G21" s="2"/>
      <c r="H21" s="2">
        <f>--417.34</f>
        <v>417.34</v>
      </c>
      <c r="I21" s="2"/>
      <c r="J21" s="19"/>
      <c r="K21" s="2"/>
      <c r="L21" s="2">
        <f t="shared" si="0"/>
        <v>786.80000000000018</v>
      </c>
      <c r="M21" s="2"/>
      <c r="N21" s="19">
        <f t="shared" si="1"/>
        <v>1.8852733981885279</v>
      </c>
      <c r="O21" s="11"/>
      <c r="P21" s="2">
        <f>--5816.34</f>
        <v>5816.34</v>
      </c>
      <c r="Q21" s="2"/>
      <c r="R21" s="19"/>
      <c r="S21" s="2"/>
      <c r="T21" s="2">
        <f>--6780</f>
        <v>6780</v>
      </c>
      <c r="U21" s="2"/>
      <c r="V21" s="19"/>
      <c r="W21" s="2"/>
      <c r="X21" s="2">
        <f t="shared" si="2"/>
        <v>-963.65999999999985</v>
      </c>
      <c r="Y21" s="2"/>
      <c r="Z21" s="19">
        <f t="shared" si="3"/>
        <v>-0.14213274336283183</v>
      </c>
    </row>
    <row r="22" spans="1:26" s="24" customFormat="1" hidden="1" outlineLevel="1" x14ac:dyDescent="0.25">
      <c r="A22" s="44"/>
      <c r="B22" s="11" t="str">
        <f>CONCATENATE("          ", "4143", " - ", "NON-TAXABLE SALES-CARDS")</f>
        <v xml:space="preserve">          4143 - NON-TAXABLE SALES-CARDS</v>
      </c>
      <c r="C22" s="11"/>
      <c r="D22" s="2">
        <f>--19.98</f>
        <v>19.98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19.98</v>
      </c>
      <c r="M22" s="2"/>
      <c r="N22" s="19">
        <f t="shared" si="1"/>
        <v>0</v>
      </c>
      <c r="O22" s="11"/>
      <c r="P22" s="2">
        <f>--19.98</f>
        <v>19.98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19.98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--984.35</f>
        <v>984.35</v>
      </c>
      <c r="E23" s="2"/>
      <c r="F23" s="19"/>
      <c r="G23" s="2"/>
      <c r="H23" s="2">
        <f>--59.85</f>
        <v>59.85</v>
      </c>
      <c r="I23" s="2"/>
      <c r="J23" s="19"/>
      <c r="K23" s="2"/>
      <c r="L23" s="2">
        <f t="shared" si="0"/>
        <v>924.5</v>
      </c>
      <c r="M23" s="2"/>
      <c r="N23" s="19">
        <f t="shared" si="1"/>
        <v>15.446950710108604</v>
      </c>
      <c r="O23" s="11"/>
      <c r="P23" s="2">
        <f>--3324.02</f>
        <v>3324.02</v>
      </c>
      <c r="Q23" s="2"/>
      <c r="R23" s="19"/>
      <c r="S23" s="2"/>
      <c r="T23" s="2">
        <f>--639.89</f>
        <v>639.89</v>
      </c>
      <c r="U23" s="2"/>
      <c r="V23" s="19"/>
      <c r="W23" s="2"/>
      <c r="X23" s="2">
        <f t="shared" si="2"/>
        <v>2684.13</v>
      </c>
      <c r="Y23" s="2"/>
      <c r="Z23" s="19">
        <f t="shared" si="3"/>
        <v>4.1946740846082919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--7688.68</f>
        <v>7688.68</v>
      </c>
      <c r="E24" s="2"/>
      <c r="F24" s="19"/>
      <c r="G24" s="2"/>
      <c r="H24" s="2">
        <f>--431.9</f>
        <v>431.9</v>
      </c>
      <c r="I24" s="2"/>
      <c r="J24" s="19"/>
      <c r="K24" s="2"/>
      <c r="L24" s="2">
        <f t="shared" si="0"/>
        <v>7256.7800000000007</v>
      </c>
      <c r="M24" s="2"/>
      <c r="N24" s="19">
        <f t="shared" si="1"/>
        <v>16.801991201667054</v>
      </c>
      <c r="O24" s="11"/>
      <c r="P24" s="2">
        <f>--7828.68</f>
        <v>7828.68</v>
      </c>
      <c r="Q24" s="2"/>
      <c r="R24" s="19"/>
      <c r="S24" s="2"/>
      <c r="T24" s="2">
        <f>--2382.85</f>
        <v>2382.85</v>
      </c>
      <c r="U24" s="2"/>
      <c r="V24" s="19"/>
      <c r="W24" s="2"/>
      <c r="X24" s="2">
        <f t="shared" si="2"/>
        <v>5445.83</v>
      </c>
      <c r="Y24" s="2"/>
      <c r="Z24" s="19">
        <f t="shared" si="3"/>
        <v>2.2854271145896723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-3229.58</f>
        <v>-3229.58</v>
      </c>
      <c r="E25" s="2"/>
      <c r="F25" s="19"/>
      <c r="G25" s="2"/>
      <c r="H25" s="2">
        <f>-7927.36</f>
        <v>-7927.36</v>
      </c>
      <c r="I25" s="2"/>
      <c r="J25" s="19"/>
      <c r="K25" s="2"/>
      <c r="L25" s="2">
        <f t="shared" si="0"/>
        <v>4697.78</v>
      </c>
      <c r="M25" s="2"/>
      <c r="N25" s="19">
        <f t="shared" si="1"/>
        <v>-0.59260333831187184</v>
      </c>
      <c r="O25" s="11"/>
      <c r="P25" s="2">
        <f>-61562.58</f>
        <v>-61562.58</v>
      </c>
      <c r="Q25" s="2"/>
      <c r="R25" s="19"/>
      <c r="S25" s="2"/>
      <c r="T25" s="2">
        <f>-73713.36</f>
        <v>-73713.36</v>
      </c>
      <c r="U25" s="2"/>
      <c r="V25" s="19"/>
      <c r="W25" s="2"/>
      <c r="X25" s="2">
        <f t="shared" si="2"/>
        <v>12150.779999999999</v>
      </c>
      <c r="Y25" s="2"/>
      <c r="Z25" s="19">
        <f t="shared" si="3"/>
        <v>-0.16483823285222651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-1133.39</f>
        <v>-1133.3900000000001</v>
      </c>
      <c r="E26" s="2"/>
      <c r="F26" s="19"/>
      <c r="G26" s="2"/>
      <c r="H26" s="2">
        <f>-4391.34</f>
        <v>-4391.34</v>
      </c>
      <c r="I26" s="2"/>
      <c r="J26" s="19"/>
      <c r="K26" s="2"/>
      <c r="L26" s="2">
        <f t="shared" si="0"/>
        <v>3257.95</v>
      </c>
      <c r="M26" s="2"/>
      <c r="N26" s="19">
        <f t="shared" si="1"/>
        <v>-0.74190338256659694</v>
      </c>
      <c r="O26" s="11"/>
      <c r="P26" s="2">
        <f>-5145.76</f>
        <v>-5145.76</v>
      </c>
      <c r="Q26" s="2"/>
      <c r="R26" s="19"/>
      <c r="S26" s="2"/>
      <c r="T26" s="2">
        <f>-13047.3</f>
        <v>-13047.3</v>
      </c>
      <c r="U26" s="2"/>
      <c r="V26" s="19"/>
      <c r="W26" s="2"/>
      <c r="X26" s="2">
        <f t="shared" si="2"/>
        <v>7901.5399999999991</v>
      </c>
      <c r="Y26" s="2"/>
      <c r="Z26" s="19">
        <f t="shared" si="3"/>
        <v>-0.60560729039724692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ref="D27:D28" si="4">0</f>
        <v>0</v>
      </c>
      <c r="E27" s="2"/>
      <c r="F27" s="19"/>
      <c r="G27" s="2"/>
      <c r="H27" s="2">
        <f>-761.25</f>
        <v>-761.25</v>
      </c>
      <c r="I27" s="2"/>
      <c r="J27" s="19"/>
      <c r="K27" s="2"/>
      <c r="L27" s="2">
        <f t="shared" si="0"/>
        <v>761.25</v>
      </c>
      <c r="M27" s="2"/>
      <c r="N27" s="19">
        <f t="shared" si="1"/>
        <v>-1</v>
      </c>
      <c r="O27" s="11"/>
      <c r="P27" s="2">
        <f>-3103.4</f>
        <v>-3103.4</v>
      </c>
      <c r="Q27" s="2"/>
      <c r="R27" s="19"/>
      <c r="S27" s="2"/>
      <c r="T27" s="2">
        <f>-4532.57</f>
        <v>-4532.57</v>
      </c>
      <c r="U27" s="2"/>
      <c r="V27" s="19"/>
      <c r="W27" s="2"/>
      <c r="X27" s="2">
        <f t="shared" si="2"/>
        <v>1429.1699999999996</v>
      </c>
      <c r="Y27" s="2"/>
      <c r="Z27" s="19">
        <f t="shared" si="3"/>
        <v>-0.31531118107387196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 t="shared" si="4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-3006.31</f>
        <v>-3006.31</v>
      </c>
      <c r="Q28" s="2"/>
      <c r="R28" s="19"/>
      <c r="S28" s="2"/>
      <c r="T28" s="2">
        <f>-25.94</f>
        <v>-25.94</v>
      </c>
      <c r="U28" s="2"/>
      <c r="V28" s="19"/>
      <c r="W28" s="2"/>
      <c r="X28" s="2">
        <f t="shared" si="2"/>
        <v>-2980.37</v>
      </c>
      <c r="Y28" s="2"/>
      <c r="Z28" s="19">
        <f t="shared" si="3"/>
        <v>114.89475713184271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-255.71</f>
        <v>-255.71</v>
      </c>
      <c r="E29" s="2"/>
      <c r="F29" s="19"/>
      <c r="G29" s="2"/>
      <c r="H29" s="2">
        <f>-146.8</f>
        <v>-146.80000000000001</v>
      </c>
      <c r="I29" s="2"/>
      <c r="J29" s="19"/>
      <c r="K29" s="2"/>
      <c r="L29" s="2">
        <f t="shared" si="0"/>
        <v>-108.91</v>
      </c>
      <c r="M29" s="2"/>
      <c r="N29" s="19">
        <f t="shared" si="1"/>
        <v>0.74189373297002714</v>
      </c>
      <c r="O29" s="11"/>
      <c r="P29" s="2">
        <f>-2595.61</f>
        <v>-2595.61</v>
      </c>
      <c r="Q29" s="2"/>
      <c r="R29" s="19"/>
      <c r="S29" s="2"/>
      <c r="T29" s="2">
        <f>-3746.17</f>
        <v>-3746.17</v>
      </c>
      <c r="U29" s="2"/>
      <c r="V29" s="19"/>
      <c r="W29" s="2"/>
      <c r="X29" s="2">
        <f t="shared" si="2"/>
        <v>1150.56</v>
      </c>
      <c r="Y29" s="2"/>
      <c r="Z29" s="19">
        <f t="shared" si="3"/>
        <v>-0.30712968178165967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-175</f>
        <v>-175</v>
      </c>
      <c r="E30" s="2"/>
      <c r="F30" s="19"/>
      <c r="G30" s="2"/>
      <c r="H30" s="2">
        <f>-1062.8</f>
        <v>-1062.8</v>
      </c>
      <c r="I30" s="2"/>
      <c r="J30" s="19"/>
      <c r="K30" s="2"/>
      <c r="L30" s="2">
        <f t="shared" si="0"/>
        <v>887.8</v>
      </c>
      <c r="M30" s="2"/>
      <c r="N30" s="19">
        <f t="shared" si="1"/>
        <v>-0.83534060971019941</v>
      </c>
      <c r="O30" s="11"/>
      <c r="P30" s="2">
        <f>-1900.04</f>
        <v>-1900.04</v>
      </c>
      <c r="Q30" s="2"/>
      <c r="R30" s="19"/>
      <c r="S30" s="2"/>
      <c r="T30" s="2">
        <f>-1774.82</f>
        <v>-1774.82</v>
      </c>
      <c r="U30" s="2"/>
      <c r="V30" s="19"/>
      <c r="W30" s="2"/>
      <c r="X30" s="2">
        <f t="shared" si="2"/>
        <v>-125.22000000000003</v>
      </c>
      <c r="Y30" s="2"/>
      <c r="Z30" s="19">
        <f t="shared" si="3"/>
        <v>7.0553633607915181E-2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-598.43</f>
        <v>-598.42999999999995</v>
      </c>
      <c r="E31" s="2"/>
      <c r="F31" s="19"/>
      <c r="G31" s="2"/>
      <c r="H31" s="2">
        <f>-96.85</f>
        <v>-96.85</v>
      </c>
      <c r="I31" s="2"/>
      <c r="J31" s="19"/>
      <c r="K31" s="2"/>
      <c r="L31" s="2">
        <f t="shared" si="0"/>
        <v>-501.57999999999993</v>
      </c>
      <c r="M31" s="2"/>
      <c r="N31" s="19">
        <f t="shared" si="1"/>
        <v>5.1789364997418685</v>
      </c>
      <c r="O31" s="11"/>
      <c r="P31" s="2">
        <f>-1618.83</f>
        <v>-1618.83</v>
      </c>
      <c r="Q31" s="2"/>
      <c r="R31" s="19"/>
      <c r="S31" s="2"/>
      <c r="T31" s="2">
        <f>-1035.87</f>
        <v>-1035.8699999999999</v>
      </c>
      <c r="U31" s="2"/>
      <c r="V31" s="19"/>
      <c r="W31" s="2"/>
      <c r="X31" s="2">
        <f t="shared" si="2"/>
        <v>-582.96</v>
      </c>
      <c r="Y31" s="2"/>
      <c r="Z31" s="19">
        <f t="shared" si="3"/>
        <v>0.56277332097657051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-39.95</f>
        <v>-39.950000000000003</v>
      </c>
      <c r="E32" s="2"/>
      <c r="F32" s="19"/>
      <c r="G32" s="2"/>
      <c r="H32" s="2">
        <f>-26.95</f>
        <v>-26.95</v>
      </c>
      <c r="I32" s="2"/>
      <c r="J32" s="19"/>
      <c r="K32" s="2"/>
      <c r="L32" s="2">
        <f t="shared" si="0"/>
        <v>-13.000000000000004</v>
      </c>
      <c r="M32" s="2"/>
      <c r="N32" s="19">
        <f t="shared" si="1"/>
        <v>0.48237476808905394</v>
      </c>
      <c r="O32" s="11"/>
      <c r="P32" s="2">
        <f>-285.45</f>
        <v>-285.45</v>
      </c>
      <c r="Q32" s="2"/>
      <c r="R32" s="19"/>
      <c r="S32" s="2"/>
      <c r="T32" s="2">
        <f>-168.5</f>
        <v>-168.5</v>
      </c>
      <c r="U32" s="2"/>
      <c r="V32" s="19"/>
      <c r="W32" s="2"/>
      <c r="X32" s="2">
        <f t="shared" si="2"/>
        <v>-116.94999999999999</v>
      </c>
      <c r="Y32" s="2"/>
      <c r="Z32" s="19">
        <f t="shared" si="3"/>
        <v>0.69406528189910977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0</f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>
        <f>-103.6</f>
        <v>-103.6</v>
      </c>
      <c r="U33" s="2"/>
      <c r="V33" s="19"/>
      <c r="W33" s="2"/>
      <c r="X33" s="2">
        <f t="shared" si="2"/>
        <v>-6.2000000000000028</v>
      </c>
      <c r="Y33" s="2"/>
      <c r="Z33" s="19">
        <f t="shared" si="3"/>
        <v>5.9845559845559879E-2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89971.280000000013</v>
      </c>
      <c r="E35" s="4"/>
      <c r="F35" s="12">
        <f t="shared" ref="F35:F51" si="5">IF(D$12=0,0,D35/D$12)</f>
        <v>0.50130045416718105</v>
      </c>
      <c r="G35" s="4"/>
      <c r="H35" s="4">
        <f>SUM(OSRRefH16x_0)</f>
        <v>214930.24</v>
      </c>
      <c r="I35" s="4"/>
      <c r="J35" s="12">
        <f t="shared" ref="J35:J51" si="6">IF(H$12=0,0,H35/H$12)</f>
        <v>0.48520831911568962</v>
      </c>
      <c r="K35" s="4"/>
      <c r="L35" s="4">
        <f t="shared" ref="L35:L51" si="7">+D35-H35</f>
        <v>-124958.95999999998</v>
      </c>
      <c r="M35" s="4"/>
      <c r="N35" s="12">
        <f t="shared" ref="N35:N51" si="8">IF(H35=0,0,L35/H35)</f>
        <v>-0.58139310689831258</v>
      </c>
      <c r="O35" s="10"/>
      <c r="P35" s="4">
        <f>SUM(OSRRefP16x_0)</f>
        <v>1097477.5000000002</v>
      </c>
      <c r="Q35" s="4"/>
      <c r="R35" s="12">
        <f t="shared" ref="R35:R51" si="9">IF(P$12=0,0,P35/P$12)</f>
        <v>0.46948638885709842</v>
      </c>
      <c r="S35" s="4"/>
      <c r="T35" s="4">
        <f>SUM(OSRRefT16x_0)</f>
        <v>1359574.93</v>
      </c>
      <c r="U35" s="4"/>
      <c r="V35" s="12">
        <f t="shared" ref="V35:V51" si="10">IF(T$12=0,0,T35/T$12)</f>
        <v>0.45086164744846152</v>
      </c>
      <c r="W35" s="4"/>
      <c r="X35" s="4">
        <f t="shared" ref="X35:X51" si="11">+P35-T35</f>
        <v>-262097.4299999997</v>
      </c>
      <c r="Y35" s="4"/>
      <c r="Z35" s="12">
        <f t="shared" ref="Z35:Z51" si="12">IF(T35=0,0,X35/T35)</f>
        <v>-0.19277895187431834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/>
      <c r="I36" s="2"/>
      <c r="J36" s="19">
        <f t="shared" si="6"/>
        <v>0</v>
      </c>
      <c r="K36" s="2"/>
      <c r="L36" s="2">
        <f t="shared" si="7"/>
        <v>0</v>
      </c>
      <c r="M36" s="2"/>
      <c r="N36" s="19">
        <f t="shared" si="8"/>
        <v>0</v>
      </c>
      <c r="O36" s="11"/>
      <c r="P36" s="2"/>
      <c r="Q36" s="2"/>
      <c r="R36" s="19">
        <f t="shared" si="9"/>
        <v>0</v>
      </c>
      <c r="S36" s="2"/>
      <c r="T36" s="2">
        <v>1000</v>
      </c>
      <c r="U36" s="2"/>
      <c r="V36" s="19">
        <f t="shared" si="10"/>
        <v>3.3161956542436505E-4</v>
      </c>
      <c r="W36" s="2"/>
      <c r="X36" s="2">
        <f t="shared" si="11"/>
        <v>-1000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33887.879999999997</v>
      </c>
      <c r="E37" s="2"/>
      <c r="F37" s="19">
        <f t="shared" si="5"/>
        <v>0.1888159158651842</v>
      </c>
      <c r="G37" s="2"/>
      <c r="H37" s="2">
        <v>26656.1</v>
      </c>
      <c r="I37" s="2"/>
      <c r="J37" s="19">
        <f t="shared" si="6"/>
        <v>6.0176555310131018E-2</v>
      </c>
      <c r="K37" s="2"/>
      <c r="L37" s="2">
        <f t="shared" si="7"/>
        <v>7231.7799999999988</v>
      </c>
      <c r="M37" s="2"/>
      <c r="N37" s="19">
        <f t="shared" si="8"/>
        <v>0.27129925232873525</v>
      </c>
      <c r="O37" s="11"/>
      <c r="P37" s="2">
        <v>812810.5</v>
      </c>
      <c r="Q37" s="2"/>
      <c r="R37" s="19">
        <f t="shared" si="9"/>
        <v>0.34770960358652686</v>
      </c>
      <c r="S37" s="2"/>
      <c r="T37" s="2">
        <v>862497.79999999993</v>
      </c>
      <c r="U37" s="2"/>
      <c r="V37" s="19">
        <f t="shared" si="10"/>
        <v>0.28602114561547093</v>
      </c>
      <c r="W37" s="2"/>
      <c r="X37" s="2">
        <f t="shared" si="11"/>
        <v>-49687.29999999993</v>
      </c>
      <c r="Y37" s="2"/>
      <c r="Z37" s="19">
        <f t="shared" si="12"/>
        <v>-5.7608610711818553E-2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6504.55</v>
      </c>
      <c r="E38" s="2"/>
      <c r="F38" s="19">
        <f t="shared" si="5"/>
        <v>3.6241941530154261E-2</v>
      </c>
      <c r="G38" s="2"/>
      <c r="H38" s="2">
        <v>33149.25</v>
      </c>
      <c r="I38" s="2"/>
      <c r="J38" s="19">
        <f t="shared" si="6"/>
        <v>7.4834941199738922E-2</v>
      </c>
      <c r="K38" s="2"/>
      <c r="L38" s="2">
        <f t="shared" si="7"/>
        <v>-26644.7</v>
      </c>
      <c r="M38" s="2"/>
      <c r="N38" s="19">
        <f t="shared" si="8"/>
        <v>-0.80377987435613174</v>
      </c>
      <c r="O38" s="11"/>
      <c r="P38" s="2">
        <v>124983.66</v>
      </c>
      <c r="Q38" s="2"/>
      <c r="R38" s="19">
        <f t="shared" si="9"/>
        <v>5.346636008441482E-2</v>
      </c>
      <c r="S38" s="2"/>
      <c r="T38" s="2">
        <v>254020.05000000002</v>
      </c>
      <c r="U38" s="2"/>
      <c r="V38" s="19">
        <f t="shared" si="10"/>
        <v>8.4238018590075486E-2</v>
      </c>
      <c r="W38" s="2"/>
      <c r="X38" s="2">
        <f t="shared" si="11"/>
        <v>-129036.39000000001</v>
      </c>
      <c r="Y38" s="2"/>
      <c r="Z38" s="19">
        <f t="shared" si="12"/>
        <v>-0.50797718526549385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10895.09</v>
      </c>
      <c r="E39" s="2"/>
      <c r="F39" s="19">
        <f t="shared" si="5"/>
        <v>6.0705077944787626E-2</v>
      </c>
      <c r="G39" s="2"/>
      <c r="H39" s="2">
        <v>12068.19</v>
      </c>
      <c r="I39" s="2"/>
      <c r="J39" s="19">
        <f t="shared" si="6"/>
        <v>2.7244124347829204E-2</v>
      </c>
      <c r="K39" s="2"/>
      <c r="L39" s="2">
        <f t="shared" si="7"/>
        <v>-1173.1000000000004</v>
      </c>
      <c r="M39" s="2"/>
      <c r="N39" s="19">
        <f t="shared" si="8"/>
        <v>-9.7205960463002353E-2</v>
      </c>
      <c r="O39" s="11"/>
      <c r="P39" s="2">
        <v>106262.5</v>
      </c>
      <c r="Q39" s="2"/>
      <c r="R39" s="19">
        <f t="shared" si="9"/>
        <v>4.5457694937643289E-2</v>
      </c>
      <c r="S39" s="2"/>
      <c r="T39" s="2">
        <v>128596.26999999999</v>
      </c>
      <c r="U39" s="2"/>
      <c r="V39" s="19">
        <f t="shared" si="10"/>
        <v>4.264503917259431E-2</v>
      </c>
      <c r="W39" s="2"/>
      <c r="X39" s="2">
        <f t="shared" si="11"/>
        <v>-22333.76999999999</v>
      </c>
      <c r="Y39" s="2"/>
      <c r="Z39" s="19">
        <f t="shared" si="12"/>
        <v>-0.1736735443415271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/>
      <c r="E40" s="2"/>
      <c r="F40" s="19">
        <f t="shared" si="5"/>
        <v>0</v>
      </c>
      <c r="G40" s="2"/>
      <c r="H40" s="2">
        <v>-968.82</v>
      </c>
      <c r="I40" s="2"/>
      <c r="J40" s="19">
        <f t="shared" si="6"/>
        <v>-2.1871260355251195E-3</v>
      </c>
      <c r="K40" s="2"/>
      <c r="L40" s="2">
        <f t="shared" si="7"/>
        <v>968.82</v>
      </c>
      <c r="M40" s="2"/>
      <c r="N40" s="19">
        <f t="shared" si="8"/>
        <v>-1</v>
      </c>
      <c r="O40" s="11"/>
      <c r="P40" s="2">
        <v>30760.190000000002</v>
      </c>
      <c r="Q40" s="2"/>
      <c r="R40" s="19">
        <f t="shared" si="9"/>
        <v>1.3158803277204525E-2</v>
      </c>
      <c r="S40" s="2"/>
      <c r="T40" s="2">
        <v>3140.07</v>
      </c>
      <c r="U40" s="2"/>
      <c r="V40" s="19">
        <f t="shared" si="10"/>
        <v>1.041308648802086E-3</v>
      </c>
      <c r="W40" s="2"/>
      <c r="X40" s="2">
        <f t="shared" si="11"/>
        <v>27620.120000000003</v>
      </c>
      <c r="Y40" s="2"/>
      <c r="Z40" s="19">
        <f t="shared" si="12"/>
        <v>8.7960204708812224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1486.8</v>
      </c>
      <c r="E41" s="2"/>
      <c r="F41" s="19">
        <f t="shared" si="5"/>
        <v>8.2841270598324798E-3</v>
      </c>
      <c r="G41" s="2"/>
      <c r="H41" s="2">
        <v>4072.96</v>
      </c>
      <c r="I41" s="2"/>
      <c r="J41" s="19">
        <f t="shared" si="6"/>
        <v>9.1947697793732484E-3</v>
      </c>
      <c r="K41" s="2"/>
      <c r="L41" s="2">
        <f t="shared" si="7"/>
        <v>-2586.16</v>
      </c>
      <c r="M41" s="2"/>
      <c r="N41" s="19">
        <f t="shared" si="8"/>
        <v>-0.63495835952231294</v>
      </c>
      <c r="O41" s="11"/>
      <c r="P41" s="2">
        <v>42341.88</v>
      </c>
      <c r="Q41" s="2"/>
      <c r="R41" s="19">
        <f t="shared" si="9"/>
        <v>1.8113297392083751E-2</v>
      </c>
      <c r="S41" s="2"/>
      <c r="T41" s="2">
        <v>35759.68</v>
      </c>
      <c r="U41" s="2"/>
      <c r="V41" s="19">
        <f t="shared" si="10"/>
        <v>1.1858609541314359E-2</v>
      </c>
      <c r="W41" s="2"/>
      <c r="X41" s="2">
        <f t="shared" si="11"/>
        <v>6582.1999999999971</v>
      </c>
      <c r="Y41" s="2"/>
      <c r="Z41" s="19">
        <f t="shared" si="12"/>
        <v>0.18406764266346895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16919.25</v>
      </c>
      <c r="E42" s="2"/>
      <c r="F42" s="19">
        <f t="shared" si="5"/>
        <v>9.4270390608737334E-2</v>
      </c>
      <c r="G42" s="2"/>
      <c r="H42" s="2">
        <v>21201.79</v>
      </c>
      <c r="I42" s="2"/>
      <c r="J42" s="19">
        <f t="shared" si="6"/>
        <v>4.7863366681877052E-2</v>
      </c>
      <c r="K42" s="2"/>
      <c r="L42" s="2">
        <f t="shared" si="7"/>
        <v>-4282.5400000000009</v>
      </c>
      <c r="M42" s="2"/>
      <c r="N42" s="19">
        <f t="shared" si="8"/>
        <v>-0.20198954899562729</v>
      </c>
      <c r="O42" s="11"/>
      <c r="P42" s="2">
        <v>79840.600000000006</v>
      </c>
      <c r="Q42" s="2"/>
      <c r="R42" s="19">
        <f t="shared" si="9"/>
        <v>3.41547548612013E-2</v>
      </c>
      <c r="S42" s="2"/>
      <c r="T42" s="2">
        <v>120757.81999999999</v>
      </c>
      <c r="U42" s="2"/>
      <c r="V42" s="19">
        <f t="shared" si="10"/>
        <v>4.0045655789993695E-2</v>
      </c>
      <c r="W42" s="2"/>
      <c r="X42" s="2">
        <f t="shared" si="11"/>
        <v>-40917.219999999987</v>
      </c>
      <c r="Y42" s="2"/>
      <c r="Z42" s="19">
        <f t="shared" si="12"/>
        <v>-0.33883702107242403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-71377</v>
      </c>
      <c r="E43" s="2"/>
      <c r="F43" s="19">
        <f t="shared" si="5"/>
        <v>-0.39769715977243936</v>
      </c>
      <c r="G43" s="2"/>
      <c r="H43" s="2">
        <v>-99579</v>
      </c>
      <c r="I43" s="2"/>
      <c r="J43" s="19">
        <f t="shared" si="6"/>
        <v>-0.22480112249081963</v>
      </c>
      <c r="K43" s="2"/>
      <c r="L43" s="2">
        <f t="shared" si="7"/>
        <v>28202</v>
      </c>
      <c r="M43" s="2"/>
      <c r="N43" s="19">
        <f t="shared" si="8"/>
        <v>-0.28321232388354972</v>
      </c>
      <c r="O43" s="11"/>
      <c r="P43" s="2">
        <v>-1241389</v>
      </c>
      <c r="Q43" s="2"/>
      <c r="R43" s="19">
        <f t="shared" si="9"/>
        <v>-0.53104982906430831</v>
      </c>
      <c r="S43" s="2"/>
      <c r="T43" s="2">
        <v>-1480135</v>
      </c>
      <c r="U43" s="2"/>
      <c r="V43" s="19">
        <f t="shared" si="10"/>
        <v>-0.49084172546939259</v>
      </c>
      <c r="W43" s="2"/>
      <c r="X43" s="2">
        <f t="shared" si="11"/>
        <v>238746</v>
      </c>
      <c r="Y43" s="2"/>
      <c r="Z43" s="19">
        <f t="shared" si="12"/>
        <v>-0.16130015167535394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89972</v>
      </c>
      <c r="E44" s="2"/>
      <c r="F44" s="19">
        <f t="shared" si="5"/>
        <v>0.5013044658509872</v>
      </c>
      <c r="G44" s="2"/>
      <c r="H44" s="2">
        <v>214916</v>
      </c>
      <c r="I44" s="2"/>
      <c r="J44" s="19">
        <f t="shared" si="6"/>
        <v>0.48517617209689784</v>
      </c>
      <c r="K44" s="2"/>
      <c r="L44" s="2">
        <f t="shared" si="7"/>
        <v>-124944</v>
      </c>
      <c r="M44" s="2"/>
      <c r="N44" s="19">
        <f t="shared" si="8"/>
        <v>-0.58136202051033892</v>
      </c>
      <c r="O44" s="11"/>
      <c r="P44" s="2">
        <v>1097450</v>
      </c>
      <c r="Q44" s="2"/>
      <c r="R44" s="19">
        <f t="shared" si="9"/>
        <v>0.46947462472007179</v>
      </c>
      <c r="S44" s="2"/>
      <c r="T44" s="2">
        <v>1389630</v>
      </c>
      <c r="U44" s="2"/>
      <c r="V44" s="19">
        <f t="shared" si="10"/>
        <v>0.46082849670066039</v>
      </c>
      <c r="W44" s="2"/>
      <c r="X44" s="2">
        <f t="shared" si="11"/>
        <v>-292180</v>
      </c>
      <c r="Y44" s="2"/>
      <c r="Z44" s="19">
        <f t="shared" si="12"/>
        <v>-0.21025740664781273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5"/>
        <v>0</v>
      </c>
      <c r="G45" s="2"/>
      <c r="H45" s="2">
        <v>14.08</v>
      </c>
      <c r="I45" s="2"/>
      <c r="J45" s="19">
        <f t="shared" si="6"/>
        <v>3.1785816333471315E-5</v>
      </c>
      <c r="K45" s="2"/>
      <c r="L45" s="2">
        <f t="shared" si="7"/>
        <v>-14.08</v>
      </c>
      <c r="M45" s="2"/>
      <c r="N45" s="19">
        <f t="shared" si="8"/>
        <v>-1</v>
      </c>
      <c r="O45" s="11"/>
      <c r="P45" s="2">
        <v>29.23</v>
      </c>
      <c r="Q45" s="2"/>
      <c r="R45" s="19">
        <f t="shared" si="9"/>
        <v>1.2504208192234451E-5</v>
      </c>
      <c r="S45" s="2"/>
      <c r="T45" s="2">
        <v>14.08</v>
      </c>
      <c r="U45" s="2"/>
      <c r="V45" s="19">
        <f t="shared" si="10"/>
        <v>4.66920348117506E-6</v>
      </c>
      <c r="W45" s="2"/>
      <c r="X45" s="2">
        <f t="shared" si="11"/>
        <v>15.15</v>
      </c>
      <c r="Y45" s="2"/>
      <c r="Z45" s="19">
        <f t="shared" si="12"/>
        <v>1.0759943181818181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782.02</v>
      </c>
      <c r="E46" s="2"/>
      <c r="F46" s="19">
        <f t="shared" si="5"/>
        <v>4.3572457918551223E-3</v>
      </c>
      <c r="G46" s="2"/>
      <c r="H46" s="2">
        <v>872.01</v>
      </c>
      <c r="I46" s="2"/>
      <c r="J46" s="19">
        <f t="shared" si="6"/>
        <v>1.9685759730788581E-3</v>
      </c>
      <c r="K46" s="2"/>
      <c r="L46" s="2">
        <f t="shared" si="7"/>
        <v>-89.990000000000009</v>
      </c>
      <c r="M46" s="2"/>
      <c r="N46" s="19">
        <f t="shared" si="8"/>
        <v>-0.10319835781699753</v>
      </c>
      <c r="O46" s="11"/>
      <c r="P46" s="2">
        <v>32462.809999999998</v>
      </c>
      <c r="Q46" s="2"/>
      <c r="R46" s="19">
        <f t="shared" si="9"/>
        <v>1.3887161640265154E-2</v>
      </c>
      <c r="S46" s="2"/>
      <c r="T46" s="2">
        <v>29883.89</v>
      </c>
      <c r="U46" s="2"/>
      <c r="V46" s="19">
        <f t="shared" si="10"/>
        <v>9.9100826149895287E-3</v>
      </c>
      <c r="W46" s="2"/>
      <c r="X46" s="2">
        <f t="shared" si="11"/>
        <v>2578.9199999999983</v>
      </c>
      <c r="Y46" s="2"/>
      <c r="Z46" s="19">
        <f t="shared" si="12"/>
        <v>8.629800203387171E-2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343.16</v>
      </c>
      <c r="E47" s="2"/>
      <c r="F47" s="19">
        <f t="shared" si="5"/>
        <v>1.9120130763062373E-3</v>
      </c>
      <c r="G47" s="2"/>
      <c r="H47" s="2">
        <v>1280.73</v>
      </c>
      <c r="I47" s="2"/>
      <c r="J47" s="19">
        <f t="shared" si="6"/>
        <v>2.8912676528953635E-3</v>
      </c>
      <c r="K47" s="2"/>
      <c r="L47" s="2">
        <f t="shared" si="7"/>
        <v>-937.56999999999994</v>
      </c>
      <c r="M47" s="2"/>
      <c r="N47" s="19">
        <f t="shared" si="8"/>
        <v>-0.73205906006730526</v>
      </c>
      <c r="O47" s="11"/>
      <c r="P47" s="2">
        <v>5226.1000000000004</v>
      </c>
      <c r="Q47" s="2"/>
      <c r="R47" s="19">
        <f t="shared" si="9"/>
        <v>2.2356566005281037E-3</v>
      </c>
      <c r="S47" s="2"/>
      <c r="T47" s="2">
        <v>8765.51</v>
      </c>
      <c r="U47" s="2"/>
      <c r="V47" s="19">
        <f t="shared" si="10"/>
        <v>2.9068146169229261E-3</v>
      </c>
      <c r="W47" s="2"/>
      <c r="X47" s="2">
        <f t="shared" si="11"/>
        <v>-3539.41</v>
      </c>
      <c r="Y47" s="2"/>
      <c r="Z47" s="19">
        <f t="shared" si="12"/>
        <v>-0.40378825647338257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384.47</v>
      </c>
      <c r="E48" s="2"/>
      <c r="F48" s="19">
        <f t="shared" si="5"/>
        <v>2.1421834346877816E-3</v>
      </c>
      <c r="G48" s="2"/>
      <c r="H48" s="2">
        <v>383.05</v>
      </c>
      <c r="I48" s="2"/>
      <c r="J48" s="19">
        <f t="shared" si="6"/>
        <v>8.6474126040739967E-4</v>
      </c>
      <c r="K48" s="2"/>
      <c r="L48" s="2">
        <f t="shared" si="7"/>
        <v>1.4200000000000159</v>
      </c>
      <c r="M48" s="2"/>
      <c r="N48" s="19">
        <f t="shared" si="8"/>
        <v>3.7070878475395272E-3</v>
      </c>
      <c r="O48" s="11"/>
      <c r="P48" s="2">
        <v>2223.5100000000002</v>
      </c>
      <c r="Q48" s="2"/>
      <c r="R48" s="19">
        <f t="shared" si="9"/>
        <v>9.511882298157792E-4</v>
      </c>
      <c r="S48" s="2"/>
      <c r="T48" s="2">
        <v>1946.08</v>
      </c>
      <c r="U48" s="2"/>
      <c r="V48" s="19">
        <f t="shared" si="10"/>
        <v>6.4535820388104828E-4</v>
      </c>
      <c r="W48" s="2"/>
      <c r="X48" s="2">
        <f t="shared" si="11"/>
        <v>277.43000000000029</v>
      </c>
      <c r="Y48" s="2"/>
      <c r="Z48" s="19">
        <f t="shared" si="12"/>
        <v>0.1425583737564747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2926.76</v>
      </c>
      <c r="Q49" s="2"/>
      <c r="R49" s="19">
        <f t="shared" si="9"/>
        <v>1.252029297595077E-3</v>
      </c>
      <c r="S49" s="2"/>
      <c r="T49" s="2">
        <v>57.18</v>
      </c>
      <c r="U49" s="2"/>
      <c r="V49" s="19">
        <f t="shared" si="10"/>
        <v>1.8962006750965193E-5</v>
      </c>
      <c r="W49" s="2"/>
      <c r="X49" s="2">
        <f t="shared" si="11"/>
        <v>2869.5800000000004</v>
      </c>
      <c r="Y49" s="2"/>
      <c r="Z49" s="19">
        <f t="shared" si="12"/>
        <v>50.185029730675069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/>
      <c r="E50" s="2"/>
      <c r="F50" s="19">
        <f t="shared" si="5"/>
        <v>0</v>
      </c>
      <c r="G50" s="2"/>
      <c r="H50" s="2">
        <v>226.66</v>
      </c>
      <c r="I50" s="2"/>
      <c r="J50" s="19">
        <f t="shared" si="6"/>
        <v>5.1168843253867962E-4</v>
      </c>
      <c r="K50" s="2"/>
      <c r="L50" s="2">
        <f t="shared" si="7"/>
        <v>-226.66</v>
      </c>
      <c r="M50" s="2"/>
      <c r="N50" s="19">
        <f t="shared" si="8"/>
        <v>-1</v>
      </c>
      <c r="O50" s="11"/>
      <c r="P50" s="2">
        <v>483.44</v>
      </c>
      <c r="Q50" s="2"/>
      <c r="R50" s="19">
        <f t="shared" si="9"/>
        <v>2.0680925105897444E-4</v>
      </c>
      <c r="S50" s="2"/>
      <c r="T50" s="2">
        <v>1360.08</v>
      </c>
      <c r="U50" s="2"/>
      <c r="V50" s="19">
        <f t="shared" si="10"/>
        <v>4.5102913854237037E-4</v>
      </c>
      <c r="W50" s="2"/>
      <c r="X50" s="2">
        <f t="shared" si="11"/>
        <v>-876.63999999999987</v>
      </c>
      <c r="Y50" s="2"/>
      <c r="Z50" s="19">
        <f t="shared" si="12"/>
        <v>-0.64455032056937822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173.06</v>
      </c>
      <c r="E51" s="2"/>
      <c r="F51" s="19">
        <f t="shared" si="5"/>
        <v>9.6425277708811464E-4</v>
      </c>
      <c r="G51" s="2"/>
      <c r="H51" s="2">
        <v>637.24</v>
      </c>
      <c r="I51" s="2"/>
      <c r="J51" s="19">
        <f t="shared" si="6"/>
        <v>1.4385790909333283E-3</v>
      </c>
      <c r="K51" s="2"/>
      <c r="L51" s="2">
        <f t="shared" si="7"/>
        <v>-464.18</v>
      </c>
      <c r="M51" s="2"/>
      <c r="N51" s="19">
        <f t="shared" si="8"/>
        <v>-0.72842257234323016</v>
      </c>
      <c r="O51" s="11"/>
      <c r="P51" s="2">
        <v>1065.32</v>
      </c>
      <c r="Q51" s="2"/>
      <c r="R51" s="19">
        <f t="shared" si="9"/>
        <v>4.5572983480503607E-4</v>
      </c>
      <c r="S51" s="2"/>
      <c r="T51" s="2">
        <v>2281.42</v>
      </c>
      <c r="U51" s="2"/>
      <c r="V51" s="19">
        <f t="shared" si="10"/>
        <v>7.5656350895045494E-4</v>
      </c>
      <c r="W51" s="2"/>
      <c r="X51" s="2">
        <f t="shared" si="11"/>
        <v>-1216.1000000000001</v>
      </c>
      <c r="Y51" s="2"/>
      <c r="Z51" s="19">
        <f t="shared" si="12"/>
        <v>-0.53304520868581851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1">
        <f>D12-D35</f>
        <v>89504.480000000025</v>
      </c>
      <c r="E53" s="14"/>
      <c r="F53" s="20">
        <f>IF(D$12=0,0,D53/D$12)</f>
        <v>0.49869954583281889</v>
      </c>
      <c r="G53" s="14"/>
      <c r="H53" s="21">
        <f>H12-H35</f>
        <v>228034.63000000006</v>
      </c>
      <c r="I53" s="14"/>
      <c r="J53" s="20">
        <f>IF(H$12=0,0,H53/H$12)</f>
        <v>0.51479168088431038</v>
      </c>
      <c r="K53" s="16"/>
      <c r="L53" s="21">
        <f>+D53-H53</f>
        <v>-138530.15000000002</v>
      </c>
      <c r="M53" s="16"/>
      <c r="N53" s="20">
        <f>IF(H53=0,0,L53/H53)</f>
        <v>-0.60749610706058099</v>
      </c>
      <c r="O53" s="28"/>
      <c r="P53" s="21">
        <f>P12-P35</f>
        <v>1240135.53</v>
      </c>
      <c r="Q53" s="14"/>
      <c r="R53" s="20">
        <f>IF(P$12=0,0,P53/P$12)</f>
        <v>0.53051361114290152</v>
      </c>
      <c r="S53" s="14"/>
      <c r="T53" s="21">
        <f>T12-T35</f>
        <v>1655928.6900000011</v>
      </c>
      <c r="U53" s="14"/>
      <c r="V53" s="20">
        <f>IF(T$12=0,0,T53/T$12)</f>
        <v>0.54913835255153853</v>
      </c>
      <c r="W53" s="16"/>
      <c r="X53" s="21">
        <f>+P53-T53</f>
        <v>-415793.16000000108</v>
      </c>
      <c r="Y53" s="16"/>
      <c r="Z53" s="20">
        <f>IF(T53=0,0,X53/T53)</f>
        <v>-0.25109363857932843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22">
        <f>SUM(OSRRefD22x_0)</f>
        <v>62854.810000000005</v>
      </c>
      <c r="E55" s="22"/>
      <c r="F55" s="31">
        <f t="shared" ref="F55:F64" si="13">IF(D$12=0,0,D55/D$12)</f>
        <v>0.35021336586065993</v>
      </c>
      <c r="G55" s="22"/>
      <c r="H55" s="22">
        <f>SUM(OSRRefH22x_0)</f>
        <v>55784.57</v>
      </c>
      <c r="I55" s="22"/>
      <c r="J55" s="31">
        <f t="shared" ref="J55:J64" si="14">IF(H$12=0,0,H55/H$12)</f>
        <v>0.12593452388222115</v>
      </c>
      <c r="K55" s="4"/>
      <c r="L55" s="22">
        <f t="shared" ref="L55:L64" si="15">+D55-H55</f>
        <v>7070.2400000000052</v>
      </c>
      <c r="M55" s="4"/>
      <c r="N55" s="31">
        <f t="shared" ref="N55:N64" si="16">IF(H55=0,0,L55/H55)</f>
        <v>0.12674185711210117</v>
      </c>
      <c r="O55" s="10"/>
      <c r="P55" s="22">
        <f>SUM(OSRRefP22x_0)</f>
        <v>683398.83</v>
      </c>
      <c r="Q55" s="22"/>
      <c r="R55" s="31">
        <f t="shared" ref="R55:R64" si="17">IF(P$12=0,0,P55/P$12)</f>
        <v>0.29234899926956681</v>
      </c>
      <c r="S55" s="22"/>
      <c r="T55" s="22">
        <f>SUM(OSRRefT22x_0)</f>
        <v>628745.78999999992</v>
      </c>
      <c r="U55" s="22"/>
      <c r="V55" s="31">
        <f t="shared" ref="V55:V64" si="18">IF(T$12=0,0,T55/T$12)</f>
        <v>0.20850440564219908</v>
      </c>
      <c r="W55" s="4"/>
      <c r="X55" s="22">
        <f t="shared" ref="X55:X64" si="19">+P55-T55</f>
        <v>54653.040000000037</v>
      </c>
      <c r="Y55" s="4"/>
      <c r="Z55" s="31">
        <f t="shared" ref="Z55:Z64" si="20">IF(T55=0,0,X55/T55)</f>
        <v>8.6923906082933836E-2</v>
      </c>
    </row>
    <row r="56" spans="1:26" s="27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4822.2</v>
      </c>
      <c r="E56" s="1"/>
      <c r="F56" s="5">
        <f t="shared" si="13"/>
        <v>2.6868252292120112E-2</v>
      </c>
      <c r="G56" s="1"/>
      <c r="H56" s="1">
        <f>SUM(OSRRefH22_0x_0)</f>
        <v>6819.11</v>
      </c>
      <c r="I56" s="1"/>
      <c r="J56" s="5">
        <f t="shared" si="14"/>
        <v>1.539424559785068E-2</v>
      </c>
      <c r="K56" s="1"/>
      <c r="L56" s="1">
        <f t="shared" si="15"/>
        <v>-1996.9099999999999</v>
      </c>
      <c r="M56" s="1"/>
      <c r="N56" s="5">
        <f t="shared" si="16"/>
        <v>-0.29284026801151469</v>
      </c>
      <c r="O56" s="13"/>
      <c r="P56" s="1">
        <f>SUM(OSRRefP22_0x_0)</f>
        <v>73846.240000000005</v>
      </c>
      <c r="Q56" s="1"/>
      <c r="R56" s="5">
        <f t="shared" si="17"/>
        <v>3.1590446772963104E-2</v>
      </c>
      <c r="S56" s="1"/>
      <c r="T56" s="1">
        <f>SUM(OSRRefT22_0x_0)</f>
        <v>58364.209999999992</v>
      </c>
      <c r="U56" s="1"/>
      <c r="V56" s="5">
        <f t="shared" si="18"/>
        <v>1.9354713956536377E-2</v>
      </c>
      <c r="W56" s="1"/>
      <c r="X56" s="1">
        <f t="shared" si="19"/>
        <v>15482.030000000013</v>
      </c>
      <c r="Y56" s="1"/>
      <c r="Z56" s="5">
        <f t="shared" si="20"/>
        <v>0.26526581958361151</v>
      </c>
    </row>
    <row r="57" spans="1:26" s="24" customFormat="1" hidden="1" outlineLevel="2" x14ac:dyDescent="0.25">
      <c r="A57" s="26"/>
      <c r="B57" s="11" t="str">
        <f>CONCATENATE("          ", "6111", " - ", "F.I.C.A.")</f>
        <v xml:space="preserve">          6111 - F.I.C.A.</v>
      </c>
      <c r="C57" s="11"/>
      <c r="D57" s="6">
        <v>973.91</v>
      </c>
      <c r="E57" s="2"/>
      <c r="F57" s="7">
        <f t="shared" si="13"/>
        <v>5.4264152440418678E-3</v>
      </c>
      <c r="G57" s="2"/>
      <c r="H57" s="6">
        <v>1612.95</v>
      </c>
      <c r="I57" s="2"/>
      <c r="J57" s="7">
        <f t="shared" si="14"/>
        <v>3.6412594073204946E-3</v>
      </c>
      <c r="K57" s="2"/>
      <c r="L57" s="6">
        <f t="shared" si="15"/>
        <v>-639.04000000000008</v>
      </c>
      <c r="M57" s="2"/>
      <c r="N57" s="7">
        <f t="shared" si="16"/>
        <v>-0.39619331039399863</v>
      </c>
      <c r="O57" s="11"/>
      <c r="P57" s="6">
        <v>13786.37</v>
      </c>
      <c r="Q57" s="2"/>
      <c r="R57" s="7">
        <f t="shared" si="17"/>
        <v>5.897627119232818E-3</v>
      </c>
      <c r="S57" s="2"/>
      <c r="T57" s="6">
        <v>12411.78</v>
      </c>
      <c r="U57" s="2"/>
      <c r="V57" s="7">
        <f t="shared" si="18"/>
        <v>4.1159890897428256E-3</v>
      </c>
      <c r="W57" s="2"/>
      <c r="X57" s="6">
        <f t="shared" si="19"/>
        <v>1374.5900000000001</v>
      </c>
      <c r="Y57" s="2"/>
      <c r="Z57" s="7">
        <f t="shared" si="20"/>
        <v>0.11074882087823021</v>
      </c>
    </row>
    <row r="58" spans="1:26" s="24" customFormat="1" hidden="1" outlineLevel="2" x14ac:dyDescent="0.25">
      <c r="A58" s="26"/>
      <c r="B58" s="11" t="str">
        <f>CONCATENATE("          ", "6112", " - ", "COMPENSATION INSURANCE")</f>
        <v xml:space="preserve">          6112 - COMPENSATION INSURANCE</v>
      </c>
      <c r="C58" s="11"/>
      <c r="D58" s="6">
        <v>304.39</v>
      </c>
      <c r="E58" s="2"/>
      <c r="F58" s="7">
        <f t="shared" si="13"/>
        <v>1.6959950469077269E-3</v>
      </c>
      <c r="G58" s="2"/>
      <c r="H58" s="6">
        <v>256.16000000000003</v>
      </c>
      <c r="I58" s="2"/>
      <c r="J58" s="7">
        <f t="shared" si="14"/>
        <v>5.7828513579417712E-4</v>
      </c>
      <c r="K58" s="2"/>
      <c r="L58" s="6">
        <f t="shared" si="15"/>
        <v>48.229999999999961</v>
      </c>
      <c r="M58" s="2"/>
      <c r="N58" s="7">
        <f t="shared" si="16"/>
        <v>0.188280762023735</v>
      </c>
      <c r="O58" s="11"/>
      <c r="P58" s="6">
        <v>4337.67</v>
      </c>
      <c r="Q58" s="2"/>
      <c r="R58" s="7">
        <f t="shared" si="17"/>
        <v>1.8555979729459326E-3</v>
      </c>
      <c r="S58" s="2"/>
      <c r="T58" s="6">
        <v>2544.31</v>
      </c>
      <c r="U58" s="2"/>
      <c r="V58" s="7">
        <f t="shared" si="18"/>
        <v>8.437429765048662E-4</v>
      </c>
      <c r="W58" s="2"/>
      <c r="X58" s="6">
        <f t="shared" si="19"/>
        <v>1793.3600000000001</v>
      </c>
      <c r="Y58" s="2"/>
      <c r="Z58" s="7">
        <f t="shared" si="20"/>
        <v>0.70485121702937148</v>
      </c>
    </row>
    <row r="59" spans="1:26" s="24" customFormat="1" hidden="1" outlineLevel="2" x14ac:dyDescent="0.25">
      <c r="A59" s="26"/>
      <c r="B59" s="11" t="str">
        <f>CONCATENATE("          ", "6113", " - ", "GROUP INSURANCE")</f>
        <v xml:space="preserve">          6113 - GROUP INSURANCE</v>
      </c>
      <c r="C59" s="11"/>
      <c r="D59" s="6">
        <v>1458.55</v>
      </c>
      <c r="E59" s="2"/>
      <c r="F59" s="7">
        <f t="shared" si="13"/>
        <v>8.1267241882692111E-3</v>
      </c>
      <c r="G59" s="2"/>
      <c r="H59" s="6">
        <v>3221.63</v>
      </c>
      <c r="I59" s="2"/>
      <c r="J59" s="7">
        <f t="shared" si="14"/>
        <v>7.2728792240341761E-3</v>
      </c>
      <c r="K59" s="2"/>
      <c r="L59" s="6">
        <f t="shared" si="15"/>
        <v>-1763.0800000000002</v>
      </c>
      <c r="M59" s="2"/>
      <c r="N59" s="7">
        <f t="shared" si="16"/>
        <v>-0.54726334184869152</v>
      </c>
      <c r="O59" s="11"/>
      <c r="P59" s="6">
        <v>21047.670000000002</v>
      </c>
      <c r="Q59" s="2"/>
      <c r="R59" s="7">
        <f t="shared" si="17"/>
        <v>9.0039154170868056E-3</v>
      </c>
      <c r="S59" s="2"/>
      <c r="T59" s="6">
        <v>21765</v>
      </c>
      <c r="U59" s="2"/>
      <c r="V59" s="7">
        <f t="shared" si="18"/>
        <v>7.2176998414613053E-3</v>
      </c>
      <c r="W59" s="2"/>
      <c r="X59" s="6">
        <f t="shared" si="19"/>
        <v>-717.32999999999811</v>
      </c>
      <c r="Y59" s="2"/>
      <c r="Z59" s="7">
        <f t="shared" si="20"/>
        <v>-3.295796002756711E-2</v>
      </c>
    </row>
    <row r="60" spans="1:26" s="24" customFormat="1" hidden="1" outlineLevel="2" x14ac:dyDescent="0.25">
      <c r="A60" s="26"/>
      <c r="B60" s="11" t="str">
        <f>CONCATENATE("          ", "6114", " - ", "STATE UNEMPLOYMENT INSURANCE")</f>
        <v xml:space="preserve">          6114 - STATE UNEMPLOYMENT INSURANCE</v>
      </c>
      <c r="C60" s="11"/>
      <c r="D60" s="6">
        <v>41.65</v>
      </c>
      <c r="E60" s="2"/>
      <c r="F60" s="7">
        <f t="shared" si="13"/>
        <v>2.3206476462336748E-4</v>
      </c>
      <c r="G60" s="2"/>
      <c r="H60" s="6">
        <v>55.97</v>
      </c>
      <c r="I60" s="2"/>
      <c r="J60" s="7">
        <f t="shared" si="14"/>
        <v>1.2635313495627765E-4</v>
      </c>
      <c r="K60" s="2"/>
      <c r="L60" s="6">
        <f t="shared" si="15"/>
        <v>-14.32</v>
      </c>
      <c r="M60" s="2"/>
      <c r="N60" s="7">
        <f t="shared" si="16"/>
        <v>-0.25585134893693051</v>
      </c>
      <c r="O60" s="11"/>
      <c r="P60" s="6">
        <v>670.36</v>
      </c>
      <c r="Q60" s="2"/>
      <c r="R60" s="7">
        <f t="shared" si="17"/>
        <v>2.8677115989552809E-4</v>
      </c>
      <c r="S60" s="2"/>
      <c r="T60" s="6">
        <v>617.9</v>
      </c>
      <c r="U60" s="2"/>
      <c r="V60" s="7">
        <f t="shared" si="18"/>
        <v>2.0490772947571515E-4</v>
      </c>
      <c r="W60" s="2"/>
      <c r="X60" s="6">
        <f t="shared" si="19"/>
        <v>52.460000000000036</v>
      </c>
      <c r="Y60" s="2"/>
      <c r="Z60" s="7">
        <f t="shared" si="20"/>
        <v>8.4900469331607123E-2</v>
      </c>
    </row>
    <row r="61" spans="1:26" s="24" customFormat="1" hidden="1" outlineLevel="2" x14ac:dyDescent="0.25">
      <c r="A61" s="26"/>
      <c r="B61" s="11" t="str">
        <f>CONCATENATE("          ", "6115", " - ", "P.E.R.S.")</f>
        <v xml:space="preserve">          6115 - P.E.R.S.</v>
      </c>
      <c r="C61" s="11"/>
      <c r="D61" s="6">
        <v>691.88</v>
      </c>
      <c r="E61" s="2"/>
      <c r="F61" s="7">
        <f t="shared" si="13"/>
        <v>3.8550052664493516E-3</v>
      </c>
      <c r="G61" s="2"/>
      <c r="H61" s="6">
        <v>416.83</v>
      </c>
      <c r="I61" s="2"/>
      <c r="J61" s="7">
        <f t="shared" si="14"/>
        <v>9.4100012942335571E-4</v>
      </c>
      <c r="K61" s="2"/>
      <c r="L61" s="6">
        <f t="shared" si="15"/>
        <v>275.05</v>
      </c>
      <c r="M61" s="2"/>
      <c r="N61" s="7">
        <f t="shared" si="16"/>
        <v>0.65986133435693217</v>
      </c>
      <c r="O61" s="11"/>
      <c r="P61" s="6">
        <v>8816.4</v>
      </c>
      <c r="Q61" s="2"/>
      <c r="R61" s="7">
        <f t="shared" si="17"/>
        <v>3.7715395520361208E-3</v>
      </c>
      <c r="S61" s="2"/>
      <c r="T61" s="6">
        <v>7493.91</v>
      </c>
      <c r="U61" s="2"/>
      <c r="V61" s="7">
        <f t="shared" si="18"/>
        <v>2.4851271775293035E-3</v>
      </c>
      <c r="W61" s="2"/>
      <c r="X61" s="6">
        <f t="shared" si="19"/>
        <v>1322.4899999999998</v>
      </c>
      <c r="Y61" s="2"/>
      <c r="Z61" s="7">
        <f t="shared" si="20"/>
        <v>0.17647529794192882</v>
      </c>
    </row>
    <row r="62" spans="1:26" s="24" customFormat="1" hidden="1" outlineLevel="2" x14ac:dyDescent="0.25">
      <c r="A62" s="26"/>
      <c r="B62" s="11" t="str">
        <f>CONCATENATE("          ", "6118", " - ", "VACATION")</f>
        <v xml:space="preserve">          6118 - VACATION</v>
      </c>
      <c r="C62" s="11"/>
      <c r="D62" s="6">
        <v>694.46</v>
      </c>
      <c r="E62" s="2"/>
      <c r="F62" s="7">
        <f t="shared" si="13"/>
        <v>3.8693804667549528E-3</v>
      </c>
      <c r="G62" s="2"/>
      <c r="H62" s="6">
        <v>715.47</v>
      </c>
      <c r="I62" s="2"/>
      <c r="J62" s="7">
        <f t="shared" si="14"/>
        <v>1.6151845179054492E-3</v>
      </c>
      <c r="K62" s="2"/>
      <c r="L62" s="6">
        <f t="shared" si="15"/>
        <v>-21.009999999999991</v>
      </c>
      <c r="M62" s="2"/>
      <c r="N62" s="7">
        <f t="shared" si="16"/>
        <v>-2.9365312312186382E-2</v>
      </c>
      <c r="O62" s="11"/>
      <c r="P62" s="6">
        <v>9774.48</v>
      </c>
      <c r="Q62" s="2"/>
      <c r="R62" s="7">
        <f t="shared" si="17"/>
        <v>4.1813935303055688E-3</v>
      </c>
      <c r="S62" s="2"/>
      <c r="T62" s="6">
        <v>7038.73</v>
      </c>
      <c r="U62" s="2"/>
      <c r="V62" s="7">
        <f t="shared" si="18"/>
        <v>2.3341805837394408E-3</v>
      </c>
      <c r="W62" s="2"/>
      <c r="X62" s="6">
        <f t="shared" si="19"/>
        <v>2735.75</v>
      </c>
      <c r="Y62" s="2"/>
      <c r="Z62" s="7">
        <f t="shared" si="20"/>
        <v>0.38867096763194497</v>
      </c>
    </row>
    <row r="63" spans="1:26" s="24" customFormat="1" hidden="1" outlineLevel="2" x14ac:dyDescent="0.25">
      <c r="A63" s="26"/>
      <c r="B63" s="11" t="str">
        <f>CONCATENATE("          ", "6119", " - ", "SICK LEAVE")</f>
        <v xml:space="preserve">          6119 - SICK LEAVE</v>
      </c>
      <c r="C63" s="11"/>
      <c r="D63" s="6">
        <v>489.36</v>
      </c>
      <c r="E63" s="2"/>
      <c r="F63" s="7">
        <f t="shared" si="13"/>
        <v>2.7266077602903028E-3</v>
      </c>
      <c r="G63" s="2"/>
      <c r="H63" s="6">
        <v>408.69</v>
      </c>
      <c r="I63" s="2"/>
      <c r="J63" s="7">
        <f t="shared" si="14"/>
        <v>9.2262395435556768E-4</v>
      </c>
      <c r="K63" s="2"/>
      <c r="L63" s="6">
        <f t="shared" si="15"/>
        <v>80.670000000000016</v>
      </c>
      <c r="M63" s="2"/>
      <c r="N63" s="7">
        <f t="shared" si="16"/>
        <v>0.19738677237025623</v>
      </c>
      <c r="O63" s="11"/>
      <c r="P63" s="6">
        <v>13286.01</v>
      </c>
      <c r="Q63" s="2"/>
      <c r="R63" s="7">
        <f t="shared" si="17"/>
        <v>5.6835797155014994E-3</v>
      </c>
      <c r="S63" s="2"/>
      <c r="T63" s="6">
        <v>5321.08</v>
      </c>
      <c r="U63" s="2"/>
      <c r="V63" s="7">
        <f t="shared" si="18"/>
        <v>1.7645742371882804E-3</v>
      </c>
      <c r="W63" s="2"/>
      <c r="X63" s="6">
        <f t="shared" si="19"/>
        <v>7964.93</v>
      </c>
      <c r="Y63" s="2"/>
      <c r="Z63" s="7">
        <f t="shared" si="20"/>
        <v>1.4968634187044736</v>
      </c>
    </row>
    <row r="64" spans="1:26" s="24" customFormat="1" hidden="1" outlineLevel="2" x14ac:dyDescent="0.25">
      <c r="A64" s="26"/>
      <c r="B64" s="11" t="str">
        <f>CONCATENATE("          ", "6156", " - ", "EMPLOYEE MEALS")</f>
        <v xml:space="preserve">          6156 - EMPLOYEE MEALS</v>
      </c>
      <c r="C64" s="11"/>
      <c r="D64" s="6">
        <v>168</v>
      </c>
      <c r="E64" s="2"/>
      <c r="F64" s="7">
        <f t="shared" si="13"/>
        <v>9.3605955478333097E-4</v>
      </c>
      <c r="G64" s="2"/>
      <c r="H64" s="6">
        <v>131.41</v>
      </c>
      <c r="I64" s="2"/>
      <c r="J64" s="7">
        <f t="shared" si="14"/>
        <v>2.9666009406118362E-4</v>
      </c>
      <c r="K64" s="2"/>
      <c r="L64" s="6">
        <f t="shared" si="15"/>
        <v>36.590000000000003</v>
      </c>
      <c r="M64" s="2"/>
      <c r="N64" s="7">
        <f t="shared" si="16"/>
        <v>0.27844151891028085</v>
      </c>
      <c r="O64" s="11"/>
      <c r="P64" s="6">
        <v>2127.2800000000002</v>
      </c>
      <c r="Q64" s="2"/>
      <c r="R64" s="7">
        <f t="shared" si="17"/>
        <v>9.1002230595882676E-4</v>
      </c>
      <c r="S64" s="2"/>
      <c r="T64" s="6">
        <v>1171.5</v>
      </c>
      <c r="U64" s="2"/>
      <c r="V64" s="7">
        <f t="shared" si="18"/>
        <v>3.8849232089464364E-4</v>
      </c>
      <c r="W64" s="2"/>
      <c r="X64" s="6">
        <f t="shared" si="19"/>
        <v>955.7800000000002</v>
      </c>
      <c r="Y64" s="2"/>
      <c r="Z64" s="7">
        <f t="shared" si="20"/>
        <v>0.815860008536065</v>
      </c>
    </row>
    <row r="65" spans="1:26" s="27" customFormat="1" outlineLevel="1" collapsed="1" x14ac:dyDescent="0.25">
      <c r="A65" s="25"/>
      <c r="B65" s="13" t="str">
        <f>CONCATENATE("     ","*Payroll                                          ")</f>
        <v xml:space="preserve">     *Payroll                                          </v>
      </c>
      <c r="C65" s="13"/>
      <c r="D65" s="1">
        <f>SUM(OSRRefD22_1x_0)</f>
        <v>12053.98</v>
      </c>
      <c r="E65" s="1"/>
      <c r="F65" s="5">
        <f t="shared" ref="F65:F71" si="21">IF(D$12=0,0,D65/D$12)</f>
        <v>6.716216162004271E-2</v>
      </c>
      <c r="G65" s="1"/>
      <c r="H65" s="1">
        <f>SUM(OSRRefH22_1x_0)</f>
        <v>28208.54</v>
      </c>
      <c r="I65" s="1"/>
      <c r="J65" s="5">
        <f t="shared" ref="J65:J71" si="22">IF(H$12=0,0,H65/H$12)</f>
        <v>6.3681212462739986E-2</v>
      </c>
      <c r="K65" s="1"/>
      <c r="L65" s="1">
        <f t="shared" ref="L65:L71" si="23">+D65-H65</f>
        <v>-16154.560000000001</v>
      </c>
      <c r="M65" s="1"/>
      <c r="N65" s="5">
        <f t="shared" ref="N65:N71" si="24">IF(H65=0,0,L65/H65)</f>
        <v>-0.5726833079627659</v>
      </c>
      <c r="O65" s="13"/>
      <c r="P65" s="1">
        <f>SUM(OSRRefP22_1x_0)</f>
        <v>242259.63</v>
      </c>
      <c r="Q65" s="1"/>
      <c r="R65" s="5">
        <f t="shared" ref="R65:R71" si="25">IF(P$12=0,0,P65/P$12)</f>
        <v>0.10363547212089247</v>
      </c>
      <c r="S65" s="1"/>
      <c r="T65" s="1">
        <f>SUM(OSRRefT22_1x_0)</f>
        <v>252650.94</v>
      </c>
      <c r="U65" s="1"/>
      <c r="V65" s="5">
        <f t="shared" ref="V65:V71" si="26">IF(T$12=0,0,T65/T$12)</f>
        <v>8.3783994926857328E-2</v>
      </c>
      <c r="W65" s="1"/>
      <c r="X65" s="1">
        <f t="shared" ref="X65:X71" si="27">+P65-T65</f>
        <v>-10391.309999999998</v>
      </c>
      <c r="Y65" s="1"/>
      <c r="Z65" s="5">
        <f t="shared" ref="Z65:Z71" si="28">IF(T65=0,0,X65/T65)</f>
        <v>-4.1129116717317567E-2</v>
      </c>
    </row>
    <row r="66" spans="1:26" s="24" customFormat="1" hidden="1" outlineLevel="2" x14ac:dyDescent="0.25">
      <c r="A66" s="26"/>
      <c r="B66" s="11" t="str">
        <f>CONCATENATE("          ", "6002", " - ", "STAFF SALARIES")</f>
        <v xml:space="preserve">          6002 - STAFF SALARIES</v>
      </c>
      <c r="C66" s="11"/>
      <c r="D66" s="6">
        <v>6092.32</v>
      </c>
      <c r="E66" s="2"/>
      <c r="F66" s="7">
        <f t="shared" si="21"/>
        <v>3.3945085397604657E-2</v>
      </c>
      <c r="G66" s="2"/>
      <c r="H66" s="6">
        <v>7752.32</v>
      </c>
      <c r="I66" s="2"/>
      <c r="J66" s="7">
        <f t="shared" si="22"/>
        <v>1.7500981511242637E-2</v>
      </c>
      <c r="K66" s="2"/>
      <c r="L66" s="6">
        <f t="shared" si="23"/>
        <v>-1660</v>
      </c>
      <c r="M66" s="2"/>
      <c r="N66" s="7">
        <f t="shared" si="24"/>
        <v>-0.21412944770081732</v>
      </c>
      <c r="O66" s="11"/>
      <c r="P66" s="6">
        <v>79440.34</v>
      </c>
      <c r="Q66" s="2"/>
      <c r="R66" s="7">
        <f t="shared" si="25"/>
        <v>3.3983528916246668E-2</v>
      </c>
      <c r="S66" s="2"/>
      <c r="T66" s="6">
        <v>95934.5</v>
      </c>
      <c r="U66" s="2"/>
      <c r="V66" s="7">
        <f t="shared" si="26"/>
        <v>3.1813757199203749E-2</v>
      </c>
      <c r="W66" s="2"/>
      <c r="X66" s="6">
        <f t="shared" si="27"/>
        <v>-16494.160000000003</v>
      </c>
      <c r="Y66" s="2"/>
      <c r="Z66" s="7">
        <f t="shared" si="28"/>
        <v>-0.17193147407866829</v>
      </c>
    </row>
    <row r="67" spans="1:26" s="24" customFormat="1" hidden="1" outlineLevel="2" x14ac:dyDescent="0.25">
      <c r="A67" s="26"/>
      <c r="B67" s="11" t="str">
        <f>CONCATENATE("          ", "6004", " - ", "STAFF HOURLY")</f>
        <v xml:space="preserve">          6004 - STAFF HOURLY</v>
      </c>
      <c r="C67" s="11"/>
      <c r="D67" s="6">
        <v>3914</v>
      </c>
      <c r="E67" s="2"/>
      <c r="F67" s="7">
        <f t="shared" si="21"/>
        <v>2.1807958913225938E-2</v>
      </c>
      <c r="G67" s="2"/>
      <c r="H67" s="6"/>
      <c r="I67" s="2"/>
      <c r="J67" s="7">
        <f t="shared" si="22"/>
        <v>0</v>
      </c>
      <c r="K67" s="2"/>
      <c r="L67" s="6">
        <f t="shared" si="23"/>
        <v>3914</v>
      </c>
      <c r="M67" s="2"/>
      <c r="N67" s="7">
        <f t="shared" si="24"/>
        <v>0</v>
      </c>
      <c r="O67" s="11"/>
      <c r="P67" s="6">
        <v>16662.510000000002</v>
      </c>
      <c r="Q67" s="2"/>
      <c r="R67" s="7">
        <f t="shared" si="25"/>
        <v>7.1280018489629999E-3</v>
      </c>
      <c r="S67" s="2"/>
      <c r="T67" s="6"/>
      <c r="U67" s="2"/>
      <c r="V67" s="7">
        <f t="shared" si="26"/>
        <v>0</v>
      </c>
      <c r="W67" s="2"/>
      <c r="X67" s="6">
        <f t="shared" si="27"/>
        <v>16662.510000000002</v>
      </c>
      <c r="Y67" s="2"/>
      <c r="Z67" s="7">
        <f t="shared" si="28"/>
        <v>0</v>
      </c>
    </row>
    <row r="68" spans="1:26" s="24" customFormat="1" hidden="1" outlineLevel="2" x14ac:dyDescent="0.25">
      <c r="A68" s="26"/>
      <c r="B68" s="11" t="str">
        <f>CONCATENATE("          ", "6005", " - ", "TEMPORARY WAGES-HOURLY")</f>
        <v xml:space="preserve">          6005 - TEMPORARY WAGES-HOURLY</v>
      </c>
      <c r="C68" s="11"/>
      <c r="D68" s="6"/>
      <c r="E68" s="2"/>
      <c r="F68" s="7">
        <f t="shared" si="21"/>
        <v>0</v>
      </c>
      <c r="G68" s="2"/>
      <c r="H68" s="6">
        <v>7588.59</v>
      </c>
      <c r="I68" s="2"/>
      <c r="J68" s="7">
        <f t="shared" si="22"/>
        <v>1.7131358520597804E-2</v>
      </c>
      <c r="K68" s="2"/>
      <c r="L68" s="6">
        <f t="shared" si="23"/>
        <v>-7588.59</v>
      </c>
      <c r="M68" s="2"/>
      <c r="N68" s="7">
        <f t="shared" si="24"/>
        <v>-1</v>
      </c>
      <c r="O68" s="11"/>
      <c r="P68" s="6">
        <v>29609.279999999999</v>
      </c>
      <c r="Q68" s="2"/>
      <c r="R68" s="7">
        <f t="shared" si="25"/>
        <v>1.2666459170104812E-2</v>
      </c>
      <c r="S68" s="2"/>
      <c r="T68" s="6">
        <v>45736.97</v>
      </c>
      <c r="U68" s="2"/>
      <c r="V68" s="7">
        <f t="shared" si="26"/>
        <v>1.5167274115227222E-2</v>
      </c>
      <c r="W68" s="2"/>
      <c r="X68" s="6">
        <f t="shared" si="27"/>
        <v>-16127.690000000002</v>
      </c>
      <c r="Y68" s="2"/>
      <c r="Z68" s="7">
        <f t="shared" si="28"/>
        <v>-0.35261824296624811</v>
      </c>
    </row>
    <row r="69" spans="1:26" s="24" customFormat="1" hidden="1" outlineLevel="2" x14ac:dyDescent="0.25">
      <c r="A69" s="26"/>
      <c r="B69" s="11" t="str">
        <f>CONCATENATE("          ", "6006", " - ", "TEMPORARY PART TIME")</f>
        <v xml:space="preserve">          6006 - TEMPORARY PART TIME</v>
      </c>
      <c r="C69" s="11"/>
      <c r="D69" s="6"/>
      <c r="E69" s="2"/>
      <c r="F69" s="7">
        <f t="shared" si="21"/>
        <v>0</v>
      </c>
      <c r="G69" s="2"/>
      <c r="H69" s="6">
        <v>1354.7</v>
      </c>
      <c r="I69" s="2"/>
      <c r="J69" s="7">
        <f t="shared" si="22"/>
        <v>3.0582560644143177E-3</v>
      </c>
      <c r="K69" s="2"/>
      <c r="L69" s="6">
        <f t="shared" si="23"/>
        <v>-1354.7</v>
      </c>
      <c r="M69" s="2"/>
      <c r="N69" s="7">
        <f t="shared" si="24"/>
        <v>-1</v>
      </c>
      <c r="O69" s="11"/>
      <c r="P69" s="6">
        <v>911.29</v>
      </c>
      <c r="Q69" s="2"/>
      <c r="R69" s="7">
        <f t="shared" si="25"/>
        <v>3.8983783385225219E-4</v>
      </c>
      <c r="S69" s="2"/>
      <c r="T69" s="6">
        <v>10920.62</v>
      </c>
      <c r="U69" s="2"/>
      <c r="V69" s="7">
        <f t="shared" si="26"/>
        <v>3.6214912585646299E-3</v>
      </c>
      <c r="W69" s="2"/>
      <c r="X69" s="6">
        <f t="shared" si="27"/>
        <v>-10009.330000000002</v>
      </c>
      <c r="Y69" s="2"/>
      <c r="Z69" s="7">
        <f t="shared" si="28"/>
        <v>-0.91655327261638997</v>
      </c>
    </row>
    <row r="70" spans="1:26" s="24" customFormat="1" hidden="1" outlineLevel="2" x14ac:dyDescent="0.25">
      <c r="A70" s="26"/>
      <c r="B70" s="11" t="str">
        <f>CONCATENATE("          ", "6007", " - ", "STUDENT HOURLY")</f>
        <v xml:space="preserve">          6007 - STUDENT HOURLY</v>
      </c>
      <c r="C70" s="11"/>
      <c r="D70" s="6">
        <v>2047.66</v>
      </c>
      <c r="E70" s="2"/>
      <c r="F70" s="7">
        <f t="shared" si="21"/>
        <v>1.1409117309212116E-2</v>
      </c>
      <c r="G70" s="2"/>
      <c r="H70" s="6">
        <v>11512.93</v>
      </c>
      <c r="I70" s="2"/>
      <c r="J70" s="7">
        <f t="shared" si="22"/>
        <v>2.5990616366485222E-2</v>
      </c>
      <c r="K70" s="2"/>
      <c r="L70" s="6">
        <f t="shared" si="23"/>
        <v>-9465.27</v>
      </c>
      <c r="M70" s="2"/>
      <c r="N70" s="7">
        <f t="shared" si="24"/>
        <v>-0.82214258229660042</v>
      </c>
      <c r="O70" s="11"/>
      <c r="P70" s="6">
        <v>115441.20999999999</v>
      </c>
      <c r="Q70" s="2"/>
      <c r="R70" s="7">
        <f t="shared" si="25"/>
        <v>4.9384225925537373E-2</v>
      </c>
      <c r="S70" s="2"/>
      <c r="T70" s="6">
        <v>99237.6</v>
      </c>
      <c r="U70" s="2"/>
      <c r="V70" s="7">
        <f t="shared" si="26"/>
        <v>3.2909129785756969E-2</v>
      </c>
      <c r="W70" s="2"/>
      <c r="X70" s="6">
        <f t="shared" si="27"/>
        <v>16203.609999999986</v>
      </c>
      <c r="Y70" s="2"/>
      <c r="Z70" s="7">
        <f t="shared" si="28"/>
        <v>0.16328095399324435</v>
      </c>
    </row>
    <row r="71" spans="1:26" s="24" customFormat="1" hidden="1" outlineLevel="2" x14ac:dyDescent="0.25">
      <c r="A71" s="26"/>
      <c r="B71" s="11" t="str">
        <f>CONCATENATE("          ", "6008", " - ", "STUDENT HOURLY-FICA EXEMPT")</f>
        <v xml:space="preserve">          6008 - STUDENT HOURLY-FICA EXEMPT</v>
      </c>
      <c r="C71" s="11"/>
      <c r="D71" s="6"/>
      <c r="E71" s="2"/>
      <c r="F71" s="7">
        <f t="shared" si="21"/>
        <v>0</v>
      </c>
      <c r="G71" s="2"/>
      <c r="H71" s="6"/>
      <c r="I71" s="2"/>
      <c r="J71" s="7">
        <f t="shared" si="22"/>
        <v>0</v>
      </c>
      <c r="K71" s="2"/>
      <c r="L71" s="6">
        <f t="shared" si="23"/>
        <v>0</v>
      </c>
      <c r="M71" s="2"/>
      <c r="N71" s="7">
        <f t="shared" si="24"/>
        <v>0</v>
      </c>
      <c r="O71" s="11"/>
      <c r="P71" s="6">
        <v>195</v>
      </c>
      <c r="Q71" s="2"/>
      <c r="R71" s="7">
        <f t="shared" si="25"/>
        <v>8.3418426188358469E-5</v>
      </c>
      <c r="S71" s="2"/>
      <c r="T71" s="6">
        <v>821.25</v>
      </c>
      <c r="U71" s="2"/>
      <c r="V71" s="7">
        <f t="shared" si="26"/>
        <v>2.7234256810475981E-4</v>
      </c>
      <c r="W71" s="2"/>
      <c r="X71" s="6">
        <f t="shared" si="27"/>
        <v>-626.25</v>
      </c>
      <c r="Y71" s="2"/>
      <c r="Z71" s="7">
        <f t="shared" si="28"/>
        <v>-0.76255707762557079</v>
      </c>
    </row>
    <row r="72" spans="1:26" s="27" customFormat="1" outlineLevel="1" collapsed="1" x14ac:dyDescent="0.25">
      <c r="A72" s="25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1029</v>
      </c>
      <c r="E72" s="1"/>
      <c r="F72" s="5">
        <f t="shared" ref="F72:F76" si="29">IF(D$12=0,0,D72/D$12)</f>
        <v>5.7333647730479021E-3</v>
      </c>
      <c r="G72" s="1"/>
      <c r="H72" s="1">
        <f>SUM(OSRRefH22_2x_0)</f>
        <v>864.92</v>
      </c>
      <c r="I72" s="1"/>
      <c r="J72" s="5">
        <f t="shared" ref="J72:J76" si="30">IF(H$12=0,0,H72/H$12)</f>
        <v>1.9525701891438926E-3</v>
      </c>
      <c r="K72" s="1"/>
      <c r="L72" s="1">
        <f t="shared" ref="L72:L76" si="31">+D72-H72</f>
        <v>164.08000000000004</v>
      </c>
      <c r="M72" s="1"/>
      <c r="N72" s="5">
        <f t="shared" ref="N72:N76" si="32">IF(H72=0,0,L72/H72)</f>
        <v>0.18970540628034968</v>
      </c>
      <c r="O72" s="13"/>
      <c r="P72" s="1">
        <f>SUM(OSRRefP22_2x_0)</f>
        <v>19215.2</v>
      </c>
      <c r="Q72" s="1"/>
      <c r="R72" s="5">
        <f t="shared" ref="R72:R76" si="33">IF(P$12=0,0,P72/P$12)</f>
        <v>8.2200089379207471E-3</v>
      </c>
      <c r="S72" s="1"/>
      <c r="T72" s="1">
        <f>SUM(OSRRefT22_2x_0)</f>
        <v>5612.72</v>
      </c>
      <c r="U72" s="1"/>
      <c r="V72" s="5">
        <f t="shared" ref="V72:V76" si="34">IF(T$12=0,0,T72/T$12)</f>
        <v>1.8612877672486423E-3</v>
      </c>
      <c r="W72" s="1"/>
      <c r="X72" s="1">
        <f t="shared" ref="X72:X76" si="35">+P72-T72</f>
        <v>13602.48</v>
      </c>
      <c r="Y72" s="1"/>
      <c r="Z72" s="5">
        <f t="shared" ref="Z72:Z76" si="36">IF(T72=0,0,X72/T72)</f>
        <v>2.4235094570903231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1029</v>
      </c>
      <c r="E73" s="2"/>
      <c r="F73" s="7">
        <f t="shared" si="29"/>
        <v>5.7333647730479021E-3</v>
      </c>
      <c r="G73" s="2"/>
      <c r="H73" s="6">
        <v>864.92</v>
      </c>
      <c r="I73" s="2"/>
      <c r="J73" s="7">
        <f t="shared" si="30"/>
        <v>1.9525701891438926E-3</v>
      </c>
      <c r="K73" s="2"/>
      <c r="L73" s="6">
        <f t="shared" si="31"/>
        <v>164.08000000000004</v>
      </c>
      <c r="M73" s="2"/>
      <c r="N73" s="7">
        <f t="shared" si="32"/>
        <v>0.18970540628034968</v>
      </c>
      <c r="O73" s="11"/>
      <c r="P73" s="6">
        <v>19215.2</v>
      </c>
      <c r="Q73" s="2"/>
      <c r="R73" s="7">
        <f t="shared" si="33"/>
        <v>8.2200089379207471E-3</v>
      </c>
      <c r="S73" s="2"/>
      <c r="T73" s="6">
        <v>5612.72</v>
      </c>
      <c r="U73" s="2"/>
      <c r="V73" s="7">
        <f t="shared" si="34"/>
        <v>1.8612877672486423E-3</v>
      </c>
      <c r="W73" s="2"/>
      <c r="X73" s="6">
        <f t="shared" si="35"/>
        <v>13602.48</v>
      </c>
      <c r="Y73" s="2"/>
      <c r="Z73" s="7">
        <f t="shared" si="36"/>
        <v>2.4235094570903231</v>
      </c>
    </row>
    <row r="74" spans="1:26" s="27" customFormat="1" outlineLevel="1" collapsed="1" x14ac:dyDescent="0.25">
      <c r="A74" s="25"/>
      <c r="B74" s="13" t="str">
        <f>CONCATENATE("     ","Discounts and Markdowns                           ")</f>
        <v xml:space="preserve">     Discounts and Markdowns                           </v>
      </c>
      <c r="C74" s="13"/>
      <c r="D74" s="1">
        <f>SUM(OSRRefD22_3x_0)</f>
        <v>41510.68</v>
      </c>
      <c r="E74" s="1"/>
      <c r="F74" s="5">
        <f t="shared" si="29"/>
        <v>0.23128850380686503</v>
      </c>
      <c r="G74" s="1"/>
      <c r="H74" s="1">
        <f>SUM(OSRRefH22_3x_0)</f>
        <v>15275.8</v>
      </c>
      <c r="I74" s="1"/>
      <c r="J74" s="5">
        <f t="shared" si="30"/>
        <v>3.4485353206451783E-2</v>
      </c>
      <c r="K74" s="1"/>
      <c r="L74" s="1">
        <f t="shared" si="31"/>
        <v>26234.880000000001</v>
      </c>
      <c r="M74" s="1"/>
      <c r="N74" s="5">
        <f t="shared" si="32"/>
        <v>1.7174144725644485</v>
      </c>
      <c r="O74" s="13"/>
      <c r="P74" s="1">
        <f>SUM(OSRRefP22_3x_0)</f>
        <v>258791.21999999997</v>
      </c>
      <c r="Q74" s="1"/>
      <c r="R74" s="5">
        <f t="shared" si="33"/>
        <v>0.110707468121873</v>
      </c>
      <c r="S74" s="1"/>
      <c r="T74" s="1">
        <f>SUM(OSRRefT22_3x_0)</f>
        <v>229069.96000000002</v>
      </c>
      <c r="U74" s="1"/>
      <c r="V74" s="5">
        <f t="shared" si="34"/>
        <v>7.5964080586976693E-2</v>
      </c>
      <c r="W74" s="1"/>
      <c r="X74" s="1">
        <f t="shared" si="35"/>
        <v>29721.259999999951</v>
      </c>
      <c r="Y74" s="1"/>
      <c r="Z74" s="5">
        <f t="shared" si="36"/>
        <v>0.12974752342035573</v>
      </c>
    </row>
    <row r="75" spans="1:26" s="24" customFormat="1" hidden="1" outlineLevel="2" x14ac:dyDescent="0.25">
      <c r="A75" s="26"/>
      <c r="B75" s="11" t="str">
        <f>CONCATENATE("          ", "6382", " - ", "DISCOUNTS/MARK DOWNS")</f>
        <v xml:space="preserve">          6382 - DISCOUNTS/MARK DOWNS</v>
      </c>
      <c r="C75" s="11"/>
      <c r="D75" s="6">
        <v>41510.68</v>
      </c>
      <c r="E75" s="2"/>
      <c r="F75" s="7">
        <f t="shared" si="29"/>
        <v>0.23128850380686503</v>
      </c>
      <c r="G75" s="2"/>
      <c r="H75" s="6">
        <v>15275.8</v>
      </c>
      <c r="I75" s="2"/>
      <c r="J75" s="7">
        <f t="shared" si="30"/>
        <v>3.4485353206451783E-2</v>
      </c>
      <c r="K75" s="2"/>
      <c r="L75" s="6">
        <f t="shared" si="31"/>
        <v>26234.880000000001</v>
      </c>
      <c r="M75" s="2"/>
      <c r="N75" s="7">
        <f t="shared" si="32"/>
        <v>1.7174144725644485</v>
      </c>
      <c r="O75" s="11"/>
      <c r="P75" s="6">
        <v>258810.61</v>
      </c>
      <c r="Q75" s="2"/>
      <c r="R75" s="7">
        <f t="shared" si="33"/>
        <v>0.11071576290794373</v>
      </c>
      <c r="S75" s="2"/>
      <c r="T75" s="6">
        <v>229075.82</v>
      </c>
      <c r="U75" s="2"/>
      <c r="V75" s="7">
        <f t="shared" si="34"/>
        <v>7.5966023877630073E-2</v>
      </c>
      <c r="W75" s="2"/>
      <c r="X75" s="6">
        <f t="shared" si="35"/>
        <v>29734.789999999979</v>
      </c>
      <c r="Y75" s="2"/>
      <c r="Z75" s="7">
        <f t="shared" si="36"/>
        <v>0.12980326775650078</v>
      </c>
    </row>
    <row r="76" spans="1:26" s="24" customFormat="1" hidden="1" outlineLevel="2" x14ac:dyDescent="0.25">
      <c r="A76" s="26"/>
      <c r="B76" s="11" t="str">
        <f>CONCATENATE("          ", "9175", " - ", "EARNED DISCOUNTS")</f>
        <v xml:space="preserve">          9175 - EARNED DISCOUNTS</v>
      </c>
      <c r="C76" s="11"/>
      <c r="D76" s="6"/>
      <c r="E76" s="2"/>
      <c r="F76" s="7">
        <f t="shared" si="29"/>
        <v>0</v>
      </c>
      <c r="G76" s="2"/>
      <c r="H76" s="6"/>
      <c r="I76" s="2"/>
      <c r="J76" s="7">
        <f t="shared" si="30"/>
        <v>0</v>
      </c>
      <c r="K76" s="2"/>
      <c r="L76" s="6">
        <f t="shared" si="31"/>
        <v>0</v>
      </c>
      <c r="M76" s="2"/>
      <c r="N76" s="7">
        <f t="shared" si="32"/>
        <v>0</v>
      </c>
      <c r="O76" s="11"/>
      <c r="P76" s="6">
        <v>-19.39</v>
      </c>
      <c r="Q76" s="2"/>
      <c r="R76" s="7">
        <f t="shared" si="33"/>
        <v>-8.2947860707295929E-6</v>
      </c>
      <c r="S76" s="2"/>
      <c r="T76" s="6">
        <v>-5.86</v>
      </c>
      <c r="U76" s="2"/>
      <c r="V76" s="7">
        <f t="shared" si="34"/>
        <v>-1.9432906533867794E-6</v>
      </c>
      <c r="W76" s="2"/>
      <c r="X76" s="6">
        <f t="shared" si="35"/>
        <v>-13.530000000000001</v>
      </c>
      <c r="Y76" s="2"/>
      <c r="Z76" s="7">
        <f t="shared" si="36"/>
        <v>2.308873720136519</v>
      </c>
    </row>
    <row r="77" spans="1:26" s="27" customFormat="1" outlineLevel="1" collapsed="1" x14ac:dyDescent="0.25">
      <c r="A77" s="25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SUM(OSRRefD22_4x_0)</f>
        <v>0</v>
      </c>
      <c r="E77" s="1"/>
      <c r="F77" s="5">
        <f t="shared" ref="F77:F81" si="37">IF(D$12=0,0,D77/D$12)</f>
        <v>0</v>
      </c>
      <c r="G77" s="1"/>
      <c r="H77" s="1">
        <f>SUM(OSRRefH22_4x_0)</f>
        <v>136.44</v>
      </c>
      <c r="I77" s="1"/>
      <c r="J77" s="5">
        <f t="shared" ref="J77:J81" si="38">IF(H$12=0,0,H77/H$12)</f>
        <v>3.0801539634508709E-4</v>
      </c>
      <c r="K77" s="1"/>
      <c r="L77" s="1">
        <f t="shared" ref="L77:L81" si="39">+D77-H77</f>
        <v>-136.44</v>
      </c>
      <c r="M77" s="1"/>
      <c r="N77" s="5">
        <f t="shared" ref="N77:N81" si="40">IF(H77=0,0,L77/H77)</f>
        <v>-1</v>
      </c>
      <c r="O77" s="13"/>
      <c r="P77" s="1">
        <f>SUM(OSRRefP22_4x_0)</f>
        <v>255.44</v>
      </c>
      <c r="Q77" s="1"/>
      <c r="R77" s="5">
        <f t="shared" ref="R77:R81" si="41">IF(P$12=0,0,P77/P$12)</f>
        <v>1.0927386043873992E-4</v>
      </c>
      <c r="S77" s="1"/>
      <c r="T77" s="1">
        <f>SUM(OSRRefT22_4x_0)</f>
        <v>680.8</v>
      </c>
      <c r="U77" s="1"/>
      <c r="V77" s="5">
        <f t="shared" ref="V77:V81" si="42">IF(T$12=0,0,T77/T$12)</f>
        <v>2.2576660014090772E-4</v>
      </c>
      <c r="W77" s="1"/>
      <c r="X77" s="1">
        <f t="shared" ref="X77:X81" si="43">+P77-T77</f>
        <v>-425.35999999999996</v>
      </c>
      <c r="Y77" s="1"/>
      <c r="Z77" s="5">
        <f t="shared" ref="Z77:Z81" si="44">IF(T77=0,0,X77/T77)</f>
        <v>-0.62479435957696827</v>
      </c>
    </row>
    <row r="78" spans="1:26" s="24" customFormat="1" hidden="1" outlineLevel="2" x14ac:dyDescent="0.25">
      <c r="A78" s="26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37"/>
        <v>0</v>
      </c>
      <c r="G78" s="2"/>
      <c r="H78" s="6">
        <v>136.44</v>
      </c>
      <c r="I78" s="2"/>
      <c r="J78" s="7">
        <f t="shared" si="38"/>
        <v>3.0801539634508709E-4</v>
      </c>
      <c r="K78" s="2"/>
      <c r="L78" s="6">
        <f t="shared" si="39"/>
        <v>-136.44</v>
      </c>
      <c r="M78" s="2"/>
      <c r="N78" s="7">
        <f t="shared" si="40"/>
        <v>-1</v>
      </c>
      <c r="O78" s="11"/>
      <c r="P78" s="6">
        <v>255.44</v>
      </c>
      <c r="Q78" s="2"/>
      <c r="R78" s="7">
        <f t="shared" si="41"/>
        <v>1.0927386043873992E-4</v>
      </c>
      <c r="S78" s="2"/>
      <c r="T78" s="6">
        <v>680.8</v>
      </c>
      <c r="U78" s="2"/>
      <c r="V78" s="7">
        <f t="shared" si="42"/>
        <v>2.2576660014090772E-4</v>
      </c>
      <c r="W78" s="2"/>
      <c r="X78" s="6">
        <f t="shared" si="43"/>
        <v>-425.35999999999996</v>
      </c>
      <c r="Y78" s="2"/>
      <c r="Z78" s="7">
        <f t="shared" si="44"/>
        <v>-0.62479435957696827</v>
      </c>
    </row>
    <row r="79" spans="1:26" s="27" customFormat="1" outlineLevel="1" collapsed="1" x14ac:dyDescent="0.25">
      <c r="A79" s="25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10.73</v>
      </c>
      <c r="E79" s="1"/>
      <c r="F79" s="5">
        <f t="shared" si="37"/>
        <v>5.9785232278721083E-5</v>
      </c>
      <c r="G79" s="1"/>
      <c r="H79" s="1">
        <f>SUM(OSRRefH22_5x_0)</f>
        <v>0</v>
      </c>
      <c r="I79" s="1"/>
      <c r="J79" s="5">
        <f t="shared" si="38"/>
        <v>0</v>
      </c>
      <c r="K79" s="1"/>
      <c r="L79" s="1">
        <f t="shared" si="39"/>
        <v>10.73</v>
      </c>
      <c r="M79" s="1"/>
      <c r="N79" s="5">
        <f t="shared" si="40"/>
        <v>0</v>
      </c>
      <c r="O79" s="13"/>
      <c r="P79" s="1">
        <f>SUM(OSRRefP22_5x_0)</f>
        <v>129.6</v>
      </c>
      <c r="Q79" s="1"/>
      <c r="R79" s="5">
        <f t="shared" si="41"/>
        <v>5.5441169405185931E-5</v>
      </c>
      <c r="S79" s="1"/>
      <c r="T79" s="1">
        <f>SUM(OSRRefT22_5x_0)</f>
        <v>32.6</v>
      </c>
      <c r="U79" s="1"/>
      <c r="V79" s="5">
        <f t="shared" si="42"/>
        <v>1.0810797832834302E-5</v>
      </c>
      <c r="W79" s="1"/>
      <c r="X79" s="1">
        <f t="shared" si="43"/>
        <v>97</v>
      </c>
      <c r="Y79" s="1"/>
      <c r="Z79" s="5">
        <f t="shared" si="44"/>
        <v>2.9754601226993862</v>
      </c>
    </row>
    <row r="80" spans="1:26" s="24" customFormat="1" hidden="1" outlineLevel="2" x14ac:dyDescent="0.25">
      <c r="A80" s="26"/>
      <c r="B80" s="11" t="str">
        <f>CONCATENATE("          ", "6305", " - ", "FREIGHT OUT")</f>
        <v xml:space="preserve">          6305 - FREIGHT OUT</v>
      </c>
      <c r="C80" s="11"/>
      <c r="D80" s="6">
        <v>10.73</v>
      </c>
      <c r="E80" s="2"/>
      <c r="F80" s="7">
        <f t="shared" si="37"/>
        <v>5.9785232278721083E-5</v>
      </c>
      <c r="G80" s="2"/>
      <c r="H80" s="6"/>
      <c r="I80" s="2"/>
      <c r="J80" s="7">
        <f t="shared" si="38"/>
        <v>0</v>
      </c>
      <c r="K80" s="2"/>
      <c r="L80" s="6">
        <f t="shared" si="39"/>
        <v>10.73</v>
      </c>
      <c r="M80" s="2"/>
      <c r="N80" s="7">
        <f t="shared" si="40"/>
        <v>0</v>
      </c>
      <c r="O80" s="11"/>
      <c r="P80" s="6">
        <v>129.1</v>
      </c>
      <c r="Q80" s="2"/>
      <c r="R80" s="7">
        <f t="shared" si="41"/>
        <v>5.5227276004702957E-5</v>
      </c>
      <c r="S80" s="2"/>
      <c r="T80" s="6">
        <v>32.6</v>
      </c>
      <c r="U80" s="2"/>
      <c r="V80" s="7">
        <f t="shared" si="42"/>
        <v>1.0810797832834302E-5</v>
      </c>
      <c r="W80" s="2"/>
      <c r="X80" s="6">
        <f t="shared" si="43"/>
        <v>96.5</v>
      </c>
      <c r="Y80" s="2"/>
      <c r="Z80" s="7">
        <f t="shared" si="44"/>
        <v>2.9601226993865031</v>
      </c>
    </row>
    <row r="81" spans="1:26" s="24" customFormat="1" hidden="1" outlineLevel="2" x14ac:dyDescent="0.25">
      <c r="A81" s="26"/>
      <c r="B81" s="11" t="str">
        <f>CONCATENATE("          ", "6307", " - ", "POSTAGE")</f>
        <v xml:space="preserve">          6307 - POSTAGE</v>
      </c>
      <c r="C81" s="11"/>
      <c r="D81" s="6"/>
      <c r="E81" s="2"/>
      <c r="F81" s="7">
        <f t="shared" si="37"/>
        <v>0</v>
      </c>
      <c r="G81" s="2"/>
      <c r="H81" s="6"/>
      <c r="I81" s="2"/>
      <c r="J81" s="7">
        <f t="shared" si="38"/>
        <v>0</v>
      </c>
      <c r="K81" s="2"/>
      <c r="L81" s="6">
        <f t="shared" si="39"/>
        <v>0</v>
      </c>
      <c r="M81" s="2"/>
      <c r="N81" s="7">
        <f t="shared" si="40"/>
        <v>0</v>
      </c>
      <c r="O81" s="11"/>
      <c r="P81" s="6">
        <v>0.5</v>
      </c>
      <c r="Q81" s="2"/>
      <c r="R81" s="7">
        <f t="shared" si="41"/>
        <v>2.1389340048297042E-7</v>
      </c>
      <c r="S81" s="2"/>
      <c r="T81" s="6"/>
      <c r="U81" s="2"/>
      <c r="V81" s="7">
        <f t="shared" si="42"/>
        <v>0</v>
      </c>
      <c r="W81" s="2"/>
      <c r="X81" s="6">
        <f t="shared" si="43"/>
        <v>0.5</v>
      </c>
      <c r="Y81" s="2"/>
      <c r="Z81" s="7">
        <f t="shared" si="44"/>
        <v>0</v>
      </c>
    </row>
    <row r="82" spans="1:26" s="27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1" si="45">IF(D$12=0,0,D82/D$12)</f>
        <v>0</v>
      </c>
      <c r="G82" s="1"/>
      <c r="H82" s="1">
        <f>SUM(OSRRefH22_6x_0)</f>
        <v>0</v>
      </c>
      <c r="I82" s="1"/>
      <c r="J82" s="5">
        <f t="shared" ref="J82:J91" si="46">IF(H$12=0,0,H82/H$12)</f>
        <v>0</v>
      </c>
      <c r="K82" s="1"/>
      <c r="L82" s="1">
        <f t="shared" ref="L82:L91" si="47">+D82-H82</f>
        <v>0</v>
      </c>
      <c r="M82" s="1"/>
      <c r="N82" s="5">
        <f t="shared" ref="N82:N91" si="48">IF(H82=0,0,L82/H82)</f>
        <v>0</v>
      </c>
      <c r="O82" s="13"/>
      <c r="P82" s="1">
        <f>SUM(OSRRefP22_6x_0)</f>
        <v>0</v>
      </c>
      <c r="Q82" s="1"/>
      <c r="R82" s="5">
        <f t="shared" ref="R82:R91" si="49">IF(P$12=0,0,P82/P$12)</f>
        <v>0</v>
      </c>
      <c r="S82" s="1"/>
      <c r="T82" s="1">
        <f>SUM(OSRRefT22_6x_0)</f>
        <v>33.06</v>
      </c>
      <c r="U82" s="1"/>
      <c r="V82" s="5">
        <f t="shared" ref="V82:V91" si="50">IF(T$12=0,0,T82/T$12)</f>
        <v>1.0963342832929509E-5</v>
      </c>
      <c r="W82" s="1"/>
      <c r="X82" s="1">
        <f t="shared" ref="X82:X91" si="51">+P82-T82</f>
        <v>-33.06</v>
      </c>
      <c r="Y82" s="1"/>
      <c r="Z82" s="5">
        <f t="shared" ref="Z82:Z91" si="52">IF(T82=0,0,X82/T82)</f>
        <v>-1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33.06</v>
      </c>
      <c r="U83" s="2"/>
      <c r="V83" s="7">
        <f t="shared" si="50"/>
        <v>1.0963342832929509E-5</v>
      </c>
      <c r="W83" s="2"/>
      <c r="X83" s="6">
        <f t="shared" si="51"/>
        <v>-33.06</v>
      </c>
      <c r="Y83" s="2"/>
      <c r="Z83" s="7">
        <f t="shared" si="52"/>
        <v>-1</v>
      </c>
    </row>
    <row r="84" spans="1:26" s="27" customFormat="1" outlineLevel="1" collapsed="1" x14ac:dyDescent="0.25">
      <c r="A84" s="25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2850</v>
      </c>
      <c r="E84" s="1"/>
      <c r="F84" s="5">
        <f t="shared" si="45"/>
        <v>1.5879581732931507E-2</v>
      </c>
      <c r="G84" s="1"/>
      <c r="H84" s="1">
        <f>SUM(OSRRefH22_7x_0)</f>
        <v>1000</v>
      </c>
      <c r="I84" s="1"/>
      <c r="J84" s="5">
        <f t="shared" si="46"/>
        <v>2.2575153645931333E-3</v>
      </c>
      <c r="K84" s="1"/>
      <c r="L84" s="1">
        <f t="shared" si="47"/>
        <v>1850</v>
      </c>
      <c r="M84" s="1"/>
      <c r="N84" s="5">
        <f t="shared" si="48"/>
        <v>1.85</v>
      </c>
      <c r="O84" s="13"/>
      <c r="P84" s="1">
        <f>SUM(OSRRefP22_7x_0)</f>
        <v>31350</v>
      </c>
      <c r="Q84" s="1"/>
      <c r="R84" s="5">
        <f t="shared" si="49"/>
        <v>1.3411116210282245E-2</v>
      </c>
      <c r="S84" s="1"/>
      <c r="T84" s="1">
        <f>SUM(OSRRefT22_7x_0)</f>
        <v>11000</v>
      </c>
      <c r="U84" s="1"/>
      <c r="V84" s="5">
        <f t="shared" si="50"/>
        <v>3.6478152196680155E-3</v>
      </c>
      <c r="W84" s="1"/>
      <c r="X84" s="1">
        <f t="shared" si="51"/>
        <v>20350</v>
      </c>
      <c r="Y84" s="1"/>
      <c r="Z84" s="5">
        <f t="shared" si="52"/>
        <v>1.85</v>
      </c>
    </row>
    <row r="85" spans="1:26" s="24" customFormat="1" hidden="1" outlineLevel="2" x14ac:dyDescent="0.25">
      <c r="A85" s="26"/>
      <c r="B85" s="11" t="str">
        <f>CONCATENATE("          ", "6408", " - ", "INVENTORY ADJUSTMENT")</f>
        <v xml:space="preserve">          6408 - INVENTORY ADJUSTMENT</v>
      </c>
      <c r="C85" s="11"/>
      <c r="D85" s="6">
        <v>2850</v>
      </c>
      <c r="E85" s="2"/>
      <c r="F85" s="7">
        <f t="shared" si="45"/>
        <v>1.5879581732931507E-2</v>
      </c>
      <c r="G85" s="2"/>
      <c r="H85" s="6">
        <v>1000</v>
      </c>
      <c r="I85" s="2"/>
      <c r="J85" s="7">
        <f t="shared" si="46"/>
        <v>2.2575153645931333E-3</v>
      </c>
      <c r="K85" s="2"/>
      <c r="L85" s="6">
        <f t="shared" si="47"/>
        <v>1850</v>
      </c>
      <c r="M85" s="2"/>
      <c r="N85" s="7">
        <f t="shared" si="48"/>
        <v>1.85</v>
      </c>
      <c r="O85" s="11"/>
      <c r="P85" s="6">
        <v>31350</v>
      </c>
      <c r="Q85" s="2"/>
      <c r="R85" s="7">
        <f t="shared" si="49"/>
        <v>1.3411116210282245E-2</v>
      </c>
      <c r="S85" s="2"/>
      <c r="T85" s="6">
        <v>11000</v>
      </c>
      <c r="U85" s="2"/>
      <c r="V85" s="7">
        <f t="shared" si="50"/>
        <v>3.6478152196680155E-3</v>
      </c>
      <c r="W85" s="2"/>
      <c r="X85" s="6">
        <f t="shared" si="51"/>
        <v>20350</v>
      </c>
      <c r="Y85" s="2"/>
      <c r="Z85" s="7">
        <f t="shared" si="52"/>
        <v>1.85</v>
      </c>
    </row>
    <row r="86" spans="1:26" s="27" customFormat="1" outlineLevel="1" collapsed="1" x14ac:dyDescent="0.25">
      <c r="A86" s="25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SUM(OSRRefD22_8x_0)</f>
        <v>0</v>
      </c>
      <c r="E86" s="1"/>
      <c r="F86" s="5">
        <f t="shared" si="45"/>
        <v>0</v>
      </c>
      <c r="G86" s="1"/>
      <c r="H86" s="1">
        <f>SUM(OSRRefH22_8x_0)</f>
        <v>0</v>
      </c>
      <c r="I86" s="1"/>
      <c r="J86" s="5">
        <f t="shared" si="46"/>
        <v>0</v>
      </c>
      <c r="K86" s="1"/>
      <c r="L86" s="1">
        <f t="shared" si="47"/>
        <v>0</v>
      </c>
      <c r="M86" s="1"/>
      <c r="N86" s="5">
        <f t="shared" si="48"/>
        <v>0</v>
      </c>
      <c r="O86" s="13"/>
      <c r="P86" s="1">
        <f>SUM(OSRRefP22_8x_0)</f>
        <v>2930</v>
      </c>
      <c r="Q86" s="1"/>
      <c r="R86" s="5">
        <f t="shared" si="49"/>
        <v>1.2534153268302067E-3</v>
      </c>
      <c r="S86" s="1"/>
      <c r="T86" s="1">
        <f>SUM(OSRRefT22_8x_0)</f>
        <v>0</v>
      </c>
      <c r="U86" s="1"/>
      <c r="V86" s="5">
        <f t="shared" si="50"/>
        <v>0</v>
      </c>
      <c r="W86" s="1"/>
      <c r="X86" s="1">
        <f t="shared" si="51"/>
        <v>2930</v>
      </c>
      <c r="Y86" s="1"/>
      <c r="Z86" s="5">
        <f t="shared" si="52"/>
        <v>0</v>
      </c>
    </row>
    <row r="87" spans="1:26" s="24" customFormat="1" hidden="1" outlineLevel="2" x14ac:dyDescent="0.25">
      <c r="A87" s="26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45"/>
        <v>0</v>
      </c>
      <c r="G87" s="2"/>
      <c r="H87" s="6"/>
      <c r="I87" s="2"/>
      <c r="J87" s="7">
        <f t="shared" si="46"/>
        <v>0</v>
      </c>
      <c r="K87" s="2"/>
      <c r="L87" s="6">
        <f t="shared" si="47"/>
        <v>0</v>
      </c>
      <c r="M87" s="2"/>
      <c r="N87" s="7">
        <f t="shared" si="48"/>
        <v>0</v>
      </c>
      <c r="O87" s="11"/>
      <c r="P87" s="6">
        <v>2930</v>
      </c>
      <c r="Q87" s="2"/>
      <c r="R87" s="7">
        <f t="shared" si="49"/>
        <v>1.2534153268302067E-3</v>
      </c>
      <c r="S87" s="2"/>
      <c r="T87" s="6"/>
      <c r="U87" s="2"/>
      <c r="V87" s="7">
        <f t="shared" si="50"/>
        <v>0</v>
      </c>
      <c r="W87" s="2"/>
      <c r="X87" s="6">
        <f t="shared" si="51"/>
        <v>2930</v>
      </c>
      <c r="Y87" s="2"/>
      <c r="Z87" s="7">
        <f t="shared" si="52"/>
        <v>0</v>
      </c>
    </row>
    <row r="88" spans="1:26" s="27" customFormat="1" outlineLevel="1" collapsed="1" x14ac:dyDescent="0.25">
      <c r="A88" s="25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SUM(OSRRefD22_9x_0)</f>
        <v>0</v>
      </c>
      <c r="E88" s="1"/>
      <c r="F88" s="5">
        <f t="shared" si="45"/>
        <v>0</v>
      </c>
      <c r="G88" s="1"/>
      <c r="H88" s="1">
        <f>SUM(OSRRefH22_9x_0)</f>
        <v>0</v>
      </c>
      <c r="I88" s="1"/>
      <c r="J88" s="5">
        <f t="shared" si="46"/>
        <v>0</v>
      </c>
      <c r="K88" s="1"/>
      <c r="L88" s="1">
        <f t="shared" si="47"/>
        <v>0</v>
      </c>
      <c r="M88" s="1"/>
      <c r="N88" s="5">
        <f t="shared" si="48"/>
        <v>0</v>
      </c>
      <c r="O88" s="13"/>
      <c r="P88" s="1">
        <f>SUM(OSRRefP22_9x_0)</f>
        <v>309.77999999999997</v>
      </c>
      <c r="Q88" s="1"/>
      <c r="R88" s="5">
        <f t="shared" si="49"/>
        <v>1.3251979520322913E-4</v>
      </c>
      <c r="S88" s="1"/>
      <c r="T88" s="1">
        <f>SUM(OSRRefT22_9x_0)</f>
        <v>208.67000000000002</v>
      </c>
      <c r="U88" s="1"/>
      <c r="V88" s="5">
        <f t="shared" si="50"/>
        <v>6.9199054717102254E-5</v>
      </c>
      <c r="W88" s="1"/>
      <c r="X88" s="1">
        <f t="shared" si="51"/>
        <v>101.10999999999996</v>
      </c>
      <c r="Y88" s="1"/>
      <c r="Z88" s="5">
        <f t="shared" si="52"/>
        <v>0.48454497531988283</v>
      </c>
    </row>
    <row r="89" spans="1:26" s="24" customFormat="1" hidden="1" outlineLevel="2" x14ac:dyDescent="0.25">
      <c r="A89" s="26"/>
      <c r="B89" s="11" t="str">
        <f>CONCATENATE("          ", "6371", " - ", "COMPUTER SOFTWARE MAINTENANCE")</f>
        <v xml:space="preserve">          6371 - COMPUTER SOFTWARE MAINTENANCE</v>
      </c>
      <c r="C89" s="11"/>
      <c r="D89" s="6"/>
      <c r="E89" s="2"/>
      <c r="F89" s="7">
        <f t="shared" si="45"/>
        <v>0</v>
      </c>
      <c r="G89" s="2"/>
      <c r="H89" s="6"/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/>
      <c r="Q89" s="2"/>
      <c r="R89" s="7">
        <f t="shared" si="49"/>
        <v>0</v>
      </c>
      <c r="S89" s="2"/>
      <c r="T89" s="6">
        <v>186.58</v>
      </c>
      <c r="U89" s="2"/>
      <c r="V89" s="7">
        <f t="shared" si="50"/>
        <v>6.1873578516878034E-5</v>
      </c>
      <c r="W89" s="2"/>
      <c r="X89" s="6">
        <f t="shared" si="51"/>
        <v>-186.58</v>
      </c>
      <c r="Y89" s="2"/>
      <c r="Z89" s="7">
        <f t="shared" si="52"/>
        <v>-1</v>
      </c>
    </row>
    <row r="90" spans="1:26" s="24" customFormat="1" hidden="1" outlineLevel="2" x14ac:dyDescent="0.25">
      <c r="A90" s="26"/>
      <c r="B90" s="11" t="str">
        <f>CONCATENATE("          ", "6373", " - ", "MAINTENANCE CONTRACTS")</f>
        <v xml:space="preserve">          6373 - MAINTENANCE CONTRACTS</v>
      </c>
      <c r="C90" s="11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1"/>
      <c r="P90" s="6">
        <v>309.77999999999997</v>
      </c>
      <c r="Q90" s="2"/>
      <c r="R90" s="7">
        <f t="shared" si="49"/>
        <v>1.3251979520322913E-4</v>
      </c>
      <c r="S90" s="2"/>
      <c r="T90" s="6"/>
      <c r="U90" s="2"/>
      <c r="V90" s="7">
        <f t="shared" si="50"/>
        <v>0</v>
      </c>
      <c r="W90" s="2"/>
      <c r="X90" s="6">
        <f t="shared" si="51"/>
        <v>309.77999999999997</v>
      </c>
      <c r="Y90" s="2"/>
      <c r="Z90" s="7">
        <f t="shared" si="52"/>
        <v>0</v>
      </c>
    </row>
    <row r="91" spans="1:26" s="24" customFormat="1" hidden="1" outlineLevel="2" x14ac:dyDescent="0.25">
      <c r="A91" s="26"/>
      <c r="B91" s="11" t="str">
        <f>CONCATENATE("          ", "6375", " - ", "OUTSIDE REPAIRS &amp; MAINTENANCE")</f>
        <v xml:space="preserve">          6375 - OUTSIDE REPAIRS &amp; MAINTENANCE</v>
      </c>
      <c r="C91" s="11"/>
      <c r="D91" s="6"/>
      <c r="E91" s="2"/>
      <c r="F91" s="7">
        <f t="shared" si="45"/>
        <v>0</v>
      </c>
      <c r="G91" s="2"/>
      <c r="H91" s="6"/>
      <c r="I91" s="2"/>
      <c r="J91" s="7">
        <f t="shared" si="46"/>
        <v>0</v>
      </c>
      <c r="K91" s="2"/>
      <c r="L91" s="6">
        <f t="shared" si="47"/>
        <v>0</v>
      </c>
      <c r="M91" s="2"/>
      <c r="N91" s="7">
        <f t="shared" si="48"/>
        <v>0</v>
      </c>
      <c r="O91" s="11"/>
      <c r="P91" s="6"/>
      <c r="Q91" s="2"/>
      <c r="R91" s="7">
        <f t="shared" si="49"/>
        <v>0</v>
      </c>
      <c r="S91" s="2"/>
      <c r="T91" s="6">
        <v>22.09</v>
      </c>
      <c r="U91" s="2"/>
      <c r="V91" s="7">
        <f t="shared" si="50"/>
        <v>7.3254762002242237E-6</v>
      </c>
      <c r="W91" s="2"/>
      <c r="X91" s="6">
        <f t="shared" si="51"/>
        <v>-22.09</v>
      </c>
      <c r="Y91" s="2"/>
      <c r="Z91" s="7">
        <f t="shared" si="52"/>
        <v>-1</v>
      </c>
    </row>
    <row r="92" spans="1:26" s="27" customFormat="1" outlineLevel="1" collapsed="1" x14ac:dyDescent="0.25">
      <c r="A92" s="25"/>
      <c r="B92" s="13" t="str">
        <f>CONCATENATE("     ","Royalty &amp; Commissions                             ")</f>
        <v xml:space="preserve">     Royalty &amp; Commissions                             </v>
      </c>
      <c r="C92" s="13"/>
      <c r="D92" s="1">
        <f>SUM(OSRRefD22_10x_0)</f>
        <v>0</v>
      </c>
      <c r="E92" s="1"/>
      <c r="F92" s="5">
        <f t="shared" ref="F92:F94" si="53">IF(D$12=0,0,D92/D$12)</f>
        <v>0</v>
      </c>
      <c r="G92" s="1"/>
      <c r="H92" s="1">
        <f>SUM(OSRRefH22_10x_0)</f>
        <v>2865.23</v>
      </c>
      <c r="I92" s="1"/>
      <c r="J92" s="5">
        <f t="shared" ref="J92:J94" si="54">IF(H$12=0,0,H92/H$12)</f>
        <v>6.4683007480931835E-3</v>
      </c>
      <c r="K92" s="1"/>
      <c r="L92" s="1">
        <f t="shared" ref="L92:L94" si="55">+D92-H92</f>
        <v>-2865.23</v>
      </c>
      <c r="M92" s="1"/>
      <c r="N92" s="5">
        <f t="shared" ref="N92:N94" si="56">IF(H92=0,0,L92/H92)</f>
        <v>-1</v>
      </c>
      <c r="O92" s="13"/>
      <c r="P92" s="1">
        <f>SUM(OSRRefP22_10x_0)</f>
        <v>40841.660000000003</v>
      </c>
      <c r="Q92" s="1"/>
      <c r="R92" s="5">
        <f t="shared" ref="R92:R94" si="57">IF(P$12=0,0,P92/P$12)</f>
        <v>1.7471523077538628E-2</v>
      </c>
      <c r="S92" s="1"/>
      <c r="T92" s="1">
        <f>SUM(OSRRefT22_10x_0)</f>
        <v>57814.420000000006</v>
      </c>
      <c r="U92" s="1"/>
      <c r="V92" s="5">
        <f t="shared" ref="V92:V94" si="58">IF(T$12=0,0,T92/T$12)</f>
        <v>1.917239283566172E-2</v>
      </c>
      <c r="W92" s="1"/>
      <c r="X92" s="1">
        <f t="shared" ref="X92:X94" si="59">+P92-T92</f>
        <v>-16972.760000000002</v>
      </c>
      <c r="Y92" s="1"/>
      <c r="Z92" s="5">
        <f t="shared" ref="Z92:Z94" si="60">IF(T92=0,0,X92/T92)</f>
        <v>-0.29357312587413315</v>
      </c>
    </row>
    <row r="93" spans="1:26" s="24" customFormat="1" hidden="1" outlineLevel="2" x14ac:dyDescent="0.25">
      <c r="A93" s="26"/>
      <c r="B93" s="11" t="str">
        <f>CONCATENATE("          ", "6253", " - ", "ROYALTY DUE ATHLETICS-LRG")</f>
        <v xml:space="preserve">          6253 - ROYALTY DUE ATHLETICS-LRG</v>
      </c>
      <c r="C93" s="11"/>
      <c r="D93" s="6"/>
      <c r="E93" s="2"/>
      <c r="F93" s="7">
        <f t="shared" si="53"/>
        <v>0</v>
      </c>
      <c r="G93" s="2"/>
      <c r="H93" s="6"/>
      <c r="I93" s="2"/>
      <c r="J93" s="7">
        <f t="shared" si="54"/>
        <v>0</v>
      </c>
      <c r="K93" s="2"/>
      <c r="L93" s="6">
        <f t="shared" si="55"/>
        <v>0</v>
      </c>
      <c r="M93" s="2"/>
      <c r="N93" s="7">
        <f t="shared" si="56"/>
        <v>0</v>
      </c>
      <c r="O93" s="11"/>
      <c r="P93" s="6">
        <v>32870.44</v>
      </c>
      <c r="Q93" s="2"/>
      <c r="R93" s="7">
        <f t="shared" si="57"/>
        <v>1.4061540373942902E-2</v>
      </c>
      <c r="S93" s="2"/>
      <c r="T93" s="6">
        <v>41365.990000000005</v>
      </c>
      <c r="U93" s="2"/>
      <c r="V93" s="7">
        <f t="shared" si="58"/>
        <v>1.3717771627148632E-2</v>
      </c>
      <c r="W93" s="2"/>
      <c r="X93" s="6">
        <f t="shared" si="59"/>
        <v>-8495.5500000000029</v>
      </c>
      <c r="Y93" s="2"/>
      <c r="Z93" s="7">
        <f t="shared" si="60"/>
        <v>-0.20537523700025073</v>
      </c>
    </row>
    <row r="94" spans="1:26" s="24" customFormat="1" hidden="1" outlineLevel="2" x14ac:dyDescent="0.25">
      <c r="A94" s="26"/>
      <c r="B94" s="11" t="str">
        <f>CONCATENATE("          ", "6254", " - ", "ROYALTY &amp; COMMISSIONS")</f>
        <v xml:space="preserve">          6254 - ROYALTY &amp; COMMISSIONS</v>
      </c>
      <c r="C94" s="11"/>
      <c r="D94" s="6"/>
      <c r="E94" s="2"/>
      <c r="F94" s="7">
        <f t="shared" si="53"/>
        <v>0</v>
      </c>
      <c r="G94" s="2"/>
      <c r="H94" s="6">
        <v>2865.23</v>
      </c>
      <c r="I94" s="2"/>
      <c r="J94" s="7">
        <f t="shared" si="54"/>
        <v>6.4683007480931835E-3</v>
      </c>
      <c r="K94" s="2"/>
      <c r="L94" s="6">
        <f t="shared" si="55"/>
        <v>-2865.23</v>
      </c>
      <c r="M94" s="2"/>
      <c r="N94" s="7">
        <f t="shared" si="56"/>
        <v>-1</v>
      </c>
      <c r="O94" s="11"/>
      <c r="P94" s="6">
        <v>7971.22</v>
      </c>
      <c r="Q94" s="2"/>
      <c r="R94" s="7">
        <f t="shared" si="57"/>
        <v>3.409982703595727E-3</v>
      </c>
      <c r="S94" s="2"/>
      <c r="T94" s="6">
        <v>16448.43</v>
      </c>
      <c r="U94" s="2"/>
      <c r="V94" s="7">
        <f t="shared" si="58"/>
        <v>5.4546212085130894E-3</v>
      </c>
      <c r="W94" s="2"/>
      <c r="X94" s="6">
        <f t="shared" si="59"/>
        <v>-8477.2099999999991</v>
      </c>
      <c r="Y94" s="2"/>
      <c r="Z94" s="7">
        <f t="shared" si="60"/>
        <v>-0.51538110324207231</v>
      </c>
    </row>
    <row r="95" spans="1:26" s="27" customFormat="1" outlineLevel="1" collapsed="1" x14ac:dyDescent="0.25">
      <c r="A95" s="25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SUM(OSRRefD22_11x_0)</f>
        <v>0</v>
      </c>
      <c r="E95" s="1"/>
      <c r="F95" s="5">
        <f t="shared" ref="F95:F97" si="61">IF(D$12=0,0,D95/D$12)</f>
        <v>0</v>
      </c>
      <c r="G95" s="1"/>
      <c r="H95" s="1">
        <f>SUM(OSRRefH22_11x_0)</f>
        <v>0</v>
      </c>
      <c r="I95" s="1"/>
      <c r="J95" s="5">
        <f t="shared" ref="J95:J97" si="62">IF(H$12=0,0,H95/H$12)</f>
        <v>0</v>
      </c>
      <c r="K95" s="1"/>
      <c r="L95" s="1">
        <f t="shared" ref="L95:L97" si="63">+D95-H95</f>
        <v>0</v>
      </c>
      <c r="M95" s="1"/>
      <c r="N95" s="5">
        <f t="shared" ref="N95:N97" si="64">IF(H95=0,0,L95/H95)</f>
        <v>0</v>
      </c>
      <c r="O95" s="13"/>
      <c r="P95" s="1">
        <f>SUM(OSRRefP22_11x_0)</f>
        <v>379.58</v>
      </c>
      <c r="Q95" s="1"/>
      <c r="R95" s="5">
        <f t="shared" ref="R95:R97" si="65">IF(P$12=0,0,P95/P$12)</f>
        <v>1.6237931391065182E-4</v>
      </c>
      <c r="S95" s="1"/>
      <c r="T95" s="1">
        <f>SUM(OSRRefT22_11x_0)</f>
        <v>710.02</v>
      </c>
      <c r="U95" s="1"/>
      <c r="V95" s="5">
        <f t="shared" ref="V95:V97" si="66">IF(T$12=0,0,T95/T$12)</f>
        <v>2.3545652384260768E-4</v>
      </c>
      <c r="W95" s="1"/>
      <c r="X95" s="1">
        <f t="shared" ref="X95:X97" si="67">+P95-T95</f>
        <v>-330.44</v>
      </c>
      <c r="Y95" s="1"/>
      <c r="Z95" s="5">
        <f t="shared" ref="Z95:Z97" si="68">IF(T95=0,0,X95/T95)</f>
        <v>-0.46539534097631052</v>
      </c>
    </row>
    <row r="96" spans="1:26" s="24" customFormat="1" hidden="1" outlineLevel="2" x14ac:dyDescent="0.25">
      <c r="A96" s="26"/>
      <c r="B96" s="11" t="str">
        <f>CONCATENATE("          ", "6258", " - ", "MEMBERSHIP DUES")</f>
        <v xml:space="preserve">          6258 - MEMBERSHIP DUES</v>
      </c>
      <c r="C96" s="11"/>
      <c r="D96" s="6"/>
      <c r="E96" s="2"/>
      <c r="F96" s="7">
        <f t="shared" si="61"/>
        <v>0</v>
      </c>
      <c r="G96" s="2"/>
      <c r="H96" s="6"/>
      <c r="I96" s="2"/>
      <c r="J96" s="7">
        <f t="shared" si="62"/>
        <v>0</v>
      </c>
      <c r="K96" s="2"/>
      <c r="L96" s="6">
        <f t="shared" si="63"/>
        <v>0</v>
      </c>
      <c r="M96" s="2"/>
      <c r="N96" s="7">
        <f t="shared" si="64"/>
        <v>0</v>
      </c>
      <c r="O96" s="11"/>
      <c r="P96" s="6">
        <v>82.94</v>
      </c>
      <c r="Q96" s="2"/>
      <c r="R96" s="7">
        <f t="shared" si="65"/>
        <v>3.548063727211513E-5</v>
      </c>
      <c r="S96" s="2"/>
      <c r="T96" s="6">
        <v>129.88</v>
      </c>
      <c r="U96" s="2"/>
      <c r="V96" s="7">
        <f t="shared" si="66"/>
        <v>4.3070749157316531E-5</v>
      </c>
      <c r="W96" s="2"/>
      <c r="X96" s="6">
        <f t="shared" si="67"/>
        <v>-46.94</v>
      </c>
      <c r="Y96" s="2"/>
      <c r="Z96" s="7">
        <f t="shared" si="68"/>
        <v>-0.36141053279950724</v>
      </c>
    </row>
    <row r="97" spans="1:26" s="24" customFormat="1" hidden="1" outlineLevel="2" x14ac:dyDescent="0.25">
      <c r="A97" s="26"/>
      <c r="B97" s="11" t="str">
        <f>CONCATENATE("          ", "6275", " - ", "SUBSCRIPTIONS")</f>
        <v xml:space="preserve">          6275 - SUBSCRIPTIONS</v>
      </c>
      <c r="C97" s="11"/>
      <c r="D97" s="6"/>
      <c r="E97" s="2"/>
      <c r="F97" s="7">
        <f t="shared" si="61"/>
        <v>0</v>
      </c>
      <c r="G97" s="2"/>
      <c r="H97" s="6"/>
      <c r="I97" s="2"/>
      <c r="J97" s="7">
        <f t="shared" si="62"/>
        <v>0</v>
      </c>
      <c r="K97" s="2"/>
      <c r="L97" s="6">
        <f t="shared" si="63"/>
        <v>0</v>
      </c>
      <c r="M97" s="2"/>
      <c r="N97" s="7">
        <f t="shared" si="64"/>
        <v>0</v>
      </c>
      <c r="O97" s="11"/>
      <c r="P97" s="6">
        <v>296.64</v>
      </c>
      <c r="Q97" s="2"/>
      <c r="R97" s="7">
        <f t="shared" si="65"/>
        <v>1.2689867663853669E-4</v>
      </c>
      <c r="S97" s="2"/>
      <c r="T97" s="6">
        <v>580.14</v>
      </c>
      <c r="U97" s="2"/>
      <c r="V97" s="7">
        <f t="shared" si="66"/>
        <v>1.9238577468529114E-4</v>
      </c>
      <c r="W97" s="2"/>
      <c r="X97" s="6">
        <f t="shared" si="67"/>
        <v>-283.5</v>
      </c>
      <c r="Y97" s="2"/>
      <c r="Z97" s="7">
        <f t="shared" si="68"/>
        <v>-0.48867514737821904</v>
      </c>
    </row>
    <row r="98" spans="1:26" s="27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SUM(OSRRefD22_12x_0)</f>
        <v>68.91</v>
      </c>
      <c r="E98" s="1"/>
      <c r="F98" s="5">
        <f t="shared" ref="F98:F103" si="69">IF(D$12=0,0,D98/D$12)</f>
        <v>3.8395157095309128E-4</v>
      </c>
      <c r="G98" s="1"/>
      <c r="H98" s="1">
        <f>SUM(OSRRefH22_12x_0)</f>
        <v>89.19</v>
      </c>
      <c r="I98" s="1"/>
      <c r="J98" s="5">
        <f t="shared" ref="J98:J103" si="70">IF(H$12=0,0,H98/H$12)</f>
        <v>2.0134779536806156E-4</v>
      </c>
      <c r="K98" s="1"/>
      <c r="L98" s="1">
        <f t="shared" ref="L98:L103" si="71">+D98-H98</f>
        <v>-20.28</v>
      </c>
      <c r="M98" s="1"/>
      <c r="N98" s="5">
        <f t="shared" ref="N98:N103" si="72">IF(H98=0,0,L98/H98)</f>
        <v>-0.22737975109317191</v>
      </c>
      <c r="O98" s="13"/>
      <c r="P98" s="1">
        <f>SUM(OSRRefP22_12x_0)</f>
        <v>3624.85</v>
      </c>
      <c r="Q98" s="1"/>
      <c r="R98" s="5">
        <f t="shared" ref="R98:R103" si="73">IF(P$12=0,0,P98/P$12)</f>
        <v>1.5506629854813907E-3</v>
      </c>
      <c r="S98" s="1"/>
      <c r="T98" s="1">
        <f>SUM(OSRRefT22_12x_0)</f>
        <v>3429.51</v>
      </c>
      <c r="U98" s="1"/>
      <c r="V98" s="5">
        <f t="shared" ref="V98:V103" si="74">IF(T$12=0,0,T98/T$12)</f>
        <v>1.1372926158185143E-3</v>
      </c>
      <c r="W98" s="1"/>
      <c r="X98" s="1">
        <f t="shared" ref="X98:X103" si="75">+P98-T98</f>
        <v>195.33999999999969</v>
      </c>
      <c r="Y98" s="1"/>
      <c r="Z98" s="5">
        <f t="shared" ref="Z98:Z103" si="76">IF(T98=0,0,X98/T98)</f>
        <v>5.6958574256963726E-2</v>
      </c>
    </row>
    <row r="99" spans="1:26" s="24" customFormat="1" hidden="1" outlineLevel="2" x14ac:dyDescent="0.25">
      <c r="A99" s="26"/>
      <c r="B99" s="11" t="str">
        <f>CONCATENATE("          ", "6234", " - ", "EXPENDABLE SUPPLIES &amp; EQUIPMEN")</f>
        <v xml:space="preserve">          6234 - EXPENDABLE SUPPLIES &amp; EQUIPMEN</v>
      </c>
      <c r="C99" s="11"/>
      <c r="D99" s="6"/>
      <c r="E99" s="2"/>
      <c r="F99" s="7">
        <f t="shared" si="69"/>
        <v>0</v>
      </c>
      <c r="G99" s="2"/>
      <c r="H99" s="6"/>
      <c r="I99" s="2"/>
      <c r="J99" s="7">
        <f t="shared" si="70"/>
        <v>0</v>
      </c>
      <c r="K99" s="2"/>
      <c r="L99" s="6">
        <f t="shared" si="71"/>
        <v>0</v>
      </c>
      <c r="M99" s="2"/>
      <c r="N99" s="7">
        <f t="shared" si="72"/>
        <v>0</v>
      </c>
      <c r="O99" s="11"/>
      <c r="P99" s="6">
        <v>672.38</v>
      </c>
      <c r="Q99" s="2"/>
      <c r="R99" s="7">
        <f t="shared" si="73"/>
        <v>2.876352892334793E-4</v>
      </c>
      <c r="S99" s="2"/>
      <c r="T99" s="6">
        <v>165.95</v>
      </c>
      <c r="U99" s="2"/>
      <c r="V99" s="7">
        <f t="shared" si="74"/>
        <v>5.5032266882173375E-5</v>
      </c>
      <c r="W99" s="2"/>
      <c r="X99" s="6">
        <f t="shared" si="75"/>
        <v>506.43</v>
      </c>
      <c r="Y99" s="2"/>
      <c r="Z99" s="7">
        <f t="shared" si="76"/>
        <v>3.0517023199758966</v>
      </c>
    </row>
    <row r="100" spans="1:26" s="24" customFormat="1" hidden="1" outlineLevel="2" x14ac:dyDescent="0.25">
      <c r="A100" s="26"/>
      <c r="B100" s="11" t="str">
        <f>CONCATENATE("          ", "6241", " - ", "OFFICE EXPENSE")</f>
        <v xml:space="preserve">          6241 - OFFICE EXPENSE</v>
      </c>
      <c r="C100" s="11"/>
      <c r="D100" s="6">
        <v>68.91</v>
      </c>
      <c r="E100" s="2"/>
      <c r="F100" s="7">
        <f t="shared" si="69"/>
        <v>3.8395157095309128E-4</v>
      </c>
      <c r="G100" s="2"/>
      <c r="H100" s="6">
        <v>89.19</v>
      </c>
      <c r="I100" s="2"/>
      <c r="J100" s="7">
        <f t="shared" si="70"/>
        <v>2.0134779536806156E-4</v>
      </c>
      <c r="K100" s="2"/>
      <c r="L100" s="6">
        <f t="shared" si="71"/>
        <v>-20.28</v>
      </c>
      <c r="M100" s="2"/>
      <c r="N100" s="7">
        <f t="shared" si="72"/>
        <v>-0.22737975109317191</v>
      </c>
      <c r="O100" s="11"/>
      <c r="P100" s="6">
        <v>2718.41</v>
      </c>
      <c r="Q100" s="2"/>
      <c r="R100" s="7">
        <f t="shared" si="73"/>
        <v>1.1628999176138233E-3</v>
      </c>
      <c r="S100" s="2"/>
      <c r="T100" s="6">
        <v>1219.83</v>
      </c>
      <c r="U100" s="2"/>
      <c r="V100" s="7">
        <f t="shared" si="74"/>
        <v>4.045194944916032E-4</v>
      </c>
      <c r="W100" s="2"/>
      <c r="X100" s="6">
        <f t="shared" si="75"/>
        <v>1498.58</v>
      </c>
      <c r="Y100" s="2"/>
      <c r="Z100" s="7">
        <f t="shared" si="76"/>
        <v>1.2285154488740235</v>
      </c>
    </row>
    <row r="101" spans="1:26" s="24" customFormat="1" hidden="1" outlineLevel="2" x14ac:dyDescent="0.25">
      <c r="A101" s="26"/>
      <c r="B101" s="11" t="str">
        <f>CONCATENATE("          ", "6245", " - ", "PRINTING")</f>
        <v xml:space="preserve">          6245 - PRINTING</v>
      </c>
      <c r="C101" s="11"/>
      <c r="D101" s="6"/>
      <c r="E101" s="2"/>
      <c r="F101" s="7">
        <f t="shared" si="69"/>
        <v>0</v>
      </c>
      <c r="G101" s="2"/>
      <c r="H101" s="6"/>
      <c r="I101" s="2"/>
      <c r="J101" s="7">
        <f t="shared" si="70"/>
        <v>0</v>
      </c>
      <c r="K101" s="2"/>
      <c r="L101" s="6">
        <f t="shared" si="71"/>
        <v>0</v>
      </c>
      <c r="M101" s="2"/>
      <c r="N101" s="7">
        <f t="shared" si="72"/>
        <v>0</v>
      </c>
      <c r="O101" s="11"/>
      <c r="P101" s="6">
        <v>-528.98</v>
      </c>
      <c r="Q101" s="2"/>
      <c r="R101" s="7">
        <f t="shared" si="73"/>
        <v>-2.262906619749634E-4</v>
      </c>
      <c r="S101" s="2"/>
      <c r="T101" s="6">
        <v>220.5</v>
      </c>
      <c r="U101" s="2"/>
      <c r="V101" s="7">
        <f t="shared" si="74"/>
        <v>7.3122114176072496E-5</v>
      </c>
      <c r="W101" s="2"/>
      <c r="X101" s="6">
        <f t="shared" si="75"/>
        <v>-749.48</v>
      </c>
      <c r="Y101" s="2"/>
      <c r="Z101" s="7">
        <f t="shared" si="76"/>
        <v>-3.3990022675736964</v>
      </c>
    </row>
    <row r="102" spans="1:26" s="24" customFormat="1" hidden="1" outlineLevel="2" x14ac:dyDescent="0.25">
      <c r="A102" s="26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69"/>
        <v>0</v>
      </c>
      <c r="G102" s="2"/>
      <c r="H102" s="6"/>
      <c r="I102" s="2"/>
      <c r="J102" s="7">
        <f t="shared" si="70"/>
        <v>0</v>
      </c>
      <c r="K102" s="2"/>
      <c r="L102" s="6">
        <f t="shared" si="71"/>
        <v>0</v>
      </c>
      <c r="M102" s="2"/>
      <c r="N102" s="7">
        <f t="shared" si="72"/>
        <v>0</v>
      </c>
      <c r="O102" s="11"/>
      <c r="P102" s="6">
        <v>763.04</v>
      </c>
      <c r="Q102" s="2"/>
      <c r="R102" s="7">
        <f t="shared" si="73"/>
        <v>3.264184406090515E-4</v>
      </c>
      <c r="S102" s="2"/>
      <c r="T102" s="6">
        <v>1247.95</v>
      </c>
      <c r="U102" s="2"/>
      <c r="V102" s="7">
        <f t="shared" si="74"/>
        <v>4.1384463667133638E-4</v>
      </c>
      <c r="W102" s="2"/>
      <c r="X102" s="6">
        <f t="shared" si="75"/>
        <v>-484.91000000000008</v>
      </c>
      <c r="Y102" s="2"/>
      <c r="Z102" s="7">
        <f t="shared" si="76"/>
        <v>-0.38856524700508838</v>
      </c>
    </row>
    <row r="103" spans="1:26" s="24" customFormat="1" hidden="1" outlineLevel="2" x14ac:dyDescent="0.25">
      <c r="A103" s="26"/>
      <c r="B103" s="11" t="str">
        <f>CONCATENATE("          ", "6248", " - ", "UNIFORMS")</f>
        <v xml:space="preserve">          6248 - UNIFORMS</v>
      </c>
      <c r="C103" s="11"/>
      <c r="D103" s="6"/>
      <c r="E103" s="2"/>
      <c r="F103" s="7">
        <f t="shared" si="69"/>
        <v>0</v>
      </c>
      <c r="G103" s="2"/>
      <c r="H103" s="6"/>
      <c r="I103" s="2"/>
      <c r="J103" s="7">
        <f t="shared" si="70"/>
        <v>0</v>
      </c>
      <c r="K103" s="2"/>
      <c r="L103" s="6">
        <f t="shared" si="71"/>
        <v>0</v>
      </c>
      <c r="M103" s="2"/>
      <c r="N103" s="7">
        <f t="shared" si="72"/>
        <v>0</v>
      </c>
      <c r="O103" s="11"/>
      <c r="P103" s="6"/>
      <c r="Q103" s="2"/>
      <c r="R103" s="7">
        <f t="shared" si="73"/>
        <v>0</v>
      </c>
      <c r="S103" s="2"/>
      <c r="T103" s="6">
        <v>575.28</v>
      </c>
      <c r="U103" s="2"/>
      <c r="V103" s="7">
        <f t="shared" si="74"/>
        <v>1.9077410359732871E-4</v>
      </c>
      <c r="W103" s="2"/>
      <c r="X103" s="6">
        <f t="shared" si="75"/>
        <v>-575.28</v>
      </c>
      <c r="Y103" s="2"/>
      <c r="Z103" s="7">
        <f t="shared" si="76"/>
        <v>-1</v>
      </c>
    </row>
    <row r="104" spans="1:26" s="27" customFormat="1" outlineLevel="1" collapsed="1" x14ac:dyDescent="0.25">
      <c r="A104" s="25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SUM(OSRRefD22_13x_0)</f>
        <v>509.31</v>
      </c>
      <c r="E104" s="1"/>
      <c r="F104" s="5">
        <f t="shared" ref="F104:F110" si="77">IF(D$12=0,0,D104/D$12)</f>
        <v>2.8377648324208232E-3</v>
      </c>
      <c r="G104" s="1"/>
      <c r="H104" s="1">
        <f>SUM(OSRRefH22_13x_0)</f>
        <v>525.34</v>
      </c>
      <c r="I104" s="1"/>
      <c r="J104" s="5">
        <f t="shared" ref="J104:J110" si="78">IF(H$12=0,0,H104/H$12)</f>
        <v>1.1859631216353567E-3</v>
      </c>
      <c r="K104" s="1"/>
      <c r="L104" s="1">
        <f t="shared" ref="L104:L110" si="79">+D104-H104</f>
        <v>-16.03000000000003</v>
      </c>
      <c r="M104" s="1"/>
      <c r="N104" s="5">
        <f t="shared" ref="N104:N110" si="80">IF(H104=0,0,L104/H104)</f>
        <v>-3.0513572162789868E-2</v>
      </c>
      <c r="O104" s="13"/>
      <c r="P104" s="1">
        <f>SUM(OSRRefP22_13x_0)</f>
        <v>5913.65</v>
      </c>
      <c r="Q104" s="1"/>
      <c r="R104" s="5">
        <f t="shared" ref="R104:R110" si="81">IF(P$12=0,0,P104/P$12)</f>
        <v>2.5297814155322358E-3</v>
      </c>
      <c r="S104" s="1"/>
      <c r="T104" s="1">
        <f>SUM(OSRRefT22_13x_0)</f>
        <v>5575</v>
      </c>
      <c r="U104" s="1"/>
      <c r="V104" s="5">
        <f t="shared" ref="V104:V110" si="82">IF(T$12=0,0,T104/T$12)</f>
        <v>1.8487790772408351E-3</v>
      </c>
      <c r="W104" s="1"/>
      <c r="X104" s="1">
        <f t="shared" ref="X104:X110" si="83">+P104-T104</f>
        <v>338.64999999999964</v>
      </c>
      <c r="Y104" s="1"/>
      <c r="Z104" s="5">
        <f t="shared" ref="Z104:Z110" si="84">IF(T104=0,0,X104/T104)</f>
        <v>6.0744394618834019E-2</v>
      </c>
    </row>
    <row r="105" spans="1:26" s="24" customFormat="1" hidden="1" outlineLevel="2" x14ac:dyDescent="0.25">
      <c r="A105" s="26"/>
      <c r="B105" s="11" t="str">
        <f>CONCATENATE("          ", "6309", " - ", "TELEPHONE")</f>
        <v xml:space="preserve">          6309 - TELEPHONE</v>
      </c>
      <c r="C105" s="11"/>
      <c r="D105" s="6">
        <v>509.31</v>
      </c>
      <c r="E105" s="2"/>
      <c r="F105" s="7">
        <f t="shared" si="77"/>
        <v>2.8377648324208232E-3</v>
      </c>
      <c r="G105" s="2"/>
      <c r="H105" s="6">
        <v>525.34</v>
      </c>
      <c r="I105" s="2"/>
      <c r="J105" s="7">
        <f t="shared" si="78"/>
        <v>1.1859631216353567E-3</v>
      </c>
      <c r="K105" s="2"/>
      <c r="L105" s="6">
        <f t="shared" si="79"/>
        <v>-16.03000000000003</v>
      </c>
      <c r="M105" s="2"/>
      <c r="N105" s="7">
        <f t="shared" si="80"/>
        <v>-3.0513572162789868E-2</v>
      </c>
      <c r="O105" s="11"/>
      <c r="P105" s="6">
        <v>5913.65</v>
      </c>
      <c r="Q105" s="2"/>
      <c r="R105" s="7">
        <f t="shared" si="81"/>
        <v>2.5297814155322358E-3</v>
      </c>
      <c r="S105" s="2"/>
      <c r="T105" s="6">
        <v>5575</v>
      </c>
      <c r="U105" s="2"/>
      <c r="V105" s="7">
        <f t="shared" si="82"/>
        <v>1.8487790772408351E-3</v>
      </c>
      <c r="W105" s="2"/>
      <c r="X105" s="6">
        <f t="shared" si="83"/>
        <v>338.64999999999964</v>
      </c>
      <c r="Y105" s="2"/>
      <c r="Z105" s="7">
        <f t="shared" si="84"/>
        <v>6.0744394618834019E-2</v>
      </c>
    </row>
    <row r="106" spans="1:26" s="27" customFormat="1" outlineLevel="1" collapsed="1" x14ac:dyDescent="0.25">
      <c r="A106" s="25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SUM(OSRRefD22_14x_0)</f>
        <v>0</v>
      </c>
      <c r="E106" s="1"/>
      <c r="F106" s="5">
        <f t="shared" si="77"/>
        <v>0</v>
      </c>
      <c r="G106" s="1"/>
      <c r="H106" s="1">
        <f>SUM(OSRRefH22_14x_0)</f>
        <v>0</v>
      </c>
      <c r="I106" s="1"/>
      <c r="J106" s="5">
        <f t="shared" si="78"/>
        <v>0</v>
      </c>
      <c r="K106" s="1"/>
      <c r="L106" s="1">
        <f t="shared" si="79"/>
        <v>0</v>
      </c>
      <c r="M106" s="1"/>
      <c r="N106" s="5">
        <f t="shared" si="80"/>
        <v>0</v>
      </c>
      <c r="O106" s="13"/>
      <c r="P106" s="1">
        <f>SUM(OSRRefP22_14x_0)</f>
        <v>3651.14</v>
      </c>
      <c r="Q106" s="1"/>
      <c r="R106" s="5">
        <f t="shared" si="81"/>
        <v>1.5619095004787851E-3</v>
      </c>
      <c r="S106" s="1"/>
      <c r="T106" s="1">
        <f>SUM(OSRRefT22_14x_0)</f>
        <v>3454.53</v>
      </c>
      <c r="U106" s="1"/>
      <c r="V106" s="5">
        <f t="shared" si="82"/>
        <v>1.1455897373454319E-3</v>
      </c>
      <c r="W106" s="1"/>
      <c r="X106" s="1">
        <f t="shared" si="83"/>
        <v>196.60999999999967</v>
      </c>
      <c r="Y106" s="1"/>
      <c r="Z106" s="5">
        <f t="shared" si="84"/>
        <v>5.6913675666443675E-2</v>
      </c>
    </row>
    <row r="107" spans="1:26" s="24" customFormat="1" hidden="1" outlineLevel="2" x14ac:dyDescent="0.25">
      <c r="A107" s="26"/>
      <c r="B107" s="11" t="str">
        <f>CONCATENATE("          ", "6376", " - ", "TRAINING")</f>
        <v xml:space="preserve">          6376 - TRAINING</v>
      </c>
      <c r="C107" s="11"/>
      <c r="D107" s="6"/>
      <c r="E107" s="2"/>
      <c r="F107" s="7">
        <f t="shared" si="77"/>
        <v>0</v>
      </c>
      <c r="G107" s="2"/>
      <c r="H107" s="6"/>
      <c r="I107" s="2"/>
      <c r="J107" s="7">
        <f t="shared" si="78"/>
        <v>0</v>
      </c>
      <c r="K107" s="2"/>
      <c r="L107" s="6">
        <f t="shared" si="79"/>
        <v>0</v>
      </c>
      <c r="M107" s="2"/>
      <c r="N107" s="7">
        <f t="shared" si="80"/>
        <v>0</v>
      </c>
      <c r="O107" s="11"/>
      <c r="P107" s="6">
        <v>3651.14</v>
      </c>
      <c r="Q107" s="2"/>
      <c r="R107" s="7">
        <f t="shared" si="81"/>
        <v>1.5619095004787851E-3</v>
      </c>
      <c r="S107" s="2"/>
      <c r="T107" s="6">
        <v>3454.53</v>
      </c>
      <c r="U107" s="2"/>
      <c r="V107" s="7">
        <f t="shared" si="82"/>
        <v>1.1455897373454319E-3</v>
      </c>
      <c r="W107" s="2"/>
      <c r="X107" s="6">
        <f t="shared" si="83"/>
        <v>196.60999999999967</v>
      </c>
      <c r="Y107" s="2"/>
      <c r="Z107" s="7">
        <f t="shared" si="84"/>
        <v>5.6913675666443675E-2</v>
      </c>
    </row>
    <row r="108" spans="1:26" s="27" customFormat="1" outlineLevel="1" collapsed="1" x14ac:dyDescent="0.25">
      <c r="A108" s="25"/>
      <c r="B108" s="13" t="str">
        <f>CONCATENATE("     ","Travel                                            ")</f>
        <v xml:space="preserve">     Travel                                            </v>
      </c>
      <c r="C108" s="13"/>
      <c r="D108" s="1">
        <f>SUM(OSRRefD22_15x_0)</f>
        <v>0</v>
      </c>
      <c r="E108" s="1"/>
      <c r="F108" s="5">
        <f t="shared" si="77"/>
        <v>0</v>
      </c>
      <c r="G108" s="1"/>
      <c r="H108" s="1">
        <f>SUM(OSRRefH22_15x_0)</f>
        <v>0</v>
      </c>
      <c r="I108" s="1"/>
      <c r="J108" s="5">
        <f t="shared" si="78"/>
        <v>0</v>
      </c>
      <c r="K108" s="1"/>
      <c r="L108" s="1">
        <f t="shared" si="79"/>
        <v>0</v>
      </c>
      <c r="M108" s="1"/>
      <c r="N108" s="5">
        <f t="shared" si="80"/>
        <v>0</v>
      </c>
      <c r="O108" s="13"/>
      <c r="P108" s="1">
        <f>SUM(OSRRefP22_15x_0)</f>
        <v>-99.159999999999982</v>
      </c>
      <c r="Q108" s="1"/>
      <c r="R108" s="5">
        <f t="shared" si="81"/>
        <v>-4.2419339183782686E-5</v>
      </c>
      <c r="S108" s="1"/>
      <c r="T108" s="1">
        <f>SUM(OSRRefT22_15x_0)</f>
        <v>109.35</v>
      </c>
      <c r="U108" s="1"/>
      <c r="V108" s="5">
        <f t="shared" si="82"/>
        <v>3.6262599479154319E-5</v>
      </c>
      <c r="W108" s="1"/>
      <c r="X108" s="1">
        <f t="shared" si="83"/>
        <v>-208.51</v>
      </c>
      <c r="Y108" s="1"/>
      <c r="Z108" s="5">
        <f t="shared" si="84"/>
        <v>-1.9068129858253315</v>
      </c>
    </row>
    <row r="109" spans="1:26" s="24" customFormat="1" hidden="1" outlineLevel="2" x14ac:dyDescent="0.25">
      <c r="A109" s="26"/>
      <c r="B109" s="11" t="str">
        <f>CONCATENATE("          ", "6292", " - ", "TRAVEL/CONFERENCE")</f>
        <v xml:space="preserve">          6292 - TRAVEL/CONFERENCE</v>
      </c>
      <c r="C109" s="11"/>
      <c r="D109" s="6"/>
      <c r="E109" s="2"/>
      <c r="F109" s="7">
        <f t="shared" si="77"/>
        <v>0</v>
      </c>
      <c r="G109" s="2"/>
      <c r="H109" s="6"/>
      <c r="I109" s="2"/>
      <c r="J109" s="7">
        <f t="shared" si="78"/>
        <v>0</v>
      </c>
      <c r="K109" s="2"/>
      <c r="L109" s="6">
        <f t="shared" si="79"/>
        <v>0</v>
      </c>
      <c r="M109" s="2"/>
      <c r="N109" s="7">
        <f t="shared" si="80"/>
        <v>0</v>
      </c>
      <c r="O109" s="11"/>
      <c r="P109" s="6">
        <v>107.04</v>
      </c>
      <c r="Q109" s="2"/>
      <c r="R109" s="7">
        <f t="shared" si="81"/>
        <v>4.5790299175394311E-5</v>
      </c>
      <c r="S109" s="2"/>
      <c r="T109" s="6"/>
      <c r="U109" s="2"/>
      <c r="V109" s="7">
        <f t="shared" si="82"/>
        <v>0</v>
      </c>
      <c r="W109" s="2"/>
      <c r="X109" s="6">
        <f t="shared" si="83"/>
        <v>107.04</v>
      </c>
      <c r="Y109" s="2"/>
      <c r="Z109" s="7">
        <f t="shared" si="84"/>
        <v>0</v>
      </c>
    </row>
    <row r="110" spans="1:26" s="24" customFormat="1" hidden="1" outlineLevel="2" x14ac:dyDescent="0.25">
      <c r="A110" s="26"/>
      <c r="B110" s="11" t="str">
        <f>CONCATENATE("          ", "6294", " - ", "TRAVEL OPERATIONAL")</f>
        <v xml:space="preserve">          6294 - TRAVEL OPERATIONAL</v>
      </c>
      <c r="C110" s="11"/>
      <c r="D110" s="6"/>
      <c r="E110" s="2"/>
      <c r="F110" s="7">
        <f t="shared" si="77"/>
        <v>0</v>
      </c>
      <c r="G110" s="2"/>
      <c r="H110" s="6"/>
      <c r="I110" s="2"/>
      <c r="J110" s="7">
        <f t="shared" si="78"/>
        <v>0</v>
      </c>
      <c r="K110" s="2"/>
      <c r="L110" s="6">
        <f t="shared" si="79"/>
        <v>0</v>
      </c>
      <c r="M110" s="2"/>
      <c r="N110" s="7">
        <f t="shared" si="80"/>
        <v>0</v>
      </c>
      <c r="O110" s="11"/>
      <c r="P110" s="6">
        <v>-206.2</v>
      </c>
      <c r="Q110" s="2"/>
      <c r="R110" s="7">
        <f t="shared" si="81"/>
        <v>-8.8209638359176997E-5</v>
      </c>
      <c r="S110" s="2"/>
      <c r="T110" s="6">
        <v>109.35</v>
      </c>
      <c r="U110" s="2"/>
      <c r="V110" s="7">
        <f t="shared" si="82"/>
        <v>3.6262599479154319E-5</v>
      </c>
      <c r="W110" s="2"/>
      <c r="X110" s="6">
        <f t="shared" si="83"/>
        <v>-315.54999999999995</v>
      </c>
      <c r="Y110" s="2"/>
      <c r="Z110" s="7">
        <f t="shared" si="84"/>
        <v>-2.8856881572930955</v>
      </c>
    </row>
    <row r="111" spans="1:26" s="58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8" t="s">
        <v>0</v>
      </c>
      <c r="C112" s="10"/>
      <c r="D112" s="4">
        <f>SUM(OSRRefD25x_0)</f>
        <v>0</v>
      </c>
      <c r="E112" s="4"/>
      <c r="F112" s="12">
        <f t="shared" ref="F112:F113" si="85">IF(D$12=0,0,D112/D$12)</f>
        <v>0</v>
      </c>
      <c r="G112" s="4"/>
      <c r="H112" s="4">
        <f>SUM(OSRRefH25x_0)</f>
        <v>0</v>
      </c>
      <c r="I112" s="4"/>
      <c r="J112" s="12">
        <f t="shared" ref="J112:J113" si="86">IF(H$12=0,0,H112/H$12)</f>
        <v>0</v>
      </c>
      <c r="K112" s="4"/>
      <c r="L112" s="4">
        <f t="shared" ref="L112:L113" si="87">+D112-H112</f>
        <v>0</v>
      </c>
      <c r="M112" s="4"/>
      <c r="N112" s="12">
        <f t="shared" ref="N112:N113" si="88">IF(H112=0,0,L112/H112)</f>
        <v>0</v>
      </c>
      <c r="O112" s="10"/>
      <c r="P112" s="4">
        <f>SUM(OSRRefP25x_0)</f>
        <v>96904.89</v>
      </c>
      <c r="Q112" s="4"/>
      <c r="R112" s="12">
        <f t="shared" ref="R112:R113" si="89">IF(P$12=0,0,P112/P$12)</f>
        <v>4.1454632891056394E-2</v>
      </c>
      <c r="S112" s="4"/>
      <c r="T112" s="4">
        <f>SUM(OSRRefT25x_0)</f>
        <v>112587.23</v>
      </c>
      <c r="U112" s="4"/>
      <c r="V112" s="12">
        <f t="shared" ref="V112:V113" si="90">IF(T$12=0,0,T112/T$12)</f>
        <v>3.7336128284933032E-2</v>
      </c>
      <c r="W112" s="4"/>
      <c r="X112" s="4">
        <f t="shared" ref="X112:X113" si="91">+P112-T112</f>
        <v>-15682.339999999997</v>
      </c>
      <c r="Y112" s="4"/>
      <c r="Z112" s="12">
        <f t="shared" ref="Z112:Z113" si="92">IF(T112=0,0,X112/T112)</f>
        <v>-0.13929057496129887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0</f>
        <v>0</v>
      </c>
      <c r="E113" s="2"/>
      <c r="F113" s="19">
        <f t="shared" si="85"/>
        <v>0</v>
      </c>
      <c r="G113" s="2"/>
      <c r="H113" s="2">
        <f>0</f>
        <v>0</v>
      </c>
      <c r="I113" s="2"/>
      <c r="J113" s="19">
        <f t="shared" si="86"/>
        <v>0</v>
      </c>
      <c r="K113" s="2"/>
      <c r="L113" s="2">
        <f t="shared" si="87"/>
        <v>0</v>
      </c>
      <c r="M113" s="2"/>
      <c r="N113" s="19">
        <f t="shared" si="88"/>
        <v>0</v>
      </c>
      <c r="O113" s="11"/>
      <c r="P113" s="2">
        <f>--96904.89</f>
        <v>96904.89</v>
      </c>
      <c r="Q113" s="2"/>
      <c r="R113" s="19">
        <f t="shared" si="89"/>
        <v>4.1454632891056394E-2</v>
      </c>
      <c r="S113" s="2"/>
      <c r="T113" s="2">
        <f>--112587.23</f>
        <v>112587.23</v>
      </c>
      <c r="U113" s="2"/>
      <c r="V113" s="19">
        <f t="shared" si="90"/>
        <v>3.7336128284933032E-2</v>
      </c>
      <c r="W113" s="2"/>
      <c r="X113" s="2">
        <f t="shared" si="91"/>
        <v>-15682.339999999997</v>
      </c>
      <c r="Y113" s="2"/>
      <c r="Z113" s="19">
        <f t="shared" si="92"/>
        <v>-0.13929057496129887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9" t="s">
        <v>3</v>
      </c>
      <c r="C115" s="29"/>
      <c r="D115" s="21">
        <f>+D53-D55+D112</f>
        <v>26649.67000000002</v>
      </c>
      <c r="E115" s="14"/>
      <c r="F115" s="20">
        <f>IF(D$12=0,0,D115/D$12)</f>
        <v>0.14848617997215899</v>
      </c>
      <c r="G115" s="14"/>
      <c r="H115" s="21">
        <f>+H53-H55+H112</f>
        <v>172250.06000000006</v>
      </c>
      <c r="I115" s="14"/>
      <c r="J115" s="20">
        <f>IF(H$12=0,0,H115/H$12)</f>
        <v>0.38885715700208923</v>
      </c>
      <c r="K115" s="16"/>
      <c r="L115" s="21">
        <f>+D115-H115</f>
        <v>-145600.39000000004</v>
      </c>
      <c r="M115" s="16"/>
      <c r="N115" s="20">
        <f>IF(H115=0,0,L115/H115)</f>
        <v>-0.84528498857997492</v>
      </c>
      <c r="O115" s="28"/>
      <c r="P115" s="21">
        <f>+P53-P55+P112</f>
        <v>653641.59000000008</v>
      </c>
      <c r="Q115" s="14"/>
      <c r="R115" s="20">
        <f>IF(P$12=0,0,P115/P$12)</f>
        <v>0.27961924476439115</v>
      </c>
      <c r="S115" s="14"/>
      <c r="T115" s="21">
        <f>+T53-T55+T112</f>
        <v>1139770.1300000013</v>
      </c>
      <c r="U115" s="14"/>
      <c r="V115" s="20">
        <f>IF(T$12=0,0,T115/T$12)</f>
        <v>0.3779700751942725</v>
      </c>
      <c r="W115" s="16"/>
      <c r="X115" s="21">
        <f>+P115-T115</f>
        <v>-486128.5400000012</v>
      </c>
      <c r="Y115" s="16"/>
      <c r="Z115" s="20">
        <f>IF(T115=0,0,X115/T115)</f>
        <v>-0.42651454640244052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31768.85</v>
      </c>
      <c r="E117" s="4"/>
      <c r="F117" s="12">
        <f>IF(D$12=0,0,D117/D$12)</f>
        <v>0.1770091403986811</v>
      </c>
      <c r="G117" s="4"/>
      <c r="H117" s="4">
        <v>46218.93</v>
      </c>
      <c r="I117" s="4"/>
      <c r="J117" s="12">
        <f>IF(H$12=0,0,H117/H$12)</f>
        <v>0.10433994461005451</v>
      </c>
      <c r="K117" s="4"/>
      <c r="L117" s="4">
        <f>+D117-H117</f>
        <v>-14450.080000000002</v>
      </c>
      <c r="M117" s="4"/>
      <c r="N117" s="12">
        <f>IF(H117=0,0,L117/H117)</f>
        <v>-0.31264419146007927</v>
      </c>
      <c r="O117" s="10"/>
      <c r="P117" s="4">
        <v>276809.89</v>
      </c>
      <c r="Q117" s="4"/>
      <c r="R117" s="12">
        <f>IF(P$12=0,0,P117/P$12)</f>
        <v>0.11841561731883399</v>
      </c>
      <c r="S117" s="4"/>
      <c r="T117" s="4">
        <v>313656.32999999996</v>
      </c>
      <c r="U117" s="4"/>
      <c r="V117" s="12">
        <f>IF(T$12=0,0,T117/T$12)</f>
        <v>0.10401457584720122</v>
      </c>
      <c r="W117" s="4"/>
      <c r="X117" s="4">
        <f>+P117-T117</f>
        <v>-36846.439999999944</v>
      </c>
      <c r="Y117" s="4"/>
      <c r="Z117" s="12">
        <f>IF(T117=0,0,X117/T117)</f>
        <v>-0.11747392440637161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4</v>
      </c>
      <c r="C119" s="29"/>
      <c r="D119" s="35">
        <f>+D115-D117</f>
        <v>-5119.1799999999785</v>
      </c>
      <c r="E119" s="14"/>
      <c r="F119" s="32">
        <f>IF(D$12=0,0,D119/D$12)</f>
        <v>-2.8522960426522095E-2</v>
      </c>
      <c r="G119" s="14"/>
      <c r="H119" s="35">
        <f>+H115-H117</f>
        <v>126031.13000000006</v>
      </c>
      <c r="I119" s="14"/>
      <c r="J119" s="32">
        <f>IF(H$12=0,0,H119/H$12)</f>
        <v>0.2845172123920347</v>
      </c>
      <c r="K119" s="16"/>
      <c r="L119" s="35">
        <f>D119-H119</f>
        <v>-131150.31000000006</v>
      </c>
      <c r="M119" s="16"/>
      <c r="N119" s="32">
        <f>IF(H119=0,0,L119/H119)</f>
        <v>-1.0406183773802551</v>
      </c>
      <c r="O119" s="28"/>
      <c r="P119" s="35">
        <f>+P115-P117</f>
        <v>376831.70000000007</v>
      </c>
      <c r="Q119" s="14"/>
      <c r="R119" s="32">
        <f>IF(P$12=0,0,P119/P$12)</f>
        <v>0.16120362744555716</v>
      </c>
      <c r="S119" s="14"/>
      <c r="T119" s="35">
        <f>+T115-T117</f>
        <v>826113.80000000133</v>
      </c>
      <c r="U119" s="14"/>
      <c r="V119" s="32">
        <f>IF(T$12=0,0,T119/T$12)</f>
        <v>0.27395549934707125</v>
      </c>
      <c r="W119" s="16"/>
      <c r="X119" s="35">
        <f>P119-T119</f>
        <v>-449282.10000000126</v>
      </c>
      <c r="Y119" s="16"/>
      <c r="Z119" s="32">
        <f>IF(T119=0,0,X119/T119)</f>
        <v>-0.54385013299620533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5</v>
      </c>
      <c r="C122" s="29"/>
      <c r="D122" s="36">
        <f>SUM(D119:D121)</f>
        <v>-5119.1799999999785</v>
      </c>
      <c r="E122" s="14"/>
      <c r="F122" s="33">
        <f>IF(D$12=0,0,D122/D$12)</f>
        <v>-2.8522960426522095E-2</v>
      </c>
      <c r="G122" s="14"/>
      <c r="H122" s="36">
        <f>SUM(H119:H121)</f>
        <v>126031.13000000006</v>
      </c>
      <c r="I122" s="14"/>
      <c r="J122" s="33">
        <f>IF(H$12=0,0,H122/H$12)</f>
        <v>0.2845172123920347</v>
      </c>
      <c r="K122" s="16"/>
      <c r="L122" s="36">
        <f>+D122-H122</f>
        <v>-131150.31000000006</v>
      </c>
      <c r="M122" s="16"/>
      <c r="N122" s="33">
        <f>IF(H122=0,0,L122/H122)</f>
        <v>-1.0406183773802551</v>
      </c>
      <c r="O122" s="28"/>
      <c r="P122" s="36">
        <f>SUM(P119:P121)</f>
        <v>376831.70000000007</v>
      </c>
      <c r="Q122" s="14"/>
      <c r="R122" s="33">
        <f>IF(P$12=0,0,P122/P$12)</f>
        <v>0.16120362744555716</v>
      </c>
      <c r="S122" s="14"/>
      <c r="T122" s="36">
        <f>SUM(T119:T121)</f>
        <v>826113.80000000133</v>
      </c>
      <c r="U122" s="14"/>
      <c r="V122" s="33">
        <f>IF(T$12=0,0,T122/T$12)</f>
        <v>0.27395549934707125</v>
      </c>
      <c r="W122" s="16"/>
      <c r="X122" s="36">
        <f>+P122-T122</f>
        <v>-449282.10000000126</v>
      </c>
      <c r="Y122" s="16"/>
      <c r="Z122" s="33">
        <f>IF(T122=0,0,X122/T122)</f>
        <v>-0.54385013299620533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55">
        <v>43992.375595451391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62" t="s">
        <v>313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53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7"/>
  <sheetViews>
    <sheetView zoomScale="80" workbookViewId="0">
      <pane xSplit="3" ySplit="10" topLeftCell="D5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56410.109999999993</v>
      </c>
      <c r="I12" s="4"/>
      <c r="J12" s="12"/>
      <c r="K12" s="4"/>
      <c r="L12" s="4">
        <f t="shared" ref="L12:L36" si="0">+D12-H12</f>
        <v>-56410.109999999993</v>
      </c>
      <c r="M12" s="4"/>
      <c r="N12" s="12">
        <f t="shared" ref="N12:N36" si="1">IF(H12=0,0,L12/H12)</f>
        <v>-1</v>
      </c>
      <c r="O12" s="10"/>
      <c r="P12" s="4">
        <f>SUM(OSRRefP13x_0)</f>
        <v>429840.87</v>
      </c>
      <c r="Q12" s="4"/>
      <c r="R12" s="12"/>
      <c r="S12" s="4"/>
      <c r="T12" s="4">
        <f>SUM(OSRRefT13x_0)</f>
        <v>460815.57000000012</v>
      </c>
      <c r="U12" s="4"/>
      <c r="V12" s="12"/>
      <c r="W12" s="4"/>
      <c r="X12" s="4">
        <f t="shared" ref="X12:X36" si="2">+P12-T12</f>
        <v>-30974.700000000128</v>
      </c>
      <c r="Y12" s="4"/>
      <c r="Z12" s="12">
        <f t="shared" ref="Z12:Z36" si="3">IF(T12=0,0,X12/T12)</f>
        <v>-6.7217129837865763E-2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6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>
        <f>--16.53</f>
        <v>16.53</v>
      </c>
      <c r="U14" s="2"/>
      <c r="V14" s="19"/>
      <c r="W14" s="2"/>
      <c r="X14" s="2">
        <f t="shared" si="2"/>
        <v>-2.9100000000000019</v>
      </c>
      <c r="Y14" s="2"/>
      <c r="Z14" s="19">
        <f t="shared" si="3"/>
        <v>-0.17604355716878414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--62.95</f>
        <v>62.95</v>
      </c>
      <c r="I15" s="2"/>
      <c r="J15" s="19"/>
      <c r="K15" s="2"/>
      <c r="L15" s="2">
        <f t="shared" si="0"/>
        <v>-62.95</v>
      </c>
      <c r="M15" s="2"/>
      <c r="N15" s="19">
        <f t="shared" si="1"/>
        <v>-1</v>
      </c>
      <c r="O15" s="11"/>
      <c r="P15" s="2">
        <f>--229.51</f>
        <v>229.51</v>
      </c>
      <c r="Q15" s="2"/>
      <c r="R15" s="19"/>
      <c r="S15" s="2"/>
      <c r="T15" s="2">
        <f>--513.89</f>
        <v>513.89</v>
      </c>
      <c r="U15" s="2"/>
      <c r="V15" s="19"/>
      <c r="W15" s="2"/>
      <c r="X15" s="2">
        <f t="shared" si="2"/>
        <v>-284.38</v>
      </c>
      <c r="Y15" s="2"/>
      <c r="Z15" s="19">
        <f t="shared" si="3"/>
        <v>-0.55338691159586684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>
        <f>--310.93</f>
        <v>310.93</v>
      </c>
      <c r="U16" s="2"/>
      <c r="V16" s="19"/>
      <c r="W16" s="2"/>
      <c r="X16" s="2">
        <f t="shared" si="2"/>
        <v>-149.34</v>
      </c>
      <c r="Y16" s="2"/>
      <c r="Z16" s="19">
        <f t="shared" si="3"/>
        <v>-0.48030103238671085</v>
      </c>
    </row>
    <row r="17" spans="1:26" s="24" customFormat="1" hidden="1" outlineLevel="1" x14ac:dyDescent="0.25">
      <c r="A17" s="44"/>
      <c r="B17" s="11" t="str">
        <f>CONCATENATE("          ", "4034", " - ", "TAXABLE SALES-SODA")</f>
        <v xml:space="preserve">          4034 - TAXABLE SALES-SODA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--70.49</f>
        <v>70.489999999999995</v>
      </c>
      <c r="U17" s="2"/>
      <c r="V17" s="19"/>
      <c r="W17" s="2"/>
      <c r="X17" s="2">
        <f t="shared" si="2"/>
        <v>-70.489999999999995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"4040", " - ", "TAXABLE SALES-LOGO CLOTHING")</f>
        <v xml:space="preserve">          4040 - TAXABLE SALES-LOGO CLOTHING</v>
      </c>
      <c r="C18" s="11"/>
      <c r="D18" s="2">
        <f t="shared" si="4"/>
        <v>0</v>
      </c>
      <c r="E18" s="2"/>
      <c r="F18" s="19"/>
      <c r="G18" s="2"/>
      <c r="H18" s="2">
        <f>--43508.86</f>
        <v>43508.86</v>
      </c>
      <c r="I18" s="2"/>
      <c r="J18" s="19"/>
      <c r="K18" s="2"/>
      <c r="L18" s="2">
        <f t="shared" si="0"/>
        <v>-43508.86</v>
      </c>
      <c r="M18" s="2"/>
      <c r="N18" s="19">
        <f t="shared" si="1"/>
        <v>-1</v>
      </c>
      <c r="O18" s="11"/>
      <c r="P18" s="2">
        <f>--361873.67</f>
        <v>361873.67</v>
      </c>
      <c r="Q18" s="2"/>
      <c r="R18" s="19"/>
      <c r="S18" s="2"/>
      <c r="T18" s="2">
        <f>--384437.73</f>
        <v>384437.73</v>
      </c>
      <c r="U18" s="2"/>
      <c r="V18" s="19"/>
      <c r="W18" s="2"/>
      <c r="X18" s="2">
        <f t="shared" si="2"/>
        <v>-22564.059999999998</v>
      </c>
      <c r="Y18" s="2"/>
      <c r="Z18" s="19">
        <f t="shared" si="3"/>
        <v>-5.8693666722046241E-2</v>
      </c>
    </row>
    <row r="19" spans="1:26" s="24" customFormat="1" hidden="1" outlineLevel="1" x14ac:dyDescent="0.25">
      <c r="A19" s="44"/>
      <c r="B19" s="11" t="str">
        <f>CONCATENATE("          ", "4041", " - ", "TAXABLE SALES-LOGO GIFTS")</f>
        <v xml:space="preserve">          4041 - TAXABLE SALES-LOGO GIFTS</v>
      </c>
      <c r="C19" s="11"/>
      <c r="D19" s="2">
        <f t="shared" si="4"/>
        <v>0</v>
      </c>
      <c r="E19" s="2"/>
      <c r="F19" s="19"/>
      <c r="G19" s="2"/>
      <c r="H19" s="2">
        <f>--11009.66</f>
        <v>11009.66</v>
      </c>
      <c r="I19" s="2"/>
      <c r="J19" s="19"/>
      <c r="K19" s="2"/>
      <c r="L19" s="2">
        <f t="shared" si="0"/>
        <v>-11009.66</v>
      </c>
      <c r="M19" s="2"/>
      <c r="N19" s="19">
        <f t="shared" si="1"/>
        <v>-1</v>
      </c>
      <c r="O19" s="11"/>
      <c r="P19" s="2">
        <f>--48550.34</f>
        <v>48550.34</v>
      </c>
      <c r="Q19" s="2"/>
      <c r="R19" s="19"/>
      <c r="S19" s="2"/>
      <c r="T19" s="2">
        <f>--60285.47</f>
        <v>60285.47</v>
      </c>
      <c r="U19" s="2"/>
      <c r="V19" s="19"/>
      <c r="W19" s="2"/>
      <c r="X19" s="2">
        <f t="shared" si="2"/>
        <v>-11735.130000000005</v>
      </c>
      <c r="Y19" s="2"/>
      <c r="Z19" s="19">
        <f t="shared" si="3"/>
        <v>-0.1946593432878603</v>
      </c>
    </row>
    <row r="20" spans="1:26" s="24" customFormat="1" hidden="1" outlineLevel="1" x14ac:dyDescent="0.25">
      <c r="A20" s="44"/>
      <c r="B20" s="11" t="str">
        <f>CONCATENATE("          ", "4042", " - ", "TAXABLE SALES-EVERYDAY GIFTS")</f>
        <v xml:space="preserve">          4042 - TAXABLE SALES-EVERYDAY GIFTS</v>
      </c>
      <c r="C20" s="11"/>
      <c r="D20" s="2">
        <f t="shared" si="4"/>
        <v>0</v>
      </c>
      <c r="E20" s="2"/>
      <c r="F20" s="19"/>
      <c r="G20" s="2"/>
      <c r="H20" s="2">
        <f>--1655.04</f>
        <v>1655.04</v>
      </c>
      <c r="I20" s="2"/>
      <c r="J20" s="19"/>
      <c r="K20" s="2"/>
      <c r="L20" s="2">
        <f t="shared" si="0"/>
        <v>-1655.04</v>
      </c>
      <c r="M20" s="2"/>
      <c r="N20" s="19">
        <f t="shared" si="1"/>
        <v>-1</v>
      </c>
      <c r="O20" s="11"/>
      <c r="P20" s="2">
        <f>--30701.57</f>
        <v>30701.57</v>
      </c>
      <c r="Q20" s="2"/>
      <c r="R20" s="19"/>
      <c r="S20" s="2"/>
      <c r="T20" s="2">
        <f>--27408.78</f>
        <v>27408.78</v>
      </c>
      <c r="U20" s="2"/>
      <c r="V20" s="19"/>
      <c r="W20" s="2"/>
      <c r="X20" s="2">
        <f t="shared" si="2"/>
        <v>3292.7900000000009</v>
      </c>
      <c r="Y20" s="2"/>
      <c r="Z20" s="19">
        <f t="shared" si="3"/>
        <v>0.12013632128099101</v>
      </c>
    </row>
    <row r="21" spans="1:26" s="24" customFormat="1" hidden="1" outlineLevel="1" x14ac:dyDescent="0.25">
      <c r="A21" s="44"/>
      <c r="B21" s="11" t="str">
        <f>CONCATENATE("          ", "4043", " - ", "TAXABLE SALES-CARDS")</f>
        <v xml:space="preserve">          4043 - TAXABLE SALES-CARDS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--1544.02</f>
        <v>1544.02</v>
      </c>
      <c r="Q21" s="2"/>
      <c r="R21" s="19"/>
      <c r="S21" s="2"/>
      <c r="T21" s="2">
        <f>--349.77</f>
        <v>349.77</v>
      </c>
      <c r="U21" s="2"/>
      <c r="V21" s="19"/>
      <c r="W21" s="2"/>
      <c r="X21" s="2">
        <f t="shared" si="2"/>
        <v>1194.25</v>
      </c>
      <c r="Y21" s="2"/>
      <c r="Z21" s="19">
        <f t="shared" si="3"/>
        <v>3.4143865969065388</v>
      </c>
    </row>
    <row r="22" spans="1:26" s="24" customFormat="1" hidden="1" outlineLevel="1" x14ac:dyDescent="0.25">
      <c r="A22" s="44"/>
      <c r="B22" s="11" t="str">
        <f>CONCATENATE("          ", "4044", " - ", "TAXABLE SALES-ACCESSORIES")</f>
        <v xml:space="preserve">          4044 - TAXABLE SALES-ACCESSORIES</v>
      </c>
      <c r="C22" s="11"/>
      <c r="D22" s="2">
        <f t="shared" si="4"/>
        <v>0</v>
      </c>
      <c r="E22" s="2"/>
      <c r="F22" s="19"/>
      <c r="G22" s="2"/>
      <c r="H22" s="2">
        <f>--506.45</f>
        <v>506.45</v>
      </c>
      <c r="I22" s="2"/>
      <c r="J22" s="19"/>
      <c r="K22" s="2"/>
      <c r="L22" s="2">
        <f t="shared" si="0"/>
        <v>-506.45</v>
      </c>
      <c r="M22" s="2"/>
      <c r="N22" s="19">
        <f t="shared" si="1"/>
        <v>-1</v>
      </c>
      <c r="O22" s="11"/>
      <c r="P22" s="2">
        <f>--4101.55</f>
        <v>4101.55</v>
      </c>
      <c r="Q22" s="2"/>
      <c r="R22" s="19"/>
      <c r="S22" s="2"/>
      <c r="T22" s="2">
        <f>--5817.81</f>
        <v>5817.81</v>
      </c>
      <c r="U22" s="2"/>
      <c r="V22" s="19"/>
      <c r="W22" s="2"/>
      <c r="X22" s="2">
        <f t="shared" si="2"/>
        <v>-1716.2600000000002</v>
      </c>
      <c r="Y22" s="2"/>
      <c r="Z22" s="19">
        <f t="shared" si="3"/>
        <v>-0.29500103991020676</v>
      </c>
    </row>
    <row r="23" spans="1:26" s="24" customFormat="1" hidden="1" outlineLevel="1" x14ac:dyDescent="0.25">
      <c r="A23" s="44"/>
      <c r="B23" s="11" t="str">
        <f>CONCATENATE("          ", "4045", " - ", "TAXABLE SALES-SPECIAL ORDERS")</f>
        <v xml:space="preserve">          4045 - TAXABLE SALES-SPECIAL ORDERS</v>
      </c>
      <c r="C23" s="11"/>
      <c r="D23" s="2">
        <f t="shared" si="4"/>
        <v>0</v>
      </c>
      <c r="E23" s="2"/>
      <c r="F23" s="19"/>
      <c r="G23" s="2"/>
      <c r="H23" s="2">
        <f>--1168</f>
        <v>1168</v>
      </c>
      <c r="I23" s="2"/>
      <c r="J23" s="19"/>
      <c r="K23" s="2"/>
      <c r="L23" s="2">
        <f t="shared" si="0"/>
        <v>-1168</v>
      </c>
      <c r="M23" s="2"/>
      <c r="N23" s="19">
        <f t="shared" si="1"/>
        <v>-1</v>
      </c>
      <c r="O23" s="11"/>
      <c r="P23" s="2">
        <f>--467.6</f>
        <v>467.6</v>
      </c>
      <c r="Q23" s="2"/>
      <c r="R23" s="19"/>
      <c r="S23" s="2"/>
      <c r="T23" s="2">
        <f>--2161.69</f>
        <v>2161.69</v>
      </c>
      <c r="U23" s="2"/>
      <c r="V23" s="19"/>
      <c r="W23" s="2"/>
      <c r="X23" s="2">
        <f t="shared" si="2"/>
        <v>-1694.0900000000001</v>
      </c>
      <c r="Y23" s="2"/>
      <c r="Z23" s="19">
        <f t="shared" si="3"/>
        <v>-0.7836877628152048</v>
      </c>
    </row>
    <row r="24" spans="1:26" s="24" customFormat="1" hidden="1" outlineLevel="1" x14ac:dyDescent="0.25">
      <c r="A24" s="44"/>
      <c r="B24" s="11" t="str">
        <f>CONCATENATE("          ", "4092", " - ", "TAXABLE SALES-GRAD MERCH")</f>
        <v xml:space="preserve">          4092 - TAXABLE SALES-GRAD MERCH</v>
      </c>
      <c r="C24" s="11"/>
      <c r="D24" s="2">
        <f t="shared" si="4"/>
        <v>0</v>
      </c>
      <c r="E24" s="2"/>
      <c r="F24" s="19"/>
      <c r="G24" s="2"/>
      <c r="H24" s="2">
        <f>--359.55</f>
        <v>359.55</v>
      </c>
      <c r="I24" s="2"/>
      <c r="J24" s="19"/>
      <c r="K24" s="2"/>
      <c r="L24" s="2">
        <f t="shared" si="0"/>
        <v>-359.55</v>
      </c>
      <c r="M24" s="2"/>
      <c r="N24" s="19">
        <f t="shared" si="1"/>
        <v>-1</v>
      </c>
      <c r="O24" s="11"/>
      <c r="P24" s="2">
        <f>-39.95</f>
        <v>-39.950000000000003</v>
      </c>
      <c r="Q24" s="2"/>
      <c r="R24" s="19"/>
      <c r="S24" s="2"/>
      <c r="T24" s="2">
        <f>--364.55</f>
        <v>364.55</v>
      </c>
      <c r="U24" s="2"/>
      <c r="V24" s="19"/>
      <c r="W24" s="2"/>
      <c r="X24" s="2">
        <f t="shared" si="2"/>
        <v>-404.5</v>
      </c>
      <c r="Y24" s="2"/>
      <c r="Z24" s="19">
        <f t="shared" si="3"/>
        <v>-1.1095871622548348</v>
      </c>
    </row>
    <row r="25" spans="1:26" s="24" customFormat="1" hidden="1" outlineLevel="1" x14ac:dyDescent="0.25">
      <c r="A25" s="44"/>
      <c r="B25" s="11" t="str">
        <f>CONCATENATE("          ", "4095", " - ", "TAXABLE SALES-CUSTOMER SERVICE")</f>
        <v xml:space="preserve">          4095 - TAXABLE SALES-CUSTOMER SERVICE</v>
      </c>
      <c r="C25" s="11"/>
      <c r="D25" s="2">
        <f t="shared" si="4"/>
        <v>0</v>
      </c>
      <c r="E25" s="2"/>
      <c r="F25" s="19"/>
      <c r="G25" s="2"/>
      <c r="H25" s="2">
        <f>--10.89</f>
        <v>10.89</v>
      </c>
      <c r="I25" s="2"/>
      <c r="J25" s="19"/>
      <c r="K25" s="2"/>
      <c r="L25" s="2">
        <f t="shared" si="0"/>
        <v>-10.89</v>
      </c>
      <c r="M25" s="2"/>
      <c r="N25" s="19">
        <f t="shared" si="1"/>
        <v>-1</v>
      </c>
      <c r="O25" s="11"/>
      <c r="P25" s="2">
        <f>--29.7</f>
        <v>29.7</v>
      </c>
      <c r="Q25" s="2"/>
      <c r="R25" s="19"/>
      <c r="S25" s="2"/>
      <c r="T25" s="2">
        <f>--47.52</f>
        <v>47.52</v>
      </c>
      <c r="U25" s="2"/>
      <c r="V25" s="19"/>
      <c r="W25" s="2"/>
      <c r="X25" s="2">
        <f t="shared" si="2"/>
        <v>-17.820000000000004</v>
      </c>
      <c r="Y25" s="2"/>
      <c r="Z25" s="19">
        <f t="shared" si="3"/>
        <v>-0.37500000000000006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si="4"/>
        <v>0</v>
      </c>
      <c r="E26" s="2"/>
      <c r="F26" s="19"/>
      <c r="G26" s="2"/>
      <c r="H26" s="2">
        <f>--10.5</f>
        <v>10.5</v>
      </c>
      <c r="I26" s="2"/>
      <c r="J26" s="19"/>
      <c r="K26" s="2"/>
      <c r="L26" s="2">
        <f t="shared" si="0"/>
        <v>-10.5</v>
      </c>
      <c r="M26" s="2"/>
      <c r="N26" s="19">
        <f t="shared" si="1"/>
        <v>-1</v>
      </c>
      <c r="O26" s="11"/>
      <c r="P26" s="2">
        <f>--123</f>
        <v>123</v>
      </c>
      <c r="Q26" s="2"/>
      <c r="R26" s="19"/>
      <c r="S26" s="2"/>
      <c r="T26" s="2">
        <f>--117</f>
        <v>117</v>
      </c>
      <c r="U26" s="2"/>
      <c r="V26" s="19"/>
      <c r="W26" s="2"/>
      <c r="X26" s="2">
        <f t="shared" si="2"/>
        <v>6</v>
      </c>
      <c r="Y26" s="2"/>
      <c r="Z26" s="19">
        <f t="shared" si="3"/>
        <v>5.128205128205128E-2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 t="shared" si="4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--101.5</f>
        <v>101.5</v>
      </c>
      <c r="U27" s="2"/>
      <c r="V27" s="19"/>
      <c r="W27" s="2"/>
      <c r="X27" s="2">
        <f t="shared" si="2"/>
        <v>-101.5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 t="shared" si="4"/>
        <v>0</v>
      </c>
      <c r="E28" s="2"/>
      <c r="F28" s="19"/>
      <c r="G28" s="2"/>
      <c r="H28" s="2">
        <f>--57.35</f>
        <v>57.35</v>
      </c>
      <c r="I28" s="2"/>
      <c r="J28" s="19"/>
      <c r="K28" s="2"/>
      <c r="L28" s="2">
        <f t="shared" si="0"/>
        <v>-57.35</v>
      </c>
      <c r="M28" s="2"/>
      <c r="N28" s="19">
        <f t="shared" si="1"/>
        <v>-1</v>
      </c>
      <c r="O28" s="11"/>
      <c r="P28" s="2">
        <f>--591.86</f>
        <v>591.86</v>
      </c>
      <c r="Q28" s="2"/>
      <c r="R28" s="19"/>
      <c r="S28" s="2"/>
      <c r="T28" s="2">
        <f>--595.88</f>
        <v>595.88</v>
      </c>
      <c r="U28" s="2"/>
      <c r="V28" s="19"/>
      <c r="W28" s="2"/>
      <c r="X28" s="2">
        <f t="shared" si="2"/>
        <v>-4.0199999999999818</v>
      </c>
      <c r="Y28" s="2"/>
      <c r="Z28" s="19">
        <f t="shared" si="3"/>
        <v>-6.7463247633751458E-3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 t="shared" ref="H29:H30" si="7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-134.8</f>
        <v>-134.80000000000001</v>
      </c>
      <c r="Q29" s="2"/>
      <c r="R29" s="19"/>
      <c r="S29" s="2"/>
      <c r="T29" s="2">
        <f>-5.07</f>
        <v>-5.07</v>
      </c>
      <c r="U29" s="2"/>
      <c r="V29" s="19"/>
      <c r="W29" s="2"/>
      <c r="X29" s="2">
        <f t="shared" si="2"/>
        <v>-129.73000000000002</v>
      </c>
      <c r="Y29" s="2"/>
      <c r="Z29" s="19">
        <f t="shared" si="3"/>
        <v>25.587771203155821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 t="shared" si="7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-4.99</f>
        <v>-4.99</v>
      </c>
      <c r="U30" s="2"/>
      <c r="V30" s="19"/>
      <c r="W30" s="2"/>
      <c r="X30" s="2">
        <f t="shared" si="2"/>
        <v>4.99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 t="shared" si="4"/>
        <v>0</v>
      </c>
      <c r="E31" s="2"/>
      <c r="F31" s="19"/>
      <c r="G31" s="2"/>
      <c r="H31" s="2">
        <f>-1705.55</f>
        <v>-1705.55</v>
      </c>
      <c r="I31" s="2"/>
      <c r="J31" s="19"/>
      <c r="K31" s="2"/>
      <c r="L31" s="2">
        <f t="shared" si="0"/>
        <v>1705.55</v>
      </c>
      <c r="M31" s="2"/>
      <c r="N31" s="19">
        <f t="shared" si="1"/>
        <v>-1</v>
      </c>
      <c r="O31" s="11"/>
      <c r="P31" s="2">
        <f>-16122.19</f>
        <v>-16122.19</v>
      </c>
      <c r="Q31" s="2"/>
      <c r="R31" s="19"/>
      <c r="S31" s="2"/>
      <c r="T31" s="2">
        <f>-19790.67</f>
        <v>-19790.669999999998</v>
      </c>
      <c r="U31" s="2"/>
      <c r="V31" s="19"/>
      <c r="W31" s="2"/>
      <c r="X31" s="2">
        <f t="shared" si="2"/>
        <v>3668.4799999999977</v>
      </c>
      <c r="Y31" s="2"/>
      <c r="Z31" s="19">
        <f t="shared" si="3"/>
        <v>-0.18536411349388363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 t="shared" si="4"/>
        <v>0</v>
      </c>
      <c r="E32" s="2"/>
      <c r="F32" s="19"/>
      <c r="G32" s="2"/>
      <c r="H32" s="2">
        <f>-129.65</f>
        <v>-129.65</v>
      </c>
      <c r="I32" s="2"/>
      <c r="J32" s="19"/>
      <c r="K32" s="2"/>
      <c r="L32" s="2">
        <f t="shared" si="0"/>
        <v>129.65</v>
      </c>
      <c r="M32" s="2"/>
      <c r="N32" s="19">
        <f t="shared" si="1"/>
        <v>-1</v>
      </c>
      <c r="O32" s="11"/>
      <c r="P32" s="2">
        <f>-1260.11</f>
        <v>-1260.1099999999999</v>
      </c>
      <c r="Q32" s="2"/>
      <c r="R32" s="19"/>
      <c r="S32" s="2"/>
      <c r="T32" s="2">
        <f>-1141.69</f>
        <v>-1141.69</v>
      </c>
      <c r="U32" s="2"/>
      <c r="V32" s="19"/>
      <c r="W32" s="2"/>
      <c r="X32" s="2">
        <f t="shared" si="2"/>
        <v>-118.41999999999985</v>
      </c>
      <c r="Y32" s="2"/>
      <c r="Z32" s="19">
        <f t="shared" si="3"/>
        <v>0.10372342755038569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 t="shared" si="4"/>
        <v>0</v>
      </c>
      <c r="E33" s="2"/>
      <c r="F33" s="19"/>
      <c r="G33" s="2"/>
      <c r="H33" s="2">
        <f>-7.94</f>
        <v>-7.94</v>
      </c>
      <c r="I33" s="2"/>
      <c r="J33" s="19"/>
      <c r="K33" s="2"/>
      <c r="L33" s="2">
        <f t="shared" si="0"/>
        <v>7.94</v>
      </c>
      <c r="M33" s="2"/>
      <c r="N33" s="19">
        <f t="shared" si="1"/>
        <v>-1</v>
      </c>
      <c r="O33" s="11"/>
      <c r="P33" s="2">
        <f>-850.31</f>
        <v>-850.31</v>
      </c>
      <c r="Q33" s="2"/>
      <c r="R33" s="19"/>
      <c r="S33" s="2"/>
      <c r="T33" s="2">
        <f>-475.8</f>
        <v>-475.8</v>
      </c>
      <c r="U33" s="2"/>
      <c r="V33" s="19"/>
      <c r="W33" s="2"/>
      <c r="X33" s="2">
        <f t="shared" si="2"/>
        <v>-374.50999999999993</v>
      </c>
      <c r="Y33" s="2"/>
      <c r="Z33" s="19">
        <f t="shared" si="3"/>
        <v>0.78711643547709109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si="4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-130.8</f>
        <v>-130.80000000000001</v>
      </c>
      <c r="Q34" s="2"/>
      <c r="R34" s="19"/>
      <c r="S34" s="2"/>
      <c r="T34" s="2">
        <f>-229.85</f>
        <v>-229.85</v>
      </c>
      <c r="U34" s="2"/>
      <c r="V34" s="19"/>
      <c r="W34" s="2"/>
      <c r="X34" s="2">
        <f t="shared" si="2"/>
        <v>99.049999999999983</v>
      </c>
      <c r="Y34" s="2"/>
      <c r="Z34" s="19">
        <f t="shared" si="3"/>
        <v>-0.43093321731564055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4"/>
        <v>0</v>
      </c>
      <c r="E35" s="2"/>
      <c r="F35" s="19"/>
      <c r="G35" s="2"/>
      <c r="H35" s="2">
        <f>-96</f>
        <v>-96</v>
      </c>
      <c r="I35" s="2"/>
      <c r="J35" s="19"/>
      <c r="K35" s="2"/>
      <c r="L35" s="2">
        <f t="shared" si="0"/>
        <v>96</v>
      </c>
      <c r="M35" s="2"/>
      <c r="N35" s="19">
        <f t="shared" si="1"/>
        <v>-1</v>
      </c>
      <c r="O35" s="11"/>
      <c r="P35" s="2">
        <f>-9.99</f>
        <v>-9.99</v>
      </c>
      <c r="Q35" s="2"/>
      <c r="R35" s="19"/>
      <c r="S35" s="2"/>
      <c r="T35" s="2">
        <f>-135.9</f>
        <v>-135.9</v>
      </c>
      <c r="U35" s="2"/>
      <c r="V35" s="19"/>
      <c r="W35" s="2"/>
      <c r="X35" s="2">
        <f t="shared" si="2"/>
        <v>125.91000000000001</v>
      </c>
      <c r="Y35" s="2"/>
      <c r="Z35" s="19">
        <f t="shared" si="3"/>
        <v>-0.92649006622516561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4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--0.99</f>
        <v>0.99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0.99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3790.1599999999958</v>
      </c>
      <c r="E38" s="4"/>
      <c r="F38" s="12">
        <f t="shared" ref="F38:F56" si="8">IF(D$12=0,0,D38/D$12)</f>
        <v>0</v>
      </c>
      <c r="G38" s="4"/>
      <c r="H38" s="4">
        <f>SUM(OSRRefH16x_0)</f>
        <v>23235.09</v>
      </c>
      <c r="I38" s="4"/>
      <c r="J38" s="12">
        <f t="shared" ref="J38:J56" si="9">IF(H$12=0,0,H38/H$12)</f>
        <v>0.41189584632967391</v>
      </c>
      <c r="K38" s="4"/>
      <c r="L38" s="4">
        <f t="shared" ref="L38:L56" si="10">+D38-H38</f>
        <v>-19444.930000000004</v>
      </c>
      <c r="M38" s="4"/>
      <c r="N38" s="12">
        <f t="shared" ref="N38:N56" si="11">IF(H38=0,0,L38/H38)</f>
        <v>-0.8368777568754846</v>
      </c>
      <c r="O38" s="10"/>
      <c r="P38" s="4">
        <f>SUM(OSRRefP16x_0)</f>
        <v>187107.74999999997</v>
      </c>
      <c r="Q38" s="4"/>
      <c r="R38" s="12">
        <f t="shared" ref="R38:R56" si="12">IF(P$12=0,0,P38/P$12)</f>
        <v>0.43529539199006362</v>
      </c>
      <c r="S38" s="4"/>
      <c r="T38" s="4">
        <f>SUM(OSRRefT16x_0)</f>
        <v>194648.22</v>
      </c>
      <c r="U38" s="4"/>
      <c r="V38" s="12">
        <f t="shared" ref="V38:V56" si="13">IF(T$12=0,0,T38/T$12)</f>
        <v>0.42239939939529375</v>
      </c>
      <c r="W38" s="4"/>
      <c r="X38" s="4">
        <f t="shared" ref="X38:X56" si="14">+P38-T38</f>
        <v>-7540.4700000000303</v>
      </c>
      <c r="Y38" s="4"/>
      <c r="Z38" s="12">
        <f t="shared" ref="Z38:Z56" si="15">IF(T38=0,0,X38/T38)</f>
        <v>-3.8738962010544102E-2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8"/>
        <v>0</v>
      </c>
      <c r="G39" s="2"/>
      <c r="H39" s="2"/>
      <c r="I39" s="2"/>
      <c r="J39" s="19">
        <f t="shared" si="9"/>
        <v>0</v>
      </c>
      <c r="K39" s="2"/>
      <c r="L39" s="2">
        <f t="shared" si="10"/>
        <v>0</v>
      </c>
      <c r="M39" s="2"/>
      <c r="N39" s="19">
        <f t="shared" si="11"/>
        <v>0</v>
      </c>
      <c r="O39" s="11"/>
      <c r="P39" s="2">
        <v>6.06</v>
      </c>
      <c r="Q39" s="2"/>
      <c r="R39" s="19">
        <f t="shared" si="12"/>
        <v>1.4098240588429853E-5</v>
      </c>
      <c r="S39" s="2"/>
      <c r="T39" s="2">
        <v>19.149999999999999</v>
      </c>
      <c r="U39" s="2"/>
      <c r="V39" s="19">
        <f t="shared" si="13"/>
        <v>4.1556755558411348E-5</v>
      </c>
      <c r="W39" s="2"/>
      <c r="X39" s="2">
        <f t="shared" si="14"/>
        <v>-13.09</v>
      </c>
      <c r="Y39" s="2"/>
      <c r="Z39" s="19">
        <f t="shared" si="15"/>
        <v>-0.68355091383812017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-4.26</v>
      </c>
      <c r="E40" s="2"/>
      <c r="F40" s="19">
        <f t="shared" si="8"/>
        <v>0</v>
      </c>
      <c r="G40" s="2"/>
      <c r="H40" s="2">
        <v>34</v>
      </c>
      <c r="I40" s="2"/>
      <c r="J40" s="19">
        <f t="shared" si="9"/>
        <v>6.0272883708257271E-4</v>
      </c>
      <c r="K40" s="2"/>
      <c r="L40" s="2">
        <f t="shared" si="10"/>
        <v>-38.26</v>
      </c>
      <c r="M40" s="2"/>
      <c r="N40" s="19">
        <f t="shared" si="11"/>
        <v>-1.1252941176470588</v>
      </c>
      <c r="O40" s="11"/>
      <c r="P40" s="2">
        <v>1193.81</v>
      </c>
      <c r="Q40" s="2"/>
      <c r="R40" s="19">
        <f t="shared" si="12"/>
        <v>2.7773301314972677E-3</v>
      </c>
      <c r="S40" s="2"/>
      <c r="T40" s="2">
        <v>618.94000000000005</v>
      </c>
      <c r="U40" s="2"/>
      <c r="V40" s="19">
        <f t="shared" si="13"/>
        <v>1.3431403804346279E-3</v>
      </c>
      <c r="W40" s="2"/>
      <c r="X40" s="2">
        <f t="shared" si="14"/>
        <v>574.86999999999989</v>
      </c>
      <c r="Y40" s="2"/>
      <c r="Z40" s="19">
        <f t="shared" si="15"/>
        <v>0.9287976217403946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-19.8</v>
      </c>
      <c r="E41" s="2"/>
      <c r="F41" s="19">
        <f t="shared" si="8"/>
        <v>0</v>
      </c>
      <c r="G41" s="2"/>
      <c r="H41" s="2"/>
      <c r="I41" s="2"/>
      <c r="J41" s="19">
        <f t="shared" si="9"/>
        <v>0</v>
      </c>
      <c r="K41" s="2"/>
      <c r="L41" s="2">
        <f t="shared" si="10"/>
        <v>-19.8</v>
      </c>
      <c r="M41" s="2"/>
      <c r="N41" s="19">
        <f t="shared" si="11"/>
        <v>0</v>
      </c>
      <c r="O41" s="11"/>
      <c r="P41" s="2">
        <v>305.64999999999998</v>
      </c>
      <c r="Q41" s="2"/>
      <c r="R41" s="19">
        <f t="shared" si="12"/>
        <v>7.1107710162600401E-4</v>
      </c>
      <c r="S41" s="2"/>
      <c r="T41" s="2">
        <v>569.59</v>
      </c>
      <c r="U41" s="2"/>
      <c r="V41" s="19">
        <f t="shared" si="13"/>
        <v>1.2360476448310977E-3</v>
      </c>
      <c r="W41" s="2"/>
      <c r="X41" s="2">
        <f t="shared" si="14"/>
        <v>-263.94000000000005</v>
      </c>
      <c r="Y41" s="2"/>
      <c r="Z41" s="19">
        <f t="shared" si="15"/>
        <v>-0.46338594427570717</v>
      </c>
    </row>
    <row r="42" spans="1:26" s="24" customFormat="1" hidden="1" outlineLevel="1" x14ac:dyDescent="0.25">
      <c r="A42" s="44"/>
      <c r="B42" s="11" t="str">
        <f>CONCATENATE("          ", "5034", " - ", "PURCHASES @ COST-SODA")</f>
        <v xml:space="preserve">          5034 - PURCHASES @ COST-SODA</v>
      </c>
      <c r="C42" s="11"/>
      <c r="D42" s="2"/>
      <c r="E42" s="2"/>
      <c r="F42" s="19">
        <f t="shared" si="8"/>
        <v>0</v>
      </c>
      <c r="G42" s="2"/>
      <c r="H42" s="2"/>
      <c r="I42" s="2"/>
      <c r="J42" s="19">
        <f t="shared" si="9"/>
        <v>0</v>
      </c>
      <c r="K42" s="2"/>
      <c r="L42" s="2">
        <f t="shared" si="10"/>
        <v>0</v>
      </c>
      <c r="M42" s="2"/>
      <c r="N42" s="19">
        <f t="shared" si="11"/>
        <v>0</v>
      </c>
      <c r="O42" s="11"/>
      <c r="P42" s="2"/>
      <c r="Q42" s="2"/>
      <c r="R42" s="19">
        <f t="shared" si="12"/>
        <v>0</v>
      </c>
      <c r="S42" s="2"/>
      <c r="T42" s="2">
        <v>18.54</v>
      </c>
      <c r="U42" s="2"/>
      <c r="V42" s="19">
        <f t="shared" si="13"/>
        <v>4.0233015564122527E-5</v>
      </c>
      <c r="W42" s="2"/>
      <c r="X42" s="2">
        <f t="shared" si="14"/>
        <v>-18.54</v>
      </c>
      <c r="Y42" s="2"/>
      <c r="Z42" s="19">
        <f t="shared" si="15"/>
        <v>-1</v>
      </c>
    </row>
    <row r="43" spans="1:26" s="24" customFormat="1" hidden="1" outlineLevel="1" x14ac:dyDescent="0.25">
      <c r="A43" s="44"/>
      <c r="B43" s="11" t="str">
        <f>CONCATENATE("          ", "5037", " - ", "PURCHASES @ COST-WATER")</f>
        <v xml:space="preserve">          5037 - PURCHASES @ COST-WATER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29.76</v>
      </c>
      <c r="Q43" s="2"/>
      <c r="R43" s="19">
        <f t="shared" si="12"/>
        <v>6.9234924077833738E-5</v>
      </c>
      <c r="S43" s="2"/>
      <c r="T43" s="2">
        <v>67.790000000000006</v>
      </c>
      <c r="U43" s="2"/>
      <c r="V43" s="19">
        <f t="shared" si="13"/>
        <v>1.4710874461121179E-4</v>
      </c>
      <c r="W43" s="2"/>
      <c r="X43" s="2">
        <f t="shared" si="14"/>
        <v>-38.03</v>
      </c>
      <c r="Y43" s="2"/>
      <c r="Z43" s="19">
        <f t="shared" si="15"/>
        <v>-0.56099719722672958</v>
      </c>
    </row>
    <row r="44" spans="1:26" s="24" customFormat="1" hidden="1" outlineLevel="1" x14ac:dyDescent="0.25">
      <c r="A44" s="44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-32329.99</v>
      </c>
      <c r="E44" s="2"/>
      <c r="F44" s="19">
        <f t="shared" si="8"/>
        <v>0</v>
      </c>
      <c r="G44" s="2"/>
      <c r="H44" s="2">
        <v>8641.85</v>
      </c>
      <c r="I44" s="2"/>
      <c r="J44" s="19">
        <f t="shared" si="9"/>
        <v>0.15319682943358914</v>
      </c>
      <c r="K44" s="2"/>
      <c r="L44" s="2">
        <f t="shared" si="10"/>
        <v>-40971.840000000004</v>
      </c>
      <c r="M44" s="2"/>
      <c r="N44" s="19">
        <f t="shared" si="11"/>
        <v>-4.7410959458912156</v>
      </c>
      <c r="O44" s="11"/>
      <c r="P44" s="2">
        <v>163658.82999999999</v>
      </c>
      <c r="Q44" s="2"/>
      <c r="R44" s="19">
        <f t="shared" si="12"/>
        <v>0.38074283164371964</v>
      </c>
      <c r="S44" s="2"/>
      <c r="T44" s="2">
        <v>177649.3</v>
      </c>
      <c r="U44" s="2"/>
      <c r="V44" s="19">
        <f t="shared" si="13"/>
        <v>0.38551062847116896</v>
      </c>
      <c r="W44" s="2"/>
      <c r="X44" s="2">
        <f t="shared" si="14"/>
        <v>-13990.470000000001</v>
      </c>
      <c r="Y44" s="2"/>
      <c r="Z44" s="19">
        <f t="shared" si="15"/>
        <v>-7.8753307781117082E-2</v>
      </c>
    </row>
    <row r="45" spans="1:26" s="24" customFormat="1" hidden="1" outlineLevel="1" x14ac:dyDescent="0.25">
      <c r="A45" s="44"/>
      <c r="B45" s="11" t="str">
        <f>CONCATENATE("          ", "5041", " - ", "PURCHASES @ COST-LOGO GIFTS")</f>
        <v xml:space="preserve">          5041 - PURCHASES @ COST-LOGO GIFTS</v>
      </c>
      <c r="C45" s="11"/>
      <c r="D45" s="2">
        <v>-2213.7399999999998</v>
      </c>
      <c r="E45" s="2"/>
      <c r="F45" s="19">
        <f t="shared" si="8"/>
        <v>0</v>
      </c>
      <c r="G45" s="2"/>
      <c r="H45" s="2">
        <v>3321.83</v>
      </c>
      <c r="I45" s="2"/>
      <c r="J45" s="19">
        <f t="shared" si="9"/>
        <v>5.8887139202529484E-2</v>
      </c>
      <c r="K45" s="2"/>
      <c r="L45" s="2">
        <f t="shared" si="10"/>
        <v>-5535.57</v>
      </c>
      <c r="M45" s="2"/>
      <c r="N45" s="19">
        <f t="shared" si="11"/>
        <v>-1.6664218217067097</v>
      </c>
      <c r="O45" s="11"/>
      <c r="P45" s="2">
        <v>24767.18</v>
      </c>
      <c r="Q45" s="2"/>
      <c r="R45" s="19">
        <f t="shared" si="12"/>
        <v>5.761941622721916E-2</v>
      </c>
      <c r="S45" s="2"/>
      <c r="T45" s="2">
        <v>27813.08</v>
      </c>
      <c r="U45" s="2"/>
      <c r="V45" s="19">
        <f t="shared" si="13"/>
        <v>6.0356207148122176E-2</v>
      </c>
      <c r="W45" s="2"/>
      <c r="X45" s="2">
        <f t="shared" si="14"/>
        <v>-3045.9000000000015</v>
      </c>
      <c r="Y45" s="2"/>
      <c r="Z45" s="19">
        <f t="shared" si="15"/>
        <v>-0.10951322183663231</v>
      </c>
    </row>
    <row r="46" spans="1:26" s="24" customFormat="1" hidden="1" outlineLevel="1" x14ac:dyDescent="0.25">
      <c r="A46" s="44"/>
      <c r="B46" s="11" t="str">
        <f>CONCATENATE("          ", "5042", " - ", "PURCHASES @ COST-EVERYDAY GIFT")</f>
        <v xml:space="preserve">          5042 - PURCHASES @ COST-EVERYDAY GIFT</v>
      </c>
      <c r="C46" s="11"/>
      <c r="D46" s="2">
        <v>-164.93</v>
      </c>
      <c r="E46" s="2"/>
      <c r="F46" s="19">
        <f t="shared" si="8"/>
        <v>0</v>
      </c>
      <c r="G46" s="2"/>
      <c r="H46" s="2">
        <v>249.34</v>
      </c>
      <c r="I46" s="2"/>
      <c r="J46" s="19">
        <f t="shared" si="9"/>
        <v>4.4201296540637841E-3</v>
      </c>
      <c r="K46" s="2"/>
      <c r="L46" s="2">
        <f t="shared" si="10"/>
        <v>-414.27</v>
      </c>
      <c r="M46" s="2"/>
      <c r="N46" s="19">
        <f t="shared" si="11"/>
        <v>-1.6614662709553218</v>
      </c>
      <c r="O46" s="11"/>
      <c r="P46" s="2">
        <v>20352.7</v>
      </c>
      <c r="Q46" s="2"/>
      <c r="R46" s="19">
        <f t="shared" si="12"/>
        <v>4.7349383040286519E-2</v>
      </c>
      <c r="S46" s="2"/>
      <c r="T46" s="2">
        <v>14011.43</v>
      </c>
      <c r="U46" s="2"/>
      <c r="V46" s="19">
        <f t="shared" si="13"/>
        <v>3.0405721751111833E-2</v>
      </c>
      <c r="W46" s="2"/>
      <c r="X46" s="2">
        <f t="shared" si="14"/>
        <v>6341.27</v>
      </c>
      <c r="Y46" s="2"/>
      <c r="Z46" s="19">
        <f t="shared" si="15"/>
        <v>0.45257835923956374</v>
      </c>
    </row>
    <row r="47" spans="1:26" s="24" customFormat="1" hidden="1" outlineLevel="1" x14ac:dyDescent="0.25">
      <c r="A47" s="44"/>
      <c r="B47" s="11" t="str">
        <f>CONCATENATE("          ", "5043", " - ", "PURCHASES @ COST-CARDS")</f>
        <v xml:space="preserve">          5043 - PURCHASES @ COST-CARDS</v>
      </c>
      <c r="C47" s="11"/>
      <c r="D47" s="2"/>
      <c r="E47" s="2"/>
      <c r="F47" s="19">
        <f t="shared" si="8"/>
        <v>0</v>
      </c>
      <c r="G47" s="2"/>
      <c r="H47" s="2"/>
      <c r="I47" s="2"/>
      <c r="J47" s="19">
        <f t="shared" si="9"/>
        <v>0</v>
      </c>
      <c r="K47" s="2"/>
      <c r="L47" s="2">
        <f t="shared" si="10"/>
        <v>0</v>
      </c>
      <c r="M47" s="2"/>
      <c r="N47" s="19">
        <f t="shared" si="11"/>
        <v>0</v>
      </c>
      <c r="O47" s="11"/>
      <c r="P47" s="2">
        <v>154.47</v>
      </c>
      <c r="Q47" s="2"/>
      <c r="R47" s="19">
        <f t="shared" si="12"/>
        <v>3.5936554846448173E-4</v>
      </c>
      <c r="S47" s="2"/>
      <c r="T47" s="2">
        <v>252.69</v>
      </c>
      <c r="U47" s="2"/>
      <c r="V47" s="19">
        <f t="shared" si="13"/>
        <v>5.4835386747023314E-4</v>
      </c>
      <c r="W47" s="2"/>
      <c r="X47" s="2">
        <f t="shared" si="14"/>
        <v>-98.22</v>
      </c>
      <c r="Y47" s="2"/>
      <c r="Z47" s="19">
        <f t="shared" si="15"/>
        <v>-0.38869761367683725</v>
      </c>
    </row>
    <row r="48" spans="1:26" s="24" customFormat="1" hidden="1" outlineLevel="1" x14ac:dyDescent="0.25">
      <c r="A48" s="44"/>
      <c r="B48" s="11" t="str">
        <f>CONCATENATE("          ", "5044", " - ", "PURCHASES @ COST-ACCESSORIES")</f>
        <v xml:space="preserve">          5044 - PURCHASES @ COST-ACCESSORIES</v>
      </c>
      <c r="C48" s="11"/>
      <c r="D48" s="2">
        <v>-91.8</v>
      </c>
      <c r="E48" s="2"/>
      <c r="F48" s="19">
        <f t="shared" si="8"/>
        <v>0</v>
      </c>
      <c r="G48" s="2"/>
      <c r="H48" s="2">
        <v>-8.94</v>
      </c>
      <c r="I48" s="2"/>
      <c r="J48" s="19">
        <f t="shared" si="9"/>
        <v>-1.5848222951524117E-4</v>
      </c>
      <c r="K48" s="2"/>
      <c r="L48" s="2">
        <f t="shared" si="10"/>
        <v>-82.86</v>
      </c>
      <c r="M48" s="2"/>
      <c r="N48" s="19">
        <f t="shared" si="11"/>
        <v>9.2684563758389267</v>
      </c>
      <c r="O48" s="11"/>
      <c r="P48" s="2">
        <v>-4472.8500000000004</v>
      </c>
      <c r="Q48" s="2"/>
      <c r="R48" s="19">
        <f t="shared" si="12"/>
        <v>-1.0405827626395787E-2</v>
      </c>
      <c r="S48" s="2"/>
      <c r="T48" s="2">
        <v>2531.4499999999998</v>
      </c>
      <c r="U48" s="2"/>
      <c r="V48" s="19">
        <f t="shared" si="13"/>
        <v>5.4934124730203863E-3</v>
      </c>
      <c r="W48" s="2"/>
      <c r="X48" s="2">
        <f t="shared" si="14"/>
        <v>-7004.3</v>
      </c>
      <c r="Y48" s="2"/>
      <c r="Z48" s="19">
        <f t="shared" si="15"/>
        <v>-2.7669122439708471</v>
      </c>
    </row>
    <row r="49" spans="1:26" s="24" customFormat="1" hidden="1" outlineLevel="1" x14ac:dyDescent="0.25">
      <c r="A49" s="44"/>
      <c r="B49" s="11" t="str">
        <f>CONCATENATE("          ", "5045", " - ", "PURCHASES @ COST-SPECIAL ORDER")</f>
        <v xml:space="preserve">          5045 - PURCHASES @ COST-SPECIAL ORDER</v>
      </c>
      <c r="C49" s="11"/>
      <c r="D49" s="2"/>
      <c r="E49" s="2"/>
      <c r="F49" s="19">
        <f t="shared" si="8"/>
        <v>0</v>
      </c>
      <c r="G49" s="2"/>
      <c r="H49" s="2">
        <v>756.2</v>
      </c>
      <c r="I49" s="2"/>
      <c r="J49" s="19">
        <f t="shared" si="9"/>
        <v>1.3405398429465925E-2</v>
      </c>
      <c r="K49" s="2"/>
      <c r="L49" s="2">
        <f t="shared" si="10"/>
        <v>-756.2</v>
      </c>
      <c r="M49" s="2"/>
      <c r="N49" s="19">
        <f t="shared" si="11"/>
        <v>-1</v>
      </c>
      <c r="O49" s="11"/>
      <c r="P49" s="2">
        <v>-998.2</v>
      </c>
      <c r="Q49" s="2"/>
      <c r="R49" s="19">
        <f t="shared" si="12"/>
        <v>-2.3222547451106734E-3</v>
      </c>
      <c r="S49" s="2"/>
      <c r="T49" s="2">
        <v>837.12</v>
      </c>
      <c r="U49" s="2"/>
      <c r="V49" s="19">
        <f t="shared" si="13"/>
        <v>1.8166052852771441E-3</v>
      </c>
      <c r="W49" s="2"/>
      <c r="X49" s="2">
        <f t="shared" si="14"/>
        <v>-1835.3200000000002</v>
      </c>
      <c r="Y49" s="2"/>
      <c r="Z49" s="19">
        <f t="shared" si="15"/>
        <v>-2.1924216360856272</v>
      </c>
    </row>
    <row r="50" spans="1:26" s="24" customFormat="1" hidden="1" outlineLevel="1" x14ac:dyDescent="0.25">
      <c r="A50" s="44"/>
      <c r="B50" s="11" t="str">
        <f>CONCATENATE("          ", "5083", " - ", "PURCHASES @ COST-COMPUTER EQUI")</f>
        <v xml:space="preserve">          5083 - PURCHASES @ COST-COMPUTER EQUI</v>
      </c>
      <c r="C50" s="11"/>
      <c r="D50" s="2"/>
      <c r="E50" s="2"/>
      <c r="F50" s="19">
        <f t="shared" si="8"/>
        <v>0</v>
      </c>
      <c r="G50" s="2"/>
      <c r="H50" s="2"/>
      <c r="I50" s="2"/>
      <c r="J50" s="19">
        <f t="shared" si="9"/>
        <v>0</v>
      </c>
      <c r="K50" s="2"/>
      <c r="L50" s="2">
        <f t="shared" si="10"/>
        <v>0</v>
      </c>
      <c r="M50" s="2"/>
      <c r="N50" s="19">
        <f t="shared" si="11"/>
        <v>0</v>
      </c>
      <c r="O50" s="11"/>
      <c r="P50" s="2">
        <v>90.35</v>
      </c>
      <c r="Q50" s="2"/>
      <c r="R50" s="19">
        <f t="shared" si="12"/>
        <v>2.1019406553871901E-4</v>
      </c>
      <c r="S50" s="2"/>
      <c r="T50" s="2">
        <v>15.8</v>
      </c>
      <c r="U50" s="2"/>
      <c r="V50" s="19">
        <f t="shared" si="13"/>
        <v>3.4287035917644874E-5</v>
      </c>
      <c r="W50" s="2"/>
      <c r="X50" s="2">
        <f t="shared" si="14"/>
        <v>74.55</v>
      </c>
      <c r="Y50" s="2"/>
      <c r="Z50" s="19">
        <f t="shared" si="15"/>
        <v>4.7183544303797467</v>
      </c>
    </row>
    <row r="51" spans="1:26" s="24" customFormat="1" hidden="1" outlineLevel="1" x14ac:dyDescent="0.25">
      <c r="A51" s="44"/>
      <c r="B51" s="11" t="str">
        <f>CONCATENATE("          ", "5092", " - ", "PURCHASES @ COST-GRAD MERCH")</f>
        <v xml:space="preserve">          5092 - PURCHASES @ COST-GRAD MERCH</v>
      </c>
      <c r="C51" s="11"/>
      <c r="D51" s="2"/>
      <c r="E51" s="2"/>
      <c r="F51" s="19">
        <f t="shared" si="8"/>
        <v>0</v>
      </c>
      <c r="G51" s="2"/>
      <c r="H51" s="2">
        <v>187.65</v>
      </c>
      <c r="I51" s="2"/>
      <c r="J51" s="19">
        <f t="shared" si="9"/>
        <v>3.3265313611336696E-3</v>
      </c>
      <c r="K51" s="2"/>
      <c r="L51" s="2">
        <f t="shared" si="10"/>
        <v>-187.65</v>
      </c>
      <c r="M51" s="2"/>
      <c r="N51" s="19">
        <f t="shared" si="11"/>
        <v>-1</v>
      </c>
      <c r="O51" s="11"/>
      <c r="P51" s="2">
        <v>-60.35</v>
      </c>
      <c r="Q51" s="2"/>
      <c r="R51" s="19">
        <f t="shared" si="12"/>
        <v>-1.4040079529896728E-4</v>
      </c>
      <c r="S51" s="2"/>
      <c r="T51" s="2">
        <v>187.65</v>
      </c>
      <c r="U51" s="2"/>
      <c r="V51" s="19">
        <f t="shared" si="13"/>
        <v>4.0721280316114306E-4</v>
      </c>
      <c r="W51" s="2"/>
      <c r="X51" s="2">
        <f t="shared" si="14"/>
        <v>-248</v>
      </c>
      <c r="Y51" s="2"/>
      <c r="Z51" s="19">
        <f t="shared" si="15"/>
        <v>-1.3216093791633359</v>
      </c>
    </row>
    <row r="52" spans="1:26" s="24" customFormat="1" hidden="1" outlineLevel="1" x14ac:dyDescent="0.25">
      <c r="A52" s="44"/>
      <c r="B52" s="11" t="str">
        <f>CONCATENATE("          ", "5095", " - ", "PURCHASES @ COST-CUSTOMER SERV")</f>
        <v xml:space="preserve">          5095 - PURCHASES @ COST-CUSTOMER SERV</v>
      </c>
      <c r="C52" s="11"/>
      <c r="D52" s="2"/>
      <c r="E52" s="2"/>
      <c r="F52" s="19">
        <f t="shared" si="8"/>
        <v>0</v>
      </c>
      <c r="G52" s="2"/>
      <c r="H52" s="2">
        <v>2.16</v>
      </c>
      <c r="I52" s="2"/>
      <c r="J52" s="19">
        <f t="shared" si="9"/>
        <v>3.8291008473481089E-5</v>
      </c>
      <c r="K52" s="2"/>
      <c r="L52" s="2">
        <f t="shared" si="10"/>
        <v>-2.16</v>
      </c>
      <c r="M52" s="2"/>
      <c r="N52" s="19">
        <f t="shared" si="11"/>
        <v>-1</v>
      </c>
      <c r="O52" s="11"/>
      <c r="P52" s="2">
        <v>-11.85</v>
      </c>
      <c r="Q52" s="2"/>
      <c r="R52" s="19">
        <f t="shared" si="12"/>
        <v>-2.7568341744701939E-5</v>
      </c>
      <c r="S52" s="2"/>
      <c r="T52" s="2">
        <v>75.599999999999994</v>
      </c>
      <c r="U52" s="2"/>
      <c r="V52" s="19">
        <f t="shared" si="13"/>
        <v>1.640569566692375E-4</v>
      </c>
      <c r="W52" s="2"/>
      <c r="X52" s="2">
        <f t="shared" si="14"/>
        <v>-87.449999999999989</v>
      </c>
      <c r="Y52" s="2"/>
      <c r="Z52" s="19">
        <f t="shared" si="15"/>
        <v>-1.1567460317460316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34791</v>
      </c>
      <c r="E53" s="2"/>
      <c r="F53" s="19">
        <f t="shared" si="8"/>
        <v>0</v>
      </c>
      <c r="G53" s="2"/>
      <c r="H53" s="2">
        <v>-13184</v>
      </c>
      <c r="I53" s="2"/>
      <c r="J53" s="19">
        <f t="shared" si="9"/>
        <v>-0.23371697023813642</v>
      </c>
      <c r="K53" s="2"/>
      <c r="L53" s="2">
        <f t="shared" si="10"/>
        <v>47975</v>
      </c>
      <c r="M53" s="2"/>
      <c r="N53" s="19">
        <f t="shared" si="11"/>
        <v>-3.6388804611650487</v>
      </c>
      <c r="O53" s="11"/>
      <c r="P53" s="2">
        <v>-166945</v>
      </c>
      <c r="Q53" s="2"/>
      <c r="R53" s="19">
        <f t="shared" si="12"/>
        <v>-0.38838791667251188</v>
      </c>
      <c r="S53" s="2"/>
      <c r="T53" s="2">
        <v>-224711</v>
      </c>
      <c r="U53" s="2"/>
      <c r="V53" s="19">
        <f t="shared" si="13"/>
        <v>-0.48763760304366438</v>
      </c>
      <c r="W53" s="2"/>
      <c r="X53" s="2">
        <f t="shared" si="14"/>
        <v>57766</v>
      </c>
      <c r="Y53" s="2"/>
      <c r="Z53" s="19">
        <f t="shared" si="15"/>
        <v>-0.25706796730022119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3790</v>
      </c>
      <c r="E54" s="2"/>
      <c r="F54" s="19">
        <f t="shared" si="8"/>
        <v>0</v>
      </c>
      <c r="G54" s="2"/>
      <c r="H54" s="2">
        <v>23235</v>
      </c>
      <c r="I54" s="2"/>
      <c r="J54" s="19">
        <f t="shared" si="9"/>
        <v>0.41189425087098752</v>
      </c>
      <c r="K54" s="2"/>
      <c r="L54" s="2">
        <f t="shared" si="10"/>
        <v>-19445</v>
      </c>
      <c r="M54" s="2"/>
      <c r="N54" s="19">
        <f t="shared" si="11"/>
        <v>-0.8368840111900151</v>
      </c>
      <c r="O54" s="11"/>
      <c r="P54" s="2">
        <v>148981</v>
      </c>
      <c r="Q54" s="2"/>
      <c r="R54" s="19">
        <f t="shared" si="12"/>
        <v>0.34659570645294852</v>
      </c>
      <c r="S54" s="2"/>
      <c r="T54" s="2">
        <v>194650</v>
      </c>
      <c r="U54" s="2"/>
      <c r="V54" s="19">
        <f t="shared" si="13"/>
        <v>0.42240326211199841</v>
      </c>
      <c r="W54" s="2"/>
      <c r="X54" s="2">
        <f t="shared" si="14"/>
        <v>-45669</v>
      </c>
      <c r="Y54" s="2"/>
      <c r="Z54" s="19">
        <f t="shared" si="15"/>
        <v>-0.23462111482147444</v>
      </c>
    </row>
    <row r="55" spans="1:26" s="24" customFormat="1" hidden="1" outlineLevel="1" x14ac:dyDescent="0.2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>
        <v>33.68</v>
      </c>
      <c r="E55" s="2"/>
      <c r="F55" s="19">
        <f t="shared" si="8"/>
        <v>0</v>
      </c>
      <c r="G55" s="2"/>
      <c r="H55" s="2"/>
      <c r="I55" s="2"/>
      <c r="J55" s="19">
        <f t="shared" si="9"/>
        <v>0</v>
      </c>
      <c r="K55" s="2"/>
      <c r="L55" s="2">
        <f t="shared" si="10"/>
        <v>33.68</v>
      </c>
      <c r="M55" s="2"/>
      <c r="N55" s="19">
        <f t="shared" si="11"/>
        <v>0</v>
      </c>
      <c r="O55" s="11"/>
      <c r="P55" s="2">
        <v>56.19</v>
      </c>
      <c r="Q55" s="2"/>
      <c r="R55" s="19">
        <f t="shared" si="12"/>
        <v>1.3072279515905503E-4</v>
      </c>
      <c r="S55" s="2"/>
      <c r="T55" s="2">
        <v>11.96</v>
      </c>
      <c r="U55" s="2"/>
      <c r="V55" s="19">
        <f t="shared" si="13"/>
        <v>2.5953984150318528E-5</v>
      </c>
      <c r="W55" s="2"/>
      <c r="X55" s="2">
        <f t="shared" si="14"/>
        <v>44.23</v>
      </c>
      <c r="Y55" s="2"/>
      <c r="Z55" s="19">
        <f t="shared" si="15"/>
        <v>3.6981605351170561</v>
      </c>
    </row>
    <row r="56" spans="1:26" s="24" customFormat="1" hidden="1" outlineLevel="1" x14ac:dyDescent="0.2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8"/>
        <v>0</v>
      </c>
      <c r="G56" s="2"/>
      <c r="H56" s="2"/>
      <c r="I56" s="2"/>
      <c r="J56" s="19">
        <f t="shared" si="9"/>
        <v>0</v>
      </c>
      <c r="K56" s="2"/>
      <c r="L56" s="2">
        <f t="shared" si="10"/>
        <v>0</v>
      </c>
      <c r="M56" s="2"/>
      <c r="N56" s="19">
        <f t="shared" si="11"/>
        <v>0</v>
      </c>
      <c r="O56" s="11"/>
      <c r="P56" s="2"/>
      <c r="Q56" s="2"/>
      <c r="R56" s="19">
        <f t="shared" si="12"/>
        <v>0</v>
      </c>
      <c r="S56" s="2"/>
      <c r="T56" s="2">
        <v>29.13</v>
      </c>
      <c r="U56" s="2"/>
      <c r="V56" s="19">
        <f t="shared" si="13"/>
        <v>6.3214009891202218E-5</v>
      </c>
      <c r="W56" s="2"/>
      <c r="X56" s="2">
        <f t="shared" si="14"/>
        <v>-29.13</v>
      </c>
      <c r="Y56" s="2"/>
      <c r="Z56" s="19">
        <f t="shared" si="15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6</v>
      </c>
      <c r="C58" s="29"/>
      <c r="D58" s="21">
        <f>D12-D38</f>
        <v>-3790.1599999999958</v>
      </c>
      <c r="E58" s="14"/>
      <c r="F58" s="20">
        <f>IF(D$12=0,0,D58/D$12)</f>
        <v>0</v>
      </c>
      <c r="G58" s="14"/>
      <c r="H58" s="21">
        <f>H12-H38</f>
        <v>33175.01999999999</v>
      </c>
      <c r="I58" s="14"/>
      <c r="J58" s="20">
        <f>IF(H$12=0,0,H58/H$12)</f>
        <v>0.58810415367032598</v>
      </c>
      <c r="K58" s="16"/>
      <c r="L58" s="21">
        <f>+D58-H58</f>
        <v>-36965.179999999986</v>
      </c>
      <c r="M58" s="16"/>
      <c r="N58" s="20">
        <f>IF(H58=0,0,L58/H58)</f>
        <v>-1.114247406633063</v>
      </c>
      <c r="O58" s="28"/>
      <c r="P58" s="21">
        <f>P12-P38</f>
        <v>242733.12000000002</v>
      </c>
      <c r="Q58" s="14"/>
      <c r="R58" s="20">
        <f>IF(P$12=0,0,P58/P$12)</f>
        <v>0.56470460800993638</v>
      </c>
      <c r="S58" s="14"/>
      <c r="T58" s="21">
        <f>T12-T38</f>
        <v>266167.35000000009</v>
      </c>
      <c r="U58" s="14"/>
      <c r="V58" s="20">
        <f>IF(T$12=0,0,T58/T$12)</f>
        <v>0.57760060060470619</v>
      </c>
      <c r="W58" s="16"/>
      <c r="X58" s="21">
        <f>+P58-T58</f>
        <v>-23434.230000000069</v>
      </c>
      <c r="Y58" s="16"/>
      <c r="Z58" s="20">
        <f>IF(T58=0,0,X58/T58)</f>
        <v>-8.8043217922859657E-2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9</v>
      </c>
      <c r="C60" s="10"/>
      <c r="D60" s="22">
        <f>SUM(OSRRefD22x_0)</f>
        <v>15501.939999999999</v>
      </c>
      <c r="E60" s="22"/>
      <c r="F60" s="31">
        <f t="shared" ref="F60:F69" si="16">IF(D$12=0,0,D60/D$12)</f>
        <v>0</v>
      </c>
      <c r="G60" s="22"/>
      <c r="H60" s="22">
        <f>SUM(OSRRefH22x_0)</f>
        <v>22714.829999999998</v>
      </c>
      <c r="I60" s="22"/>
      <c r="J60" s="31">
        <f t="shared" ref="J60:J69" si="17">IF(H$12=0,0,H60/H$12)</f>
        <v>0.40267303148318628</v>
      </c>
      <c r="K60" s="4"/>
      <c r="L60" s="22">
        <f t="shared" ref="L60:L69" si="18">+D60-H60</f>
        <v>-7212.8899999999994</v>
      </c>
      <c r="M60" s="4"/>
      <c r="N60" s="31">
        <f t="shared" ref="N60:N69" si="19">IF(H60=0,0,L60/H60)</f>
        <v>-0.31754100735070434</v>
      </c>
      <c r="O60" s="10"/>
      <c r="P60" s="22">
        <f>SUM(OSRRefP22x_0)</f>
        <v>316224.04000000015</v>
      </c>
      <c r="Q60" s="22"/>
      <c r="R60" s="31">
        <f t="shared" ref="R60:R69" si="20">IF(P$12=0,0,P60/P$12)</f>
        <v>0.73567699600086922</v>
      </c>
      <c r="S60" s="22"/>
      <c r="T60" s="22">
        <f>SUM(OSRRefT22x_0)</f>
        <v>272899.85000000003</v>
      </c>
      <c r="U60" s="22"/>
      <c r="V60" s="31">
        <f t="shared" ref="V60:V69" si="21">IF(T$12=0,0,T60/T$12)</f>
        <v>0.5922105670170823</v>
      </c>
      <c r="W60" s="4"/>
      <c r="X60" s="22">
        <f t="shared" ref="X60:X69" si="22">+P60-T60</f>
        <v>43324.190000000119</v>
      </c>
      <c r="Y60" s="4"/>
      <c r="Z60" s="31">
        <f t="shared" ref="Z60:Z69" si="23">IF(T60=0,0,X60/T60)</f>
        <v>0.15875490587481125</v>
      </c>
    </row>
    <row r="61" spans="1:26" s="27" customFormat="1" outlineLevel="1" collapsed="1" x14ac:dyDescent="0.25">
      <c r="A61" s="25"/>
      <c r="B61" s="13" t="str">
        <f>CONCATENATE("     ","*Benefits                                         ")</f>
        <v xml:space="preserve">     *Benefits                                         </v>
      </c>
      <c r="C61" s="13"/>
      <c r="D61" s="1">
        <f>SUM(OSRRefD22_0x_0)</f>
        <v>3441.9700000000003</v>
      </c>
      <c r="E61" s="1"/>
      <c r="F61" s="5">
        <f t="shared" si="16"/>
        <v>0</v>
      </c>
      <c r="G61" s="1"/>
      <c r="H61" s="1">
        <f>SUM(OSRRefH22_0x_0)</f>
        <v>809.95</v>
      </c>
      <c r="I61" s="1"/>
      <c r="J61" s="5">
        <f t="shared" si="17"/>
        <v>1.4358241811618523E-2</v>
      </c>
      <c r="K61" s="1"/>
      <c r="L61" s="1">
        <f t="shared" si="18"/>
        <v>2632.0200000000004</v>
      </c>
      <c r="M61" s="1"/>
      <c r="N61" s="5">
        <f t="shared" si="19"/>
        <v>3.2496080004938581</v>
      </c>
      <c r="O61" s="13"/>
      <c r="P61" s="1">
        <f>SUM(OSRRefP22_0x_0)</f>
        <v>26705.929999999997</v>
      </c>
      <c r="Q61" s="1"/>
      <c r="R61" s="5">
        <f t="shared" si="20"/>
        <v>6.2129806316463108E-2</v>
      </c>
      <c r="S61" s="1"/>
      <c r="T61" s="1">
        <f>SUM(OSRRefT22_0x_0)</f>
        <v>22559.94</v>
      </c>
      <c r="U61" s="1"/>
      <c r="V61" s="5">
        <f t="shared" si="21"/>
        <v>4.8956548929108432E-2</v>
      </c>
      <c r="W61" s="1"/>
      <c r="X61" s="1">
        <f t="shared" si="22"/>
        <v>4145.989999999998</v>
      </c>
      <c r="Y61" s="1"/>
      <c r="Z61" s="5">
        <f t="shared" si="23"/>
        <v>0.18377664124993232</v>
      </c>
    </row>
    <row r="62" spans="1:26" s="24" customFormat="1" hidden="1" outlineLevel="2" x14ac:dyDescent="0.25">
      <c r="A62" s="26"/>
      <c r="B62" s="11" t="str">
        <f>CONCATENATE("          ", "6111", " - ", "F.I.C.A.")</f>
        <v xml:space="preserve">          6111 - F.I.C.A.</v>
      </c>
      <c r="C62" s="11"/>
      <c r="D62" s="6">
        <v>356.88</v>
      </c>
      <c r="E62" s="2"/>
      <c r="F62" s="7">
        <f t="shared" si="16"/>
        <v>0</v>
      </c>
      <c r="G62" s="2"/>
      <c r="H62" s="6">
        <v>518.09</v>
      </c>
      <c r="I62" s="2"/>
      <c r="J62" s="7">
        <f t="shared" si="17"/>
        <v>9.1843465648267682E-3</v>
      </c>
      <c r="K62" s="2"/>
      <c r="L62" s="6">
        <f t="shared" si="18"/>
        <v>-161.21000000000004</v>
      </c>
      <c r="M62" s="2"/>
      <c r="N62" s="7">
        <f t="shared" si="19"/>
        <v>-0.31116215329382929</v>
      </c>
      <c r="O62" s="11"/>
      <c r="P62" s="6">
        <v>4997.03</v>
      </c>
      <c r="Q62" s="2"/>
      <c r="R62" s="7">
        <f t="shared" si="20"/>
        <v>1.1625302172871556E-2</v>
      </c>
      <c r="S62" s="2"/>
      <c r="T62" s="6">
        <v>4911.51</v>
      </c>
      <c r="U62" s="2"/>
      <c r="V62" s="7">
        <f t="shared" si="21"/>
        <v>1.0658298720245062E-2</v>
      </c>
      <c r="W62" s="2"/>
      <c r="X62" s="6">
        <f t="shared" si="22"/>
        <v>85.519999999999527</v>
      </c>
      <c r="Y62" s="2"/>
      <c r="Z62" s="7">
        <f t="shared" si="23"/>
        <v>1.7412160415025017E-2</v>
      </c>
    </row>
    <row r="63" spans="1:26" s="24" customFormat="1" hidden="1" outlineLevel="2" x14ac:dyDescent="0.25">
      <c r="A63" s="26"/>
      <c r="B63" s="11" t="str">
        <f>CONCATENATE("          ", "6112", " - ", "COMPENSATION INSURANCE")</f>
        <v xml:space="preserve">          6112 - COMPENSATION INSURANCE</v>
      </c>
      <c r="C63" s="11"/>
      <c r="D63" s="6">
        <v>196.21</v>
      </c>
      <c r="E63" s="2"/>
      <c r="F63" s="7">
        <f t="shared" si="16"/>
        <v>0</v>
      </c>
      <c r="G63" s="2"/>
      <c r="H63" s="6">
        <v>99.97</v>
      </c>
      <c r="I63" s="2"/>
      <c r="J63" s="7">
        <f t="shared" si="17"/>
        <v>1.772200054210141E-3</v>
      </c>
      <c r="K63" s="2"/>
      <c r="L63" s="6">
        <f t="shared" si="18"/>
        <v>96.240000000000009</v>
      </c>
      <c r="M63" s="2"/>
      <c r="N63" s="7">
        <f t="shared" si="19"/>
        <v>0.96268880664199274</v>
      </c>
      <c r="O63" s="11"/>
      <c r="P63" s="6">
        <v>1979.7</v>
      </c>
      <c r="Q63" s="2"/>
      <c r="R63" s="7">
        <f t="shared" si="20"/>
        <v>4.6056579031212184E-3</v>
      </c>
      <c r="S63" s="2"/>
      <c r="T63" s="6">
        <v>1319.9</v>
      </c>
      <c r="U63" s="2"/>
      <c r="V63" s="7">
        <f t="shared" si="21"/>
        <v>2.864269538461992E-3</v>
      </c>
      <c r="W63" s="2"/>
      <c r="X63" s="6">
        <f t="shared" si="22"/>
        <v>659.8</v>
      </c>
      <c r="Y63" s="2"/>
      <c r="Z63" s="7">
        <f t="shared" si="23"/>
        <v>0.49988635502689593</v>
      </c>
    </row>
    <row r="64" spans="1:26" s="24" customFormat="1" hidden="1" outlineLevel="2" x14ac:dyDescent="0.25">
      <c r="A64" s="26"/>
      <c r="B64" s="11" t="str">
        <f>CONCATENATE("          ", "6113", " - ", "GROUP INSURANCE")</f>
        <v xml:space="preserve">          6113 - GROUP INSURANCE</v>
      </c>
      <c r="C64" s="11"/>
      <c r="D64" s="6">
        <v>2012.47</v>
      </c>
      <c r="E64" s="2"/>
      <c r="F64" s="7">
        <f t="shared" si="16"/>
        <v>0</v>
      </c>
      <c r="G64" s="2"/>
      <c r="H64" s="6">
        <v>31.11</v>
      </c>
      <c r="I64" s="2"/>
      <c r="J64" s="7">
        <f t="shared" si="17"/>
        <v>5.5149688593055402E-4</v>
      </c>
      <c r="K64" s="2"/>
      <c r="L64" s="6">
        <f t="shared" si="18"/>
        <v>1981.3600000000001</v>
      </c>
      <c r="M64" s="2"/>
      <c r="N64" s="7">
        <f t="shared" si="19"/>
        <v>63.688846030215373</v>
      </c>
      <c r="O64" s="11"/>
      <c r="P64" s="6">
        <v>12334.05</v>
      </c>
      <c r="Q64" s="2"/>
      <c r="R64" s="7">
        <f t="shared" si="20"/>
        <v>2.8694456160020334E-2</v>
      </c>
      <c r="S64" s="2"/>
      <c r="T64" s="6">
        <v>8071.11</v>
      </c>
      <c r="U64" s="2"/>
      <c r="V64" s="7">
        <f t="shared" si="21"/>
        <v>1.7514837877548272E-2</v>
      </c>
      <c r="W64" s="2"/>
      <c r="X64" s="6">
        <f t="shared" si="22"/>
        <v>4262.9399999999996</v>
      </c>
      <c r="Y64" s="2"/>
      <c r="Z64" s="7">
        <f t="shared" si="23"/>
        <v>0.52817270486959045</v>
      </c>
    </row>
    <row r="65" spans="1:26" s="24" customFormat="1" hidden="1" outlineLevel="2" x14ac:dyDescent="0.25">
      <c r="A65" s="26"/>
      <c r="B65" s="11" t="str">
        <f>CONCATENATE("          ", "6114", " - ", "STATE UNEMPLOYMENT INSURANCE")</f>
        <v xml:space="preserve">          6114 - STATE UNEMPLOYMENT INSURANCE</v>
      </c>
      <c r="C65" s="11"/>
      <c r="D65" s="6">
        <v>26.85</v>
      </c>
      <c r="E65" s="2"/>
      <c r="F65" s="7">
        <f t="shared" si="16"/>
        <v>0</v>
      </c>
      <c r="G65" s="2"/>
      <c r="H65" s="6">
        <v>21.84</v>
      </c>
      <c r="I65" s="2"/>
      <c r="J65" s="7">
        <f t="shared" si="17"/>
        <v>3.8716464123186433E-4</v>
      </c>
      <c r="K65" s="2"/>
      <c r="L65" s="6">
        <f t="shared" si="18"/>
        <v>5.0100000000000016</v>
      </c>
      <c r="M65" s="2"/>
      <c r="N65" s="7">
        <f t="shared" si="19"/>
        <v>0.22939560439560447</v>
      </c>
      <c r="O65" s="11"/>
      <c r="P65" s="6">
        <v>303.62</v>
      </c>
      <c r="Q65" s="2"/>
      <c r="R65" s="7">
        <f t="shared" si="20"/>
        <v>7.0635442367311424E-4</v>
      </c>
      <c r="S65" s="2"/>
      <c r="T65" s="6">
        <v>326.26</v>
      </c>
      <c r="U65" s="2"/>
      <c r="V65" s="7">
        <f t="shared" si="21"/>
        <v>7.0800559104372259E-4</v>
      </c>
      <c r="W65" s="2"/>
      <c r="X65" s="6">
        <f t="shared" si="22"/>
        <v>-22.639999999999986</v>
      </c>
      <c r="Y65" s="2"/>
      <c r="Z65" s="7">
        <f t="shared" si="23"/>
        <v>-6.9392509041868403E-2</v>
      </c>
    </row>
    <row r="66" spans="1:26" s="24" customFormat="1" hidden="1" outlineLevel="2" x14ac:dyDescent="0.25">
      <c r="A66" s="26"/>
      <c r="B66" s="11" t="str">
        <f>CONCATENATE("          ", "6115", " - ", "P.E.R.S.")</f>
        <v xml:space="preserve">          6115 - P.E.R.S.</v>
      </c>
      <c r="C66" s="11"/>
      <c r="D66" s="6">
        <v>327.22000000000003</v>
      </c>
      <c r="E66" s="2"/>
      <c r="F66" s="7">
        <f t="shared" si="16"/>
        <v>0</v>
      </c>
      <c r="G66" s="2"/>
      <c r="H66" s="6">
        <v>138.94</v>
      </c>
      <c r="I66" s="2"/>
      <c r="J66" s="7">
        <f t="shared" si="17"/>
        <v>2.4630336654191953E-3</v>
      </c>
      <c r="K66" s="2"/>
      <c r="L66" s="6">
        <f t="shared" si="18"/>
        <v>188.28000000000003</v>
      </c>
      <c r="M66" s="2"/>
      <c r="N66" s="7">
        <f t="shared" si="19"/>
        <v>1.3551173168274078</v>
      </c>
      <c r="O66" s="11"/>
      <c r="P66" s="6">
        <v>2361.35</v>
      </c>
      <c r="Q66" s="2"/>
      <c r="R66" s="7">
        <f t="shared" si="20"/>
        <v>5.4935446226879259E-3</v>
      </c>
      <c r="S66" s="2"/>
      <c r="T66" s="6">
        <v>2471.2600000000002</v>
      </c>
      <c r="U66" s="2"/>
      <c r="V66" s="7">
        <f t="shared" si="21"/>
        <v>5.3627962266986759E-3</v>
      </c>
      <c r="W66" s="2"/>
      <c r="X66" s="6">
        <f t="shared" si="22"/>
        <v>-109.91000000000031</v>
      </c>
      <c r="Y66" s="2"/>
      <c r="Z66" s="7">
        <f t="shared" si="23"/>
        <v>-4.4475287909811312E-2</v>
      </c>
    </row>
    <row r="67" spans="1:26" s="24" customFormat="1" hidden="1" outlineLevel="2" x14ac:dyDescent="0.25">
      <c r="A67" s="26"/>
      <c r="B67" s="11" t="str">
        <f>CONCATENATE("          ", "6118", " - ", "VACATION")</f>
        <v xml:space="preserve">          6118 - VACATION</v>
      </c>
      <c r="C67" s="11"/>
      <c r="D67" s="6">
        <v>306.26</v>
      </c>
      <c r="E67" s="2"/>
      <c r="F67" s="7">
        <f t="shared" si="16"/>
        <v>0</v>
      </c>
      <c r="G67" s="2"/>
      <c r="H67" s="6"/>
      <c r="I67" s="2"/>
      <c r="J67" s="7">
        <f t="shared" si="17"/>
        <v>0</v>
      </c>
      <c r="K67" s="2"/>
      <c r="L67" s="6">
        <f t="shared" si="18"/>
        <v>306.26</v>
      </c>
      <c r="M67" s="2"/>
      <c r="N67" s="7">
        <f t="shared" si="19"/>
        <v>0</v>
      </c>
      <c r="O67" s="11"/>
      <c r="P67" s="6">
        <v>2868.7</v>
      </c>
      <c r="Q67" s="2"/>
      <c r="R67" s="7">
        <f t="shared" si="20"/>
        <v>6.6738651445591947E-3</v>
      </c>
      <c r="S67" s="2"/>
      <c r="T67" s="6">
        <v>2460.09</v>
      </c>
      <c r="U67" s="2"/>
      <c r="V67" s="7">
        <f t="shared" si="21"/>
        <v>5.3385565943442391E-3</v>
      </c>
      <c r="W67" s="2"/>
      <c r="X67" s="6">
        <f t="shared" si="22"/>
        <v>408.60999999999967</v>
      </c>
      <c r="Y67" s="2"/>
      <c r="Z67" s="7">
        <f t="shared" si="23"/>
        <v>0.1660955493498204</v>
      </c>
    </row>
    <row r="68" spans="1:26" s="24" customFormat="1" hidden="1" outlineLevel="2" x14ac:dyDescent="0.25">
      <c r="A68" s="26"/>
      <c r="B68" s="11" t="str">
        <f>CONCATENATE("          ", "6119", " - ", "SICK LEAVE")</f>
        <v xml:space="preserve">          6119 - SICK LEAVE</v>
      </c>
      <c r="C68" s="11"/>
      <c r="D68" s="6">
        <v>216.08</v>
      </c>
      <c r="E68" s="2"/>
      <c r="F68" s="7">
        <f t="shared" si="16"/>
        <v>0</v>
      </c>
      <c r="G68" s="2"/>
      <c r="H68" s="6"/>
      <c r="I68" s="2"/>
      <c r="J68" s="7">
        <f t="shared" si="17"/>
        <v>0</v>
      </c>
      <c r="K68" s="2"/>
      <c r="L68" s="6">
        <f t="shared" si="18"/>
        <v>216.08</v>
      </c>
      <c r="M68" s="2"/>
      <c r="N68" s="7">
        <f t="shared" si="19"/>
        <v>0</v>
      </c>
      <c r="O68" s="11"/>
      <c r="P68" s="6">
        <v>1371.98</v>
      </c>
      <c r="Q68" s="2"/>
      <c r="R68" s="7">
        <f t="shared" si="20"/>
        <v>3.1918323634511536E-3</v>
      </c>
      <c r="S68" s="2"/>
      <c r="T68" s="6">
        <v>1516.76</v>
      </c>
      <c r="U68" s="2"/>
      <c r="V68" s="7">
        <f t="shared" si="21"/>
        <v>3.2914686454713314E-3</v>
      </c>
      <c r="W68" s="2"/>
      <c r="X68" s="6">
        <f t="shared" si="22"/>
        <v>-144.77999999999997</v>
      </c>
      <c r="Y68" s="2"/>
      <c r="Z68" s="7">
        <f t="shared" si="23"/>
        <v>-9.5453466599857567E-2</v>
      </c>
    </row>
    <row r="69" spans="1:26" s="24" customFormat="1" hidden="1" outlineLevel="2" x14ac:dyDescent="0.25">
      <c r="A69" s="26"/>
      <c r="B69" s="11" t="str">
        <f>CONCATENATE("          ", "6156", " - ", "EMPLOYEE MEALS")</f>
        <v xml:space="preserve">          6156 - EMPLOYEE MEALS</v>
      </c>
      <c r="C69" s="11"/>
      <c r="D69" s="6"/>
      <c r="E69" s="2"/>
      <c r="F69" s="7">
        <f t="shared" si="16"/>
        <v>0</v>
      </c>
      <c r="G69" s="2"/>
      <c r="H69" s="6"/>
      <c r="I69" s="2"/>
      <c r="J69" s="7">
        <f t="shared" si="17"/>
        <v>0</v>
      </c>
      <c r="K69" s="2"/>
      <c r="L69" s="6">
        <f t="shared" si="18"/>
        <v>0</v>
      </c>
      <c r="M69" s="2"/>
      <c r="N69" s="7">
        <f t="shared" si="19"/>
        <v>0</v>
      </c>
      <c r="O69" s="11"/>
      <c r="P69" s="6">
        <v>489.5</v>
      </c>
      <c r="Q69" s="2"/>
      <c r="R69" s="7">
        <f t="shared" si="20"/>
        <v>1.1387935260786161E-3</v>
      </c>
      <c r="S69" s="2"/>
      <c r="T69" s="6">
        <v>1483.05</v>
      </c>
      <c r="U69" s="2"/>
      <c r="V69" s="7">
        <f t="shared" si="21"/>
        <v>3.218315735295141E-3</v>
      </c>
      <c r="W69" s="2"/>
      <c r="X69" s="6">
        <f t="shared" si="22"/>
        <v>-993.55</v>
      </c>
      <c r="Y69" s="2"/>
      <c r="Z69" s="7">
        <f t="shared" si="23"/>
        <v>-0.66993695424968813</v>
      </c>
    </row>
    <row r="70" spans="1:26" s="27" customFormat="1" outlineLevel="1" collapsed="1" x14ac:dyDescent="0.25">
      <c r="A70" s="25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3747.7</v>
      </c>
      <c r="E70" s="1"/>
      <c r="F70" s="5">
        <f t="shared" ref="F70:F75" si="24">IF(D$12=0,0,D70/D$12)</f>
        <v>0</v>
      </c>
      <c r="G70" s="1"/>
      <c r="H70" s="1">
        <f>SUM(OSRRefH22_1x_0)</f>
        <v>8575.3799999999992</v>
      </c>
      <c r="I70" s="1"/>
      <c r="J70" s="5">
        <f t="shared" ref="J70:J75" si="25">IF(H$12=0,0,H70/H$12)</f>
        <v>0.15201849455709268</v>
      </c>
      <c r="K70" s="1"/>
      <c r="L70" s="1">
        <f t="shared" ref="L70:L75" si="26">+D70-H70</f>
        <v>-4827.6799999999994</v>
      </c>
      <c r="M70" s="1"/>
      <c r="N70" s="5">
        <f t="shared" ref="N70:N75" si="27">IF(H70=0,0,L70/H70)</f>
        <v>-0.56296980425357246</v>
      </c>
      <c r="O70" s="13"/>
      <c r="P70" s="1">
        <f>SUM(OSRRefP22_1x_0)</f>
        <v>111390.59</v>
      </c>
      <c r="Q70" s="1"/>
      <c r="R70" s="5">
        <f t="shared" ref="R70:R75" si="28">IF(P$12=0,0,P70/P$12)</f>
        <v>0.25914378500117963</v>
      </c>
      <c r="S70" s="1"/>
      <c r="T70" s="1">
        <f>SUM(OSRRefT22_1x_0)</f>
        <v>93657.39</v>
      </c>
      <c r="U70" s="1"/>
      <c r="V70" s="5">
        <f t="shared" ref="V70:V75" si="29">IF(T$12=0,0,T70/T$12)</f>
        <v>0.20324267689132114</v>
      </c>
      <c r="W70" s="1"/>
      <c r="X70" s="1">
        <f t="shared" ref="X70:X75" si="30">+P70-T70</f>
        <v>17733.199999999997</v>
      </c>
      <c r="Y70" s="1"/>
      <c r="Z70" s="5">
        <f t="shared" ref="Z70:Z75" si="31">IF(T70=0,0,X70/T70)</f>
        <v>0.18934117211679716</v>
      </c>
    </row>
    <row r="71" spans="1:26" s="24" customFormat="1" hidden="1" outlineLevel="2" x14ac:dyDescent="0.25">
      <c r="A71" s="26"/>
      <c r="B71" s="11" t="str">
        <f>CONCATENATE("          ", "6002", " - ", "STAFF SALARIES")</f>
        <v xml:space="preserve">          6002 - STAFF SALARIES</v>
      </c>
      <c r="C71" s="11"/>
      <c r="D71" s="6">
        <v>3747.7</v>
      </c>
      <c r="E71" s="2"/>
      <c r="F71" s="7">
        <f t="shared" si="24"/>
        <v>0</v>
      </c>
      <c r="G71" s="2"/>
      <c r="H71" s="6">
        <v>-1343</v>
      </c>
      <c r="I71" s="2"/>
      <c r="J71" s="7">
        <f t="shared" si="25"/>
        <v>-2.3807789064761622E-2</v>
      </c>
      <c r="K71" s="2"/>
      <c r="L71" s="6">
        <f t="shared" si="26"/>
        <v>5090.7</v>
      </c>
      <c r="M71" s="2"/>
      <c r="N71" s="7">
        <f t="shared" si="27"/>
        <v>-3.7905435591958301</v>
      </c>
      <c r="O71" s="11"/>
      <c r="P71" s="6">
        <v>26496.68</v>
      </c>
      <c r="Q71" s="2"/>
      <c r="R71" s="7">
        <f t="shared" si="28"/>
        <v>6.1642998256540849E-2</v>
      </c>
      <c r="S71" s="2"/>
      <c r="T71" s="6">
        <v>-1063.51</v>
      </c>
      <c r="U71" s="2"/>
      <c r="V71" s="7">
        <f t="shared" si="29"/>
        <v>-2.3078864284034493E-3</v>
      </c>
      <c r="W71" s="2"/>
      <c r="X71" s="6">
        <f t="shared" si="30"/>
        <v>27560.19</v>
      </c>
      <c r="Y71" s="2"/>
      <c r="Z71" s="7">
        <f t="shared" si="31"/>
        <v>-25.914368459158823</v>
      </c>
    </row>
    <row r="72" spans="1:26" s="24" customFormat="1" hidden="1" outlineLevel="2" x14ac:dyDescent="0.25">
      <c r="A72" s="26"/>
      <c r="B72" s="11" t="str">
        <f>CONCATENATE("          ", "6005", " - ", "TEMPORARY WAGES-HOURLY")</f>
        <v xml:space="preserve">          6005 - TEMPORARY WAGES-HOURLY</v>
      </c>
      <c r="C72" s="11"/>
      <c r="D72" s="6"/>
      <c r="E72" s="2"/>
      <c r="F72" s="7">
        <f t="shared" si="24"/>
        <v>0</v>
      </c>
      <c r="G72" s="2"/>
      <c r="H72" s="6">
        <v>516.89</v>
      </c>
      <c r="I72" s="2"/>
      <c r="J72" s="7">
        <f t="shared" si="25"/>
        <v>9.1630737823414996E-3</v>
      </c>
      <c r="K72" s="2"/>
      <c r="L72" s="6">
        <f t="shared" si="26"/>
        <v>-516.89</v>
      </c>
      <c r="M72" s="2"/>
      <c r="N72" s="7">
        <f t="shared" si="27"/>
        <v>-1</v>
      </c>
      <c r="O72" s="11"/>
      <c r="P72" s="6">
        <v>12681.83</v>
      </c>
      <c r="Q72" s="2"/>
      <c r="R72" s="7">
        <f t="shared" si="28"/>
        <v>2.9503546277486362E-2</v>
      </c>
      <c r="S72" s="2"/>
      <c r="T72" s="6">
        <v>14734.89</v>
      </c>
      <c r="U72" s="2"/>
      <c r="V72" s="7">
        <f t="shared" si="29"/>
        <v>3.1975677384338368E-2</v>
      </c>
      <c r="W72" s="2"/>
      <c r="X72" s="6">
        <f t="shared" si="30"/>
        <v>-2053.0599999999995</v>
      </c>
      <c r="Y72" s="2"/>
      <c r="Z72" s="7">
        <f t="shared" si="31"/>
        <v>-0.1393332423927155</v>
      </c>
    </row>
    <row r="73" spans="1:26" s="24" customFormat="1" hidden="1" outlineLevel="2" x14ac:dyDescent="0.25">
      <c r="A73" s="26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4"/>
        <v>0</v>
      </c>
      <c r="G73" s="2"/>
      <c r="H73" s="6"/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1"/>
      <c r="P73" s="6">
        <v>316.16000000000003</v>
      </c>
      <c r="Q73" s="2"/>
      <c r="R73" s="7">
        <f t="shared" si="28"/>
        <v>7.3552801063333053E-4</v>
      </c>
      <c r="S73" s="2"/>
      <c r="T73" s="6">
        <v>2864.13</v>
      </c>
      <c r="U73" s="2"/>
      <c r="V73" s="7">
        <f t="shared" si="29"/>
        <v>6.2153498849876086E-3</v>
      </c>
      <c r="W73" s="2"/>
      <c r="X73" s="6">
        <f t="shared" si="30"/>
        <v>-2547.9700000000003</v>
      </c>
      <c r="Y73" s="2"/>
      <c r="Z73" s="7">
        <f t="shared" si="31"/>
        <v>-0.88961394908750657</v>
      </c>
    </row>
    <row r="74" spans="1:26" s="24" customFormat="1" hidden="1" outlineLevel="2" x14ac:dyDescent="0.25">
      <c r="A74" s="26"/>
      <c r="B74" s="11" t="str">
        <f>CONCATENATE("          ", "6007", " - ", "STUDENT HOURLY")</f>
        <v xml:space="preserve">          6007 - STUDENT HOURLY</v>
      </c>
      <c r="C74" s="11"/>
      <c r="D74" s="6"/>
      <c r="E74" s="2"/>
      <c r="F74" s="7">
        <f t="shared" si="24"/>
        <v>0</v>
      </c>
      <c r="G74" s="2"/>
      <c r="H74" s="6">
        <v>9332.49</v>
      </c>
      <c r="I74" s="2"/>
      <c r="J74" s="7">
        <f t="shared" si="25"/>
        <v>0.16544002484660997</v>
      </c>
      <c r="K74" s="2"/>
      <c r="L74" s="6">
        <f t="shared" si="26"/>
        <v>-9332.49</v>
      </c>
      <c r="M74" s="2"/>
      <c r="N74" s="7">
        <f t="shared" si="27"/>
        <v>-1</v>
      </c>
      <c r="O74" s="11"/>
      <c r="P74" s="6">
        <v>71895.92</v>
      </c>
      <c r="Q74" s="2"/>
      <c r="R74" s="7">
        <f t="shared" si="28"/>
        <v>0.16726171245651908</v>
      </c>
      <c r="S74" s="2"/>
      <c r="T74" s="6">
        <v>77052.88</v>
      </c>
      <c r="U74" s="2"/>
      <c r="V74" s="7">
        <f t="shared" si="29"/>
        <v>0.16720980152645445</v>
      </c>
      <c r="W74" s="2"/>
      <c r="X74" s="6">
        <f t="shared" si="30"/>
        <v>-5156.9600000000064</v>
      </c>
      <c r="Y74" s="2"/>
      <c r="Z74" s="7">
        <f t="shared" si="31"/>
        <v>-6.6927543785514645E-2</v>
      </c>
    </row>
    <row r="75" spans="1:26" s="24" customFormat="1" hidden="1" outlineLevel="2" x14ac:dyDescent="0.25">
      <c r="A75" s="26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4"/>
        <v>0</v>
      </c>
      <c r="G75" s="2"/>
      <c r="H75" s="6">
        <v>69</v>
      </c>
      <c r="I75" s="2"/>
      <c r="J75" s="7">
        <f t="shared" si="25"/>
        <v>1.223184992902868E-3</v>
      </c>
      <c r="K75" s="2"/>
      <c r="L75" s="6">
        <f t="shared" si="26"/>
        <v>-69</v>
      </c>
      <c r="M75" s="2"/>
      <c r="N75" s="7">
        <f t="shared" si="27"/>
        <v>-1</v>
      </c>
      <c r="O75" s="11"/>
      <c r="P75" s="6"/>
      <c r="Q75" s="2"/>
      <c r="R75" s="7">
        <f t="shared" si="28"/>
        <v>0</v>
      </c>
      <c r="S75" s="2"/>
      <c r="T75" s="6">
        <v>69</v>
      </c>
      <c r="U75" s="2"/>
      <c r="V75" s="7">
        <f t="shared" si="29"/>
        <v>1.4973452394414534E-4</v>
      </c>
      <c r="W75" s="2"/>
      <c r="X75" s="6">
        <f t="shared" si="30"/>
        <v>-69</v>
      </c>
      <c r="Y75" s="2"/>
      <c r="Z75" s="7">
        <f t="shared" si="31"/>
        <v>-1</v>
      </c>
    </row>
    <row r="76" spans="1:26" s="27" customFormat="1" outlineLevel="1" collapsed="1" x14ac:dyDescent="0.25">
      <c r="A76" s="25"/>
      <c r="B76" s="13" t="str">
        <f>CONCATENATE("     ","Advertising/Promo                                 ")</f>
        <v xml:space="preserve">     Advertising/Promo                                 </v>
      </c>
      <c r="C76" s="13"/>
      <c r="D76" s="1">
        <f>SUM(OSRRefD22_2x_0)</f>
        <v>0</v>
      </c>
      <c r="E76" s="1"/>
      <c r="F76" s="5">
        <f t="shared" ref="F76:F100" si="32">IF(D$12=0,0,D76/D$12)</f>
        <v>0</v>
      </c>
      <c r="G76" s="1"/>
      <c r="H76" s="1">
        <f>SUM(OSRRefH22_2x_0)</f>
        <v>2328.38</v>
      </c>
      <c r="I76" s="1"/>
      <c r="J76" s="5">
        <f t="shared" ref="J76:J100" si="33">IF(H$12=0,0,H76/H$12)</f>
        <v>4.1275934402538843E-2</v>
      </c>
      <c r="K76" s="1"/>
      <c r="L76" s="1">
        <f t="shared" ref="L76:L100" si="34">+D76-H76</f>
        <v>-2328.38</v>
      </c>
      <c r="M76" s="1"/>
      <c r="N76" s="5">
        <f t="shared" ref="N76:N100" si="35">IF(H76=0,0,L76/H76)</f>
        <v>-1</v>
      </c>
      <c r="O76" s="13"/>
      <c r="P76" s="1">
        <f>SUM(OSRRefP22_2x_0)</f>
        <v>3638.48</v>
      </c>
      <c r="Q76" s="1"/>
      <c r="R76" s="5">
        <f t="shared" ref="R76:R100" si="36">IF(P$12=0,0,P76/P$12)</f>
        <v>8.4647139300643975E-3</v>
      </c>
      <c r="S76" s="1"/>
      <c r="T76" s="1">
        <f>SUM(OSRRefT22_2x_0)</f>
        <v>7509.25</v>
      </c>
      <c r="U76" s="1"/>
      <c r="V76" s="5">
        <f t="shared" ref="V76:V100" si="37">IF(T$12=0,0,T76/T$12)</f>
        <v>1.6295564839530048E-2</v>
      </c>
      <c r="W76" s="1"/>
      <c r="X76" s="1">
        <f t="shared" ref="X76:X100" si="38">+P76-T76</f>
        <v>-3870.77</v>
      </c>
      <c r="Y76" s="1"/>
      <c r="Z76" s="5">
        <f t="shared" ref="Z76:Z100" si="39">IF(T76=0,0,X76/T76)</f>
        <v>-0.51546692412691009</v>
      </c>
    </row>
    <row r="77" spans="1:26" s="24" customFormat="1" hidden="1" outlineLevel="2" x14ac:dyDescent="0.25">
      <c r="A77" s="26"/>
      <c r="B77" s="11" t="str">
        <f>CONCATENATE("          ", "6362", " - ", "ADVERTISING EXPENSE")</f>
        <v xml:space="preserve">          6362 - ADVERTISING EXPENSE</v>
      </c>
      <c r="C77" s="11"/>
      <c r="D77" s="6"/>
      <c r="E77" s="2"/>
      <c r="F77" s="7">
        <f t="shared" si="32"/>
        <v>0</v>
      </c>
      <c r="G77" s="2"/>
      <c r="H77" s="6">
        <v>2328.38</v>
      </c>
      <c r="I77" s="2"/>
      <c r="J77" s="7">
        <f t="shared" si="33"/>
        <v>4.1275934402538843E-2</v>
      </c>
      <c r="K77" s="2"/>
      <c r="L77" s="6">
        <f t="shared" si="34"/>
        <v>-2328.38</v>
      </c>
      <c r="M77" s="2"/>
      <c r="N77" s="7">
        <f t="shared" si="35"/>
        <v>-1</v>
      </c>
      <c r="O77" s="11"/>
      <c r="P77" s="6">
        <v>3638.48</v>
      </c>
      <c r="Q77" s="2"/>
      <c r="R77" s="7">
        <f t="shared" si="36"/>
        <v>8.4647139300643975E-3</v>
      </c>
      <c r="S77" s="2"/>
      <c r="T77" s="6">
        <v>7509.25</v>
      </c>
      <c r="U77" s="2"/>
      <c r="V77" s="7">
        <f t="shared" si="37"/>
        <v>1.6295564839530048E-2</v>
      </c>
      <c r="W77" s="2"/>
      <c r="X77" s="6">
        <f t="shared" si="38"/>
        <v>-3870.77</v>
      </c>
      <c r="Y77" s="2"/>
      <c r="Z77" s="7">
        <f t="shared" si="39"/>
        <v>-0.51546692412691009</v>
      </c>
    </row>
    <row r="78" spans="1:26" s="27" customFormat="1" outlineLevel="1" collapsed="1" x14ac:dyDescent="0.25">
      <c r="A78" s="25"/>
      <c r="B78" s="13" t="str">
        <f>CONCATENATE("     ","Bad Debts/Over/Short                              ")</f>
        <v xml:space="preserve">     Bad Debts/Over/Short                              </v>
      </c>
      <c r="C78" s="13"/>
      <c r="D78" s="1">
        <f>SUM(OSRRefD22_3x_0)</f>
        <v>0</v>
      </c>
      <c r="E78" s="1"/>
      <c r="F78" s="5">
        <f t="shared" si="32"/>
        <v>0</v>
      </c>
      <c r="G78" s="1"/>
      <c r="H78" s="1">
        <f>SUM(OSRRefH22_3x_0)</f>
        <v>28.12</v>
      </c>
      <c r="I78" s="1"/>
      <c r="J78" s="5">
        <f t="shared" si="33"/>
        <v>4.984922029047631E-4</v>
      </c>
      <c r="K78" s="1"/>
      <c r="L78" s="1">
        <f t="shared" si="34"/>
        <v>-28.12</v>
      </c>
      <c r="M78" s="1"/>
      <c r="N78" s="5">
        <f t="shared" si="35"/>
        <v>-1</v>
      </c>
      <c r="O78" s="13"/>
      <c r="P78" s="1">
        <f>SUM(OSRRefP22_3x_0)</f>
        <v>44.45</v>
      </c>
      <c r="Q78" s="1"/>
      <c r="R78" s="5">
        <f t="shared" si="36"/>
        <v>1.0341036207189884E-4</v>
      </c>
      <c r="S78" s="1"/>
      <c r="T78" s="1">
        <f>SUM(OSRRefT22_3x_0)</f>
        <v>165.44</v>
      </c>
      <c r="U78" s="1"/>
      <c r="V78" s="5">
        <f t="shared" si="37"/>
        <v>3.5901564697564354E-4</v>
      </c>
      <c r="W78" s="1"/>
      <c r="X78" s="1">
        <f t="shared" si="38"/>
        <v>-120.99</v>
      </c>
      <c r="Y78" s="1"/>
      <c r="Z78" s="5">
        <f t="shared" si="39"/>
        <v>-0.7313225338491296</v>
      </c>
    </row>
    <row r="79" spans="1:26" s="24" customFormat="1" hidden="1" outlineLevel="2" x14ac:dyDescent="0.25">
      <c r="A79" s="26"/>
      <c r="B79" s="11" t="str">
        <f>CONCATENATE("          ", "6272", " - ", "CASH (OVER/SHORT)")</f>
        <v xml:space="preserve">          6272 - CASH (OVER/SHORT)</v>
      </c>
      <c r="C79" s="11"/>
      <c r="D79" s="6"/>
      <c r="E79" s="2"/>
      <c r="F79" s="7">
        <f t="shared" si="32"/>
        <v>0</v>
      </c>
      <c r="G79" s="2"/>
      <c r="H79" s="6">
        <v>28.12</v>
      </c>
      <c r="I79" s="2"/>
      <c r="J79" s="7">
        <f t="shared" si="33"/>
        <v>4.984922029047631E-4</v>
      </c>
      <c r="K79" s="2"/>
      <c r="L79" s="6">
        <f t="shared" si="34"/>
        <v>-28.12</v>
      </c>
      <c r="M79" s="2"/>
      <c r="N79" s="7">
        <f t="shared" si="35"/>
        <v>-1</v>
      </c>
      <c r="O79" s="11"/>
      <c r="P79" s="6">
        <v>44.45</v>
      </c>
      <c r="Q79" s="2"/>
      <c r="R79" s="7">
        <f t="shared" si="36"/>
        <v>1.0341036207189884E-4</v>
      </c>
      <c r="S79" s="2"/>
      <c r="T79" s="6">
        <v>165.44</v>
      </c>
      <c r="U79" s="2"/>
      <c r="V79" s="7">
        <f t="shared" si="37"/>
        <v>3.5901564697564354E-4</v>
      </c>
      <c r="W79" s="2"/>
      <c r="X79" s="6">
        <f t="shared" si="38"/>
        <v>-120.99</v>
      </c>
      <c r="Y79" s="2"/>
      <c r="Z79" s="7">
        <f t="shared" si="39"/>
        <v>-0.7313225338491296</v>
      </c>
    </row>
    <row r="80" spans="1:26" s="27" customFormat="1" outlineLevel="1" collapsed="1" x14ac:dyDescent="0.25">
      <c r="A80" s="25"/>
      <c r="B80" s="13" t="str">
        <f>CONCATENATE("     ","Bank/card Fees                                    ")</f>
        <v xml:space="preserve">     Bank/card Fees                                    </v>
      </c>
      <c r="C80" s="13"/>
      <c r="D80" s="1">
        <f>SUM(OSRRefD22_4x_0)</f>
        <v>19</v>
      </c>
      <c r="E80" s="1"/>
      <c r="F80" s="5">
        <f t="shared" si="32"/>
        <v>0</v>
      </c>
      <c r="G80" s="1"/>
      <c r="H80" s="1">
        <f>SUM(OSRRefH22_4x_0)</f>
        <v>869.75</v>
      </c>
      <c r="I80" s="1"/>
      <c r="J80" s="5">
        <f t="shared" si="33"/>
        <v>1.541833547213434E-2</v>
      </c>
      <c r="K80" s="1"/>
      <c r="L80" s="1">
        <f t="shared" si="34"/>
        <v>-850.75</v>
      </c>
      <c r="M80" s="1"/>
      <c r="N80" s="5">
        <f t="shared" si="35"/>
        <v>-0.97815464213854553</v>
      </c>
      <c r="O80" s="13"/>
      <c r="P80" s="1">
        <f>SUM(OSRRefP22_4x_0)</f>
        <v>6179.92</v>
      </c>
      <c r="Q80" s="1"/>
      <c r="R80" s="5">
        <f t="shared" si="36"/>
        <v>1.4377227554001554E-2</v>
      </c>
      <c r="S80" s="1"/>
      <c r="T80" s="1">
        <f>SUM(OSRRefT22_4x_0)</f>
        <v>6958.58</v>
      </c>
      <c r="U80" s="1"/>
      <c r="V80" s="5">
        <f t="shared" si="37"/>
        <v>1.5100574835177549E-2</v>
      </c>
      <c r="W80" s="1"/>
      <c r="X80" s="1">
        <f t="shared" si="38"/>
        <v>-778.65999999999985</v>
      </c>
      <c r="Y80" s="1"/>
      <c r="Z80" s="5">
        <f t="shared" si="39"/>
        <v>-0.11189926680443422</v>
      </c>
    </row>
    <row r="81" spans="1:26" s="24" customFormat="1" hidden="1" outlineLevel="2" x14ac:dyDescent="0.25">
      <c r="A81" s="26"/>
      <c r="B81" s="11" t="str">
        <f>CONCATENATE("          ", "6381", " - ", "BANK/CREDIT CARD FEES")</f>
        <v xml:space="preserve">          6381 - BANK/CREDIT CARD FEES</v>
      </c>
      <c r="C81" s="11"/>
      <c r="D81" s="6">
        <v>19</v>
      </c>
      <c r="E81" s="2"/>
      <c r="F81" s="7">
        <f t="shared" si="32"/>
        <v>0</v>
      </c>
      <c r="G81" s="2"/>
      <c r="H81" s="6">
        <v>869.75</v>
      </c>
      <c r="I81" s="2"/>
      <c r="J81" s="7">
        <f t="shared" si="33"/>
        <v>1.541833547213434E-2</v>
      </c>
      <c r="K81" s="2"/>
      <c r="L81" s="6">
        <f t="shared" si="34"/>
        <v>-850.75</v>
      </c>
      <c r="M81" s="2"/>
      <c r="N81" s="7">
        <f t="shared" si="35"/>
        <v>-0.97815464213854553</v>
      </c>
      <c r="O81" s="11"/>
      <c r="P81" s="6">
        <v>6179.92</v>
      </c>
      <c r="Q81" s="2"/>
      <c r="R81" s="7">
        <f t="shared" si="36"/>
        <v>1.4377227554001554E-2</v>
      </c>
      <c r="S81" s="2"/>
      <c r="T81" s="6">
        <v>6958.58</v>
      </c>
      <c r="U81" s="2"/>
      <c r="V81" s="7">
        <f t="shared" si="37"/>
        <v>1.5100574835177549E-2</v>
      </c>
      <c r="W81" s="2"/>
      <c r="X81" s="6">
        <f t="shared" si="38"/>
        <v>-778.65999999999985</v>
      </c>
      <c r="Y81" s="2"/>
      <c r="Z81" s="7">
        <f t="shared" si="39"/>
        <v>-0.11189926680443422</v>
      </c>
    </row>
    <row r="82" spans="1:26" s="27" customFormat="1" outlineLevel="1" collapsed="1" x14ac:dyDescent="0.25">
      <c r="A82" s="25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SUM(OSRRefD22_5x_0)</f>
        <v>0</v>
      </c>
      <c r="E82" s="1"/>
      <c r="F82" s="5">
        <f t="shared" si="32"/>
        <v>0</v>
      </c>
      <c r="G82" s="1"/>
      <c r="H82" s="1">
        <f>SUM(OSRRefH22_5x_0)</f>
        <v>1621.69</v>
      </c>
      <c r="I82" s="1"/>
      <c r="J82" s="5">
        <f t="shared" si="33"/>
        <v>2.8748215523777567E-2</v>
      </c>
      <c r="K82" s="1"/>
      <c r="L82" s="1">
        <f t="shared" si="34"/>
        <v>-1621.69</v>
      </c>
      <c r="M82" s="1"/>
      <c r="N82" s="5">
        <f t="shared" si="35"/>
        <v>-1</v>
      </c>
      <c r="O82" s="13"/>
      <c r="P82" s="1">
        <f>SUM(OSRRefP22_5x_0)</f>
        <v>68571.64</v>
      </c>
      <c r="Q82" s="1"/>
      <c r="R82" s="5">
        <f t="shared" si="36"/>
        <v>0.15952796671009903</v>
      </c>
      <c r="S82" s="1"/>
      <c r="T82" s="1">
        <f>SUM(OSRRefT22_5x_0)</f>
        <v>40706.43</v>
      </c>
      <c r="U82" s="1"/>
      <c r="V82" s="5">
        <f t="shared" si="37"/>
        <v>8.8335621992980812E-2</v>
      </c>
      <c r="W82" s="1"/>
      <c r="X82" s="1">
        <f t="shared" si="38"/>
        <v>27865.21</v>
      </c>
      <c r="Y82" s="1"/>
      <c r="Z82" s="5">
        <f t="shared" si="39"/>
        <v>0.68454074700237777</v>
      </c>
    </row>
    <row r="83" spans="1:26" s="24" customFormat="1" hidden="1" outlineLevel="2" x14ac:dyDescent="0.25">
      <c r="A83" s="26"/>
      <c r="B83" s="11" t="str">
        <f>CONCATENATE("          ", "6382", " - ", "DISCOUNTS/MARK DOWNS")</f>
        <v xml:space="preserve">          6382 - DISCOUNTS/MARK DOWNS</v>
      </c>
      <c r="C83" s="11"/>
      <c r="D83" s="6"/>
      <c r="E83" s="2"/>
      <c r="F83" s="7">
        <f t="shared" si="32"/>
        <v>0</v>
      </c>
      <c r="G83" s="2"/>
      <c r="H83" s="6">
        <v>1621.69</v>
      </c>
      <c r="I83" s="2"/>
      <c r="J83" s="7">
        <f t="shared" si="33"/>
        <v>2.8748215523777567E-2</v>
      </c>
      <c r="K83" s="2"/>
      <c r="L83" s="6">
        <f t="shared" si="34"/>
        <v>-1621.69</v>
      </c>
      <c r="M83" s="2"/>
      <c r="N83" s="7">
        <f t="shared" si="35"/>
        <v>-1</v>
      </c>
      <c r="O83" s="11"/>
      <c r="P83" s="6">
        <v>68571.64</v>
      </c>
      <c r="Q83" s="2"/>
      <c r="R83" s="7">
        <f t="shared" si="36"/>
        <v>0.15952796671009903</v>
      </c>
      <c r="S83" s="2"/>
      <c r="T83" s="6">
        <v>40706.43</v>
      </c>
      <c r="U83" s="2"/>
      <c r="V83" s="7">
        <f t="shared" si="37"/>
        <v>8.8335621992980812E-2</v>
      </c>
      <c r="W83" s="2"/>
      <c r="X83" s="6">
        <f t="shared" si="38"/>
        <v>27865.21</v>
      </c>
      <c r="Y83" s="2"/>
      <c r="Z83" s="7">
        <f t="shared" si="39"/>
        <v>0.68454074700237777</v>
      </c>
    </row>
    <row r="84" spans="1:26" s="27" customFormat="1" outlineLevel="1" collapsed="1" x14ac:dyDescent="0.25">
      <c r="A84" s="25"/>
      <c r="B84" s="13" t="str">
        <f>CONCATENATE("     ","Donations                                         ")</f>
        <v xml:space="preserve">     Donations                                         </v>
      </c>
      <c r="C84" s="13"/>
      <c r="D84" s="1">
        <f>SUM(OSRRefD22_6x_0)</f>
        <v>0</v>
      </c>
      <c r="E84" s="1"/>
      <c r="F84" s="5">
        <f t="shared" si="32"/>
        <v>0</v>
      </c>
      <c r="G84" s="1"/>
      <c r="H84" s="1">
        <f>SUM(OSRRefH22_6x_0)</f>
        <v>0</v>
      </c>
      <c r="I84" s="1"/>
      <c r="J84" s="5">
        <f t="shared" si="33"/>
        <v>0</v>
      </c>
      <c r="K84" s="1"/>
      <c r="L84" s="1">
        <f t="shared" si="34"/>
        <v>0</v>
      </c>
      <c r="M84" s="1"/>
      <c r="N84" s="5">
        <f t="shared" si="35"/>
        <v>0</v>
      </c>
      <c r="O84" s="13"/>
      <c r="P84" s="1">
        <f>SUM(OSRRefP22_6x_0)</f>
        <v>0</v>
      </c>
      <c r="Q84" s="1"/>
      <c r="R84" s="5">
        <f t="shared" si="36"/>
        <v>0</v>
      </c>
      <c r="S84" s="1"/>
      <c r="T84" s="1">
        <f>SUM(OSRRefT22_6x_0)</f>
        <v>141.53</v>
      </c>
      <c r="U84" s="1"/>
      <c r="V84" s="5">
        <f t="shared" si="37"/>
        <v>3.0712937933065056E-4</v>
      </c>
      <c r="W84" s="1"/>
      <c r="X84" s="1">
        <f t="shared" si="38"/>
        <v>-141.53</v>
      </c>
      <c r="Y84" s="1"/>
      <c r="Z84" s="5">
        <f t="shared" si="39"/>
        <v>-1</v>
      </c>
    </row>
    <row r="85" spans="1:26" s="24" customFormat="1" hidden="1" outlineLevel="2" x14ac:dyDescent="0.25">
      <c r="A85" s="26"/>
      <c r="B85" s="11" t="str">
        <f>CONCATENATE("          ", "6399", " - ", "DONATION-ON CAMPUS")</f>
        <v xml:space="preserve">          6399 - DONATION-ON CAMPUS</v>
      </c>
      <c r="C85" s="11"/>
      <c r="D85" s="6"/>
      <c r="E85" s="2"/>
      <c r="F85" s="7">
        <f t="shared" si="32"/>
        <v>0</v>
      </c>
      <c r="G85" s="2"/>
      <c r="H85" s="6"/>
      <c r="I85" s="2"/>
      <c r="J85" s="7">
        <f t="shared" si="33"/>
        <v>0</v>
      </c>
      <c r="K85" s="2"/>
      <c r="L85" s="6">
        <f t="shared" si="34"/>
        <v>0</v>
      </c>
      <c r="M85" s="2"/>
      <c r="N85" s="7">
        <f t="shared" si="35"/>
        <v>0</v>
      </c>
      <c r="O85" s="11"/>
      <c r="P85" s="6"/>
      <c r="Q85" s="2"/>
      <c r="R85" s="7">
        <f t="shared" si="36"/>
        <v>0</v>
      </c>
      <c r="S85" s="2"/>
      <c r="T85" s="6">
        <v>141.53</v>
      </c>
      <c r="U85" s="2"/>
      <c r="V85" s="7">
        <f t="shared" si="37"/>
        <v>3.0712937933065056E-4</v>
      </c>
      <c r="W85" s="2"/>
      <c r="X85" s="6">
        <f t="shared" si="38"/>
        <v>-141.53</v>
      </c>
      <c r="Y85" s="2"/>
      <c r="Z85" s="7">
        <f t="shared" si="39"/>
        <v>-1</v>
      </c>
    </row>
    <row r="86" spans="1:26" s="27" customFormat="1" outlineLevel="1" collapsed="1" x14ac:dyDescent="0.25">
      <c r="A86" s="25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SUM(OSRRefD22_7x_0)</f>
        <v>0</v>
      </c>
      <c r="E86" s="1"/>
      <c r="F86" s="5">
        <f t="shared" si="32"/>
        <v>0</v>
      </c>
      <c r="G86" s="1"/>
      <c r="H86" s="1">
        <f>SUM(OSRRefH22_7x_0)</f>
        <v>0</v>
      </c>
      <c r="I86" s="1"/>
      <c r="J86" s="5">
        <f t="shared" si="33"/>
        <v>0</v>
      </c>
      <c r="K86" s="1"/>
      <c r="L86" s="1">
        <f t="shared" si="34"/>
        <v>0</v>
      </c>
      <c r="M86" s="1"/>
      <c r="N86" s="5">
        <f t="shared" si="35"/>
        <v>0</v>
      </c>
      <c r="O86" s="13"/>
      <c r="P86" s="1">
        <f>SUM(OSRRefP22_7x_0)</f>
        <v>120.93</v>
      </c>
      <c r="Q86" s="1"/>
      <c r="R86" s="5">
        <f t="shared" si="36"/>
        <v>2.8133667233643932E-4</v>
      </c>
      <c r="S86" s="1"/>
      <c r="T86" s="1">
        <f>SUM(OSRRefT22_7x_0)</f>
        <v>75.53</v>
      </c>
      <c r="U86" s="1"/>
      <c r="V86" s="5">
        <f t="shared" si="37"/>
        <v>1.6390505207972895E-4</v>
      </c>
      <c r="W86" s="1"/>
      <c r="X86" s="1">
        <f t="shared" si="38"/>
        <v>45.400000000000006</v>
      </c>
      <c r="Y86" s="1"/>
      <c r="Z86" s="5">
        <f t="shared" si="39"/>
        <v>0.60108566132662522</v>
      </c>
    </row>
    <row r="87" spans="1:26" s="24" customFormat="1" hidden="1" outlineLevel="2" x14ac:dyDescent="0.25">
      <c r="A87" s="26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32"/>
        <v>0</v>
      </c>
      <c r="G87" s="2"/>
      <c r="H87" s="6"/>
      <c r="I87" s="2"/>
      <c r="J87" s="7">
        <f t="shared" si="33"/>
        <v>0</v>
      </c>
      <c r="K87" s="2"/>
      <c r="L87" s="6">
        <f t="shared" si="34"/>
        <v>0</v>
      </c>
      <c r="M87" s="2"/>
      <c r="N87" s="7">
        <f t="shared" si="35"/>
        <v>0</v>
      </c>
      <c r="O87" s="11"/>
      <c r="P87" s="6">
        <v>120.93</v>
      </c>
      <c r="Q87" s="2"/>
      <c r="R87" s="7">
        <f t="shared" si="36"/>
        <v>2.8133667233643932E-4</v>
      </c>
      <c r="S87" s="2"/>
      <c r="T87" s="6">
        <v>75.53</v>
      </c>
      <c r="U87" s="2"/>
      <c r="V87" s="7">
        <f t="shared" si="37"/>
        <v>1.6390505207972895E-4</v>
      </c>
      <c r="W87" s="2"/>
      <c r="X87" s="6">
        <f t="shared" si="38"/>
        <v>45.400000000000006</v>
      </c>
      <c r="Y87" s="2"/>
      <c r="Z87" s="7">
        <f t="shared" si="39"/>
        <v>0.60108566132662522</v>
      </c>
    </row>
    <row r="88" spans="1:26" s="27" customFormat="1" outlineLevel="1" collapsed="1" x14ac:dyDescent="0.25">
      <c r="A88" s="25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SUM(OSRRefD22_8x_0)</f>
        <v>120.99</v>
      </c>
      <c r="E88" s="1"/>
      <c r="F88" s="5">
        <f t="shared" si="32"/>
        <v>0</v>
      </c>
      <c r="G88" s="1"/>
      <c r="H88" s="1">
        <f>SUM(OSRRefH22_8x_0)</f>
        <v>0</v>
      </c>
      <c r="I88" s="1"/>
      <c r="J88" s="5">
        <f t="shared" si="33"/>
        <v>0</v>
      </c>
      <c r="K88" s="1"/>
      <c r="L88" s="1">
        <f t="shared" si="34"/>
        <v>120.99</v>
      </c>
      <c r="M88" s="1"/>
      <c r="N88" s="5">
        <f t="shared" si="35"/>
        <v>0</v>
      </c>
      <c r="O88" s="13"/>
      <c r="P88" s="1">
        <f>SUM(OSRRefP22_8x_0)</f>
        <v>1392.43</v>
      </c>
      <c r="Q88" s="1"/>
      <c r="R88" s="5">
        <f t="shared" si="36"/>
        <v>3.2394081093312511E-3</v>
      </c>
      <c r="S88" s="1"/>
      <c r="T88" s="1">
        <f>SUM(OSRRefT22_8x_0)</f>
        <v>1494.38</v>
      </c>
      <c r="U88" s="1"/>
      <c r="V88" s="5">
        <f t="shared" si="37"/>
        <v>3.242902578139883E-3</v>
      </c>
      <c r="W88" s="1"/>
      <c r="X88" s="1">
        <f t="shared" si="38"/>
        <v>-101.95000000000005</v>
      </c>
      <c r="Y88" s="1"/>
      <c r="Z88" s="5">
        <f t="shared" si="39"/>
        <v>-6.8222272782023335E-2</v>
      </c>
    </row>
    <row r="89" spans="1:26" s="24" customFormat="1" hidden="1" outlineLevel="2" x14ac:dyDescent="0.25">
      <c r="A89" s="26"/>
      <c r="B89" s="11" t="str">
        <f>CONCATENATE("          ", "6279", " - ", "GENERAL EXPENSE")</f>
        <v xml:space="preserve">          6279 - GENERAL EXPENSE</v>
      </c>
      <c r="C89" s="11"/>
      <c r="D89" s="6">
        <v>120.99</v>
      </c>
      <c r="E89" s="2"/>
      <c r="F89" s="7">
        <f t="shared" si="32"/>
        <v>0</v>
      </c>
      <c r="G89" s="2"/>
      <c r="H89" s="6"/>
      <c r="I89" s="2"/>
      <c r="J89" s="7">
        <f t="shared" si="33"/>
        <v>0</v>
      </c>
      <c r="K89" s="2"/>
      <c r="L89" s="6">
        <f t="shared" si="34"/>
        <v>120.99</v>
      </c>
      <c r="M89" s="2"/>
      <c r="N89" s="7">
        <f t="shared" si="35"/>
        <v>0</v>
      </c>
      <c r="O89" s="11"/>
      <c r="P89" s="6">
        <v>1392.43</v>
      </c>
      <c r="Q89" s="2"/>
      <c r="R89" s="7">
        <f t="shared" si="36"/>
        <v>3.2394081093312511E-3</v>
      </c>
      <c r="S89" s="2"/>
      <c r="T89" s="6">
        <v>1494.38</v>
      </c>
      <c r="U89" s="2"/>
      <c r="V89" s="7">
        <f t="shared" si="37"/>
        <v>3.242902578139883E-3</v>
      </c>
      <c r="W89" s="2"/>
      <c r="X89" s="6">
        <f t="shared" si="38"/>
        <v>-101.95000000000005</v>
      </c>
      <c r="Y89" s="2"/>
      <c r="Z89" s="7">
        <f t="shared" si="39"/>
        <v>-6.8222272782023335E-2</v>
      </c>
    </row>
    <row r="90" spans="1:26" s="27" customFormat="1" outlineLevel="1" collapsed="1" x14ac:dyDescent="0.25">
      <c r="A90" s="25"/>
      <c r="B90" s="13" t="str">
        <f>CONCATENATE("     ","Insurance                                         ")</f>
        <v xml:space="preserve">     Insurance                                         </v>
      </c>
      <c r="C90" s="13"/>
      <c r="D90" s="1">
        <f>SUM(OSRRefD22_9x_0)</f>
        <v>161.18</v>
      </c>
      <c r="E90" s="1"/>
      <c r="F90" s="5">
        <f t="shared" si="32"/>
        <v>0</v>
      </c>
      <c r="G90" s="1"/>
      <c r="H90" s="1">
        <f>SUM(OSRRefH22_9x_0)</f>
        <v>151.85</v>
      </c>
      <c r="I90" s="1"/>
      <c r="J90" s="5">
        <f t="shared" si="33"/>
        <v>2.6918933503231957E-3</v>
      </c>
      <c r="K90" s="1"/>
      <c r="L90" s="1">
        <f t="shared" si="34"/>
        <v>9.3300000000000125</v>
      </c>
      <c r="M90" s="1"/>
      <c r="N90" s="5">
        <f t="shared" si="35"/>
        <v>6.1442212709911181E-2</v>
      </c>
      <c r="O90" s="13"/>
      <c r="P90" s="1">
        <f>SUM(OSRRefP22_9x_0)</f>
        <v>1772.98</v>
      </c>
      <c r="Q90" s="1"/>
      <c r="R90" s="5">
        <f t="shared" si="36"/>
        <v>4.1247357423225021E-3</v>
      </c>
      <c r="S90" s="1"/>
      <c r="T90" s="1">
        <f>SUM(OSRRefT22_9x_0)</f>
        <v>1399.4</v>
      </c>
      <c r="U90" s="1"/>
      <c r="V90" s="5">
        <f t="shared" si="37"/>
        <v>3.0367897508324204E-3</v>
      </c>
      <c r="W90" s="1"/>
      <c r="X90" s="1">
        <f t="shared" si="38"/>
        <v>373.57999999999993</v>
      </c>
      <c r="Y90" s="1"/>
      <c r="Z90" s="5">
        <f t="shared" si="39"/>
        <v>0.26695726740031434</v>
      </c>
    </row>
    <row r="91" spans="1:26" s="24" customFormat="1" hidden="1" outlineLevel="2" x14ac:dyDescent="0.25">
      <c r="A91" s="26"/>
      <c r="B91" s="11" t="str">
        <f>CONCATENATE("          ", "6314", " - ", "LIABILITY INSURANCE")</f>
        <v xml:space="preserve">          6314 - LIABILITY INSURANCE</v>
      </c>
      <c r="C91" s="11"/>
      <c r="D91" s="6">
        <v>161.18</v>
      </c>
      <c r="E91" s="2"/>
      <c r="F91" s="7">
        <f t="shared" si="32"/>
        <v>0</v>
      </c>
      <c r="G91" s="2"/>
      <c r="H91" s="6">
        <v>151.85</v>
      </c>
      <c r="I91" s="2"/>
      <c r="J91" s="7">
        <f t="shared" si="33"/>
        <v>2.6918933503231957E-3</v>
      </c>
      <c r="K91" s="2"/>
      <c r="L91" s="6">
        <f t="shared" si="34"/>
        <v>9.3300000000000125</v>
      </c>
      <c r="M91" s="2"/>
      <c r="N91" s="7">
        <f t="shared" si="35"/>
        <v>6.1442212709911181E-2</v>
      </c>
      <c r="O91" s="11"/>
      <c r="P91" s="6">
        <v>1772.98</v>
      </c>
      <c r="Q91" s="2"/>
      <c r="R91" s="7">
        <f t="shared" si="36"/>
        <v>4.1247357423225021E-3</v>
      </c>
      <c r="S91" s="2"/>
      <c r="T91" s="6">
        <v>1399.4</v>
      </c>
      <c r="U91" s="2"/>
      <c r="V91" s="7">
        <f t="shared" si="37"/>
        <v>3.0367897508324204E-3</v>
      </c>
      <c r="W91" s="2"/>
      <c r="X91" s="6">
        <f t="shared" si="38"/>
        <v>373.57999999999993</v>
      </c>
      <c r="Y91" s="2"/>
      <c r="Z91" s="7">
        <f t="shared" si="39"/>
        <v>0.26695726740031434</v>
      </c>
    </row>
    <row r="92" spans="1:26" s="27" customFormat="1" outlineLevel="1" collapsed="1" x14ac:dyDescent="0.25">
      <c r="A92" s="25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SUM(OSRRefD22_10x_0)</f>
        <v>600</v>
      </c>
      <c r="E92" s="1"/>
      <c r="F92" s="5">
        <f t="shared" si="32"/>
        <v>0</v>
      </c>
      <c r="G92" s="1"/>
      <c r="H92" s="1">
        <f>SUM(OSRRefH22_10x_0)</f>
        <v>600</v>
      </c>
      <c r="I92" s="1"/>
      <c r="J92" s="5">
        <f t="shared" si="33"/>
        <v>1.0636391242633636E-2</v>
      </c>
      <c r="K92" s="1"/>
      <c r="L92" s="1">
        <f t="shared" si="34"/>
        <v>0</v>
      </c>
      <c r="M92" s="1"/>
      <c r="N92" s="5">
        <f t="shared" si="35"/>
        <v>0</v>
      </c>
      <c r="O92" s="13"/>
      <c r="P92" s="1">
        <f>SUM(OSRRefP22_10x_0)</f>
        <v>4200</v>
      </c>
      <c r="Q92" s="1"/>
      <c r="R92" s="5">
        <f t="shared" si="36"/>
        <v>9.7710578335652443E-3</v>
      </c>
      <c r="S92" s="1"/>
      <c r="T92" s="1">
        <f>SUM(OSRRefT22_10x_0)</f>
        <v>4200</v>
      </c>
      <c r="U92" s="1"/>
      <c r="V92" s="5">
        <f t="shared" si="37"/>
        <v>9.1142753705131946E-3</v>
      </c>
      <c r="W92" s="1"/>
      <c r="X92" s="1">
        <f t="shared" si="38"/>
        <v>0</v>
      </c>
      <c r="Y92" s="1"/>
      <c r="Z92" s="5">
        <f t="shared" si="39"/>
        <v>0</v>
      </c>
    </row>
    <row r="93" spans="1:26" s="24" customFormat="1" hidden="1" outlineLevel="2" x14ac:dyDescent="0.25">
      <c r="A93" s="26"/>
      <c r="B93" s="11" t="str">
        <f>CONCATENATE("          ", "6408", " - ", "INVENTORY ADJUSTMENT")</f>
        <v xml:space="preserve">          6408 - INVENTORY ADJUSTMENT</v>
      </c>
      <c r="C93" s="11"/>
      <c r="D93" s="6">
        <v>600</v>
      </c>
      <c r="E93" s="2"/>
      <c r="F93" s="7">
        <f t="shared" si="32"/>
        <v>0</v>
      </c>
      <c r="G93" s="2"/>
      <c r="H93" s="6">
        <v>600</v>
      </c>
      <c r="I93" s="2"/>
      <c r="J93" s="7">
        <f t="shared" si="33"/>
        <v>1.0636391242633636E-2</v>
      </c>
      <c r="K93" s="2"/>
      <c r="L93" s="6">
        <f t="shared" si="34"/>
        <v>0</v>
      </c>
      <c r="M93" s="2"/>
      <c r="N93" s="7">
        <f t="shared" si="35"/>
        <v>0</v>
      </c>
      <c r="O93" s="11"/>
      <c r="P93" s="6">
        <v>4200</v>
      </c>
      <c r="Q93" s="2"/>
      <c r="R93" s="7">
        <f t="shared" si="36"/>
        <v>9.7710578335652443E-3</v>
      </c>
      <c r="S93" s="2"/>
      <c r="T93" s="6">
        <v>4200</v>
      </c>
      <c r="U93" s="2"/>
      <c r="V93" s="7">
        <f t="shared" si="37"/>
        <v>9.1142753705131946E-3</v>
      </c>
      <c r="W93" s="2"/>
      <c r="X93" s="6">
        <f t="shared" si="38"/>
        <v>0</v>
      </c>
      <c r="Y93" s="2"/>
      <c r="Z93" s="7">
        <f t="shared" si="39"/>
        <v>0</v>
      </c>
    </row>
    <row r="94" spans="1:26" s="27" customFormat="1" outlineLevel="1" collapsed="1" x14ac:dyDescent="0.25">
      <c r="A94" s="25"/>
      <c r="B94" s="13" t="str">
        <f>CONCATENATE("     ","Professional Services                             ")</f>
        <v xml:space="preserve">     Professional Services                             </v>
      </c>
      <c r="C94" s="13"/>
      <c r="D94" s="1">
        <f>SUM(OSRRefD22_11x_0)</f>
        <v>0</v>
      </c>
      <c r="E94" s="1"/>
      <c r="F94" s="5">
        <f t="shared" si="32"/>
        <v>0</v>
      </c>
      <c r="G94" s="1"/>
      <c r="H94" s="1">
        <f>SUM(OSRRefH22_11x_0)</f>
        <v>0</v>
      </c>
      <c r="I94" s="1"/>
      <c r="J94" s="5">
        <f t="shared" si="33"/>
        <v>0</v>
      </c>
      <c r="K94" s="1"/>
      <c r="L94" s="1">
        <f t="shared" si="34"/>
        <v>0</v>
      </c>
      <c r="M94" s="1"/>
      <c r="N94" s="5">
        <f t="shared" si="35"/>
        <v>0</v>
      </c>
      <c r="O94" s="13"/>
      <c r="P94" s="1">
        <f>SUM(OSRRefP22_11x_0)</f>
        <v>750</v>
      </c>
      <c r="Q94" s="1"/>
      <c r="R94" s="5">
        <f t="shared" si="36"/>
        <v>1.7448317559937937E-3</v>
      </c>
      <c r="S94" s="1"/>
      <c r="T94" s="1">
        <f>SUM(OSRRefT22_11x_0)</f>
        <v>750</v>
      </c>
      <c r="U94" s="1"/>
      <c r="V94" s="5">
        <f t="shared" si="37"/>
        <v>1.6275491733059276E-3</v>
      </c>
      <c r="W94" s="1"/>
      <c r="X94" s="1">
        <f t="shared" si="38"/>
        <v>0</v>
      </c>
      <c r="Y94" s="1"/>
      <c r="Z94" s="5">
        <f t="shared" si="39"/>
        <v>0</v>
      </c>
    </row>
    <row r="95" spans="1:26" s="24" customFormat="1" hidden="1" outlineLevel="2" x14ac:dyDescent="0.25">
      <c r="A95" s="26"/>
      <c r="B95" s="11" t="str">
        <f>CONCATENATE("          ", "6336", " - ", "PROFESSIONAL SERVICES")</f>
        <v xml:space="preserve">          6336 - PROFESSIONAL SERVICES</v>
      </c>
      <c r="C95" s="11"/>
      <c r="D95" s="6"/>
      <c r="E95" s="2"/>
      <c r="F95" s="7">
        <f t="shared" si="32"/>
        <v>0</v>
      </c>
      <c r="G95" s="2"/>
      <c r="H95" s="6"/>
      <c r="I95" s="2"/>
      <c r="J95" s="7">
        <f t="shared" si="33"/>
        <v>0</v>
      </c>
      <c r="K95" s="2"/>
      <c r="L95" s="6">
        <f t="shared" si="34"/>
        <v>0</v>
      </c>
      <c r="M95" s="2"/>
      <c r="N95" s="7">
        <f t="shared" si="35"/>
        <v>0</v>
      </c>
      <c r="O95" s="11"/>
      <c r="P95" s="6">
        <v>750</v>
      </c>
      <c r="Q95" s="2"/>
      <c r="R95" s="7">
        <f t="shared" si="36"/>
        <v>1.7448317559937937E-3</v>
      </c>
      <c r="S95" s="2"/>
      <c r="T95" s="6">
        <v>750</v>
      </c>
      <c r="U95" s="2"/>
      <c r="V95" s="7">
        <f t="shared" si="37"/>
        <v>1.6275491733059276E-3</v>
      </c>
      <c r="W95" s="2"/>
      <c r="X95" s="6">
        <f t="shared" si="38"/>
        <v>0</v>
      </c>
      <c r="Y95" s="2"/>
      <c r="Z95" s="7">
        <f t="shared" si="39"/>
        <v>0</v>
      </c>
    </row>
    <row r="96" spans="1:26" s="27" customFormat="1" outlineLevel="1" collapsed="1" x14ac:dyDescent="0.25">
      <c r="A96" s="25"/>
      <c r="B96" s="13" t="str">
        <f>CONCATENATE("     ","Rent                                              ")</f>
        <v xml:space="preserve">     Rent                                              </v>
      </c>
      <c r="C96" s="13"/>
      <c r="D96" s="1">
        <f>SUM(OSRRefD22_12x_0)</f>
        <v>6900</v>
      </c>
      <c r="E96" s="1"/>
      <c r="F96" s="5">
        <f t="shared" si="32"/>
        <v>0</v>
      </c>
      <c r="G96" s="1"/>
      <c r="H96" s="1">
        <f>SUM(OSRRefH22_12x_0)</f>
        <v>6900</v>
      </c>
      <c r="I96" s="1"/>
      <c r="J96" s="5">
        <f t="shared" si="33"/>
        <v>0.12231849929028681</v>
      </c>
      <c r="K96" s="1"/>
      <c r="L96" s="1">
        <f t="shared" si="34"/>
        <v>0</v>
      </c>
      <c r="M96" s="1"/>
      <c r="N96" s="5">
        <f t="shared" si="35"/>
        <v>0</v>
      </c>
      <c r="O96" s="13"/>
      <c r="P96" s="1">
        <f>SUM(OSRRefP22_12x_0)</f>
        <v>75900</v>
      </c>
      <c r="Q96" s="1"/>
      <c r="R96" s="5">
        <f t="shared" si="36"/>
        <v>0.17657697370657194</v>
      </c>
      <c r="S96" s="1"/>
      <c r="T96" s="1">
        <f>SUM(OSRRefT22_12x_0)</f>
        <v>75900</v>
      </c>
      <c r="U96" s="1"/>
      <c r="V96" s="5">
        <f t="shared" si="37"/>
        <v>0.16470797633855988</v>
      </c>
      <c r="W96" s="1"/>
      <c r="X96" s="1">
        <f t="shared" si="38"/>
        <v>0</v>
      </c>
      <c r="Y96" s="1"/>
      <c r="Z96" s="5">
        <f t="shared" si="39"/>
        <v>0</v>
      </c>
    </row>
    <row r="97" spans="1:26" s="24" customFormat="1" hidden="1" outlineLevel="2" x14ac:dyDescent="0.25">
      <c r="A97" s="26"/>
      <c r="B97" s="11" t="str">
        <f>CONCATENATE("          ", "6273", " - ", "RENT")</f>
        <v xml:space="preserve">          6273 - RENT</v>
      </c>
      <c r="C97" s="11"/>
      <c r="D97" s="6">
        <v>6900</v>
      </c>
      <c r="E97" s="2"/>
      <c r="F97" s="7">
        <f t="shared" si="32"/>
        <v>0</v>
      </c>
      <c r="G97" s="2"/>
      <c r="H97" s="6">
        <v>6900</v>
      </c>
      <c r="I97" s="2"/>
      <c r="J97" s="7">
        <f t="shared" si="33"/>
        <v>0.12231849929028681</v>
      </c>
      <c r="K97" s="2"/>
      <c r="L97" s="6">
        <f t="shared" si="34"/>
        <v>0</v>
      </c>
      <c r="M97" s="2"/>
      <c r="N97" s="7">
        <f t="shared" si="35"/>
        <v>0</v>
      </c>
      <c r="O97" s="11"/>
      <c r="P97" s="6">
        <v>75900</v>
      </c>
      <c r="Q97" s="2"/>
      <c r="R97" s="7">
        <f t="shared" si="36"/>
        <v>0.17657697370657194</v>
      </c>
      <c r="S97" s="2"/>
      <c r="T97" s="6">
        <v>75900</v>
      </c>
      <c r="U97" s="2"/>
      <c r="V97" s="7">
        <f t="shared" si="37"/>
        <v>0.16470797633855988</v>
      </c>
      <c r="W97" s="2"/>
      <c r="X97" s="6">
        <f t="shared" si="38"/>
        <v>0</v>
      </c>
      <c r="Y97" s="2"/>
      <c r="Z97" s="7">
        <f t="shared" si="39"/>
        <v>0</v>
      </c>
    </row>
    <row r="98" spans="1:26" s="27" customFormat="1" outlineLevel="1" collapsed="1" x14ac:dyDescent="0.25">
      <c r="A98" s="25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SUM(OSRRefD22_13x_0)</f>
        <v>0</v>
      </c>
      <c r="E98" s="1"/>
      <c r="F98" s="5">
        <f t="shared" si="32"/>
        <v>0</v>
      </c>
      <c r="G98" s="1"/>
      <c r="H98" s="1">
        <f>SUM(OSRRefH22_13x_0)</f>
        <v>0</v>
      </c>
      <c r="I98" s="1"/>
      <c r="J98" s="5">
        <f t="shared" si="33"/>
        <v>0</v>
      </c>
      <c r="K98" s="1"/>
      <c r="L98" s="1">
        <f t="shared" si="34"/>
        <v>0</v>
      </c>
      <c r="M98" s="1"/>
      <c r="N98" s="5">
        <f t="shared" si="35"/>
        <v>0</v>
      </c>
      <c r="O98" s="13"/>
      <c r="P98" s="1">
        <f>SUM(OSRRefP22_13x_0)</f>
        <v>323.98</v>
      </c>
      <c r="Q98" s="1"/>
      <c r="R98" s="5">
        <f t="shared" si="36"/>
        <v>7.5372078974249247E-4</v>
      </c>
      <c r="S98" s="1"/>
      <c r="T98" s="1">
        <f>SUM(OSRRefT22_13x_0)</f>
        <v>654.57999999999993</v>
      </c>
      <c r="U98" s="1"/>
      <c r="V98" s="5">
        <f t="shared" si="37"/>
        <v>1.4204815171501254E-3</v>
      </c>
      <c r="W98" s="1"/>
      <c r="X98" s="1">
        <f t="shared" si="38"/>
        <v>-330.59999999999991</v>
      </c>
      <c r="Y98" s="1"/>
      <c r="Z98" s="5">
        <f t="shared" si="39"/>
        <v>-0.50505667756423955</v>
      </c>
    </row>
    <row r="99" spans="1:26" s="24" customFormat="1" hidden="1" outlineLevel="2" x14ac:dyDescent="0.25">
      <c r="A99" s="26"/>
      <c r="B99" s="11" t="str">
        <f>CONCATENATE("          ", "6373", " - ", "MAINTENANCE CONTRACTS")</f>
        <v xml:space="preserve">          6373 - MAINTENANCE CONTRACTS</v>
      </c>
      <c r="C99" s="11"/>
      <c r="D99" s="6"/>
      <c r="E99" s="2"/>
      <c r="F99" s="7">
        <f t="shared" si="32"/>
        <v>0</v>
      </c>
      <c r="G99" s="2"/>
      <c r="H99" s="6"/>
      <c r="I99" s="2"/>
      <c r="J99" s="7">
        <f t="shared" si="33"/>
        <v>0</v>
      </c>
      <c r="K99" s="2"/>
      <c r="L99" s="6">
        <f t="shared" si="34"/>
        <v>0</v>
      </c>
      <c r="M99" s="2"/>
      <c r="N99" s="7">
        <f t="shared" si="35"/>
        <v>0</v>
      </c>
      <c r="O99" s="11"/>
      <c r="P99" s="6">
        <v>141.44999999999999</v>
      </c>
      <c r="Q99" s="2"/>
      <c r="R99" s="7">
        <f t="shared" si="36"/>
        <v>3.2907526918042948E-4</v>
      </c>
      <c r="S99" s="2"/>
      <c r="T99" s="6">
        <v>134.94</v>
      </c>
      <c r="U99" s="2"/>
      <c r="V99" s="7">
        <f t="shared" si="37"/>
        <v>2.928286472612025E-4</v>
      </c>
      <c r="W99" s="2"/>
      <c r="X99" s="6">
        <f t="shared" si="38"/>
        <v>6.5099999999999909</v>
      </c>
      <c r="Y99" s="2"/>
      <c r="Z99" s="7">
        <f t="shared" si="39"/>
        <v>4.8243663850600201E-2</v>
      </c>
    </row>
    <row r="100" spans="1:26" s="24" customFormat="1" hidden="1" outlineLevel="2" x14ac:dyDescent="0.25">
      <c r="A100" s="26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32"/>
        <v>0</v>
      </c>
      <c r="G100" s="2"/>
      <c r="H100" s="6"/>
      <c r="I100" s="2"/>
      <c r="J100" s="7">
        <f t="shared" si="33"/>
        <v>0</v>
      </c>
      <c r="K100" s="2"/>
      <c r="L100" s="6">
        <f t="shared" si="34"/>
        <v>0</v>
      </c>
      <c r="M100" s="2"/>
      <c r="N100" s="7">
        <f t="shared" si="35"/>
        <v>0</v>
      </c>
      <c r="O100" s="11"/>
      <c r="P100" s="6">
        <v>182.53</v>
      </c>
      <c r="Q100" s="2"/>
      <c r="R100" s="7">
        <f t="shared" si="36"/>
        <v>4.2464552056206288E-4</v>
      </c>
      <c r="S100" s="2"/>
      <c r="T100" s="6">
        <v>519.64</v>
      </c>
      <c r="U100" s="2"/>
      <c r="V100" s="7">
        <f t="shared" si="37"/>
        <v>1.1276528698889229E-3</v>
      </c>
      <c r="W100" s="2"/>
      <c r="X100" s="6">
        <f t="shared" si="38"/>
        <v>-337.11</v>
      </c>
      <c r="Y100" s="2"/>
      <c r="Z100" s="7">
        <f t="shared" si="39"/>
        <v>-0.64873758756061894</v>
      </c>
    </row>
    <row r="101" spans="1:26" s="27" customFormat="1" outlineLevel="1" collapsed="1" x14ac:dyDescent="0.25">
      <c r="A101" s="25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SUM(OSRRefD22_14x_0)</f>
        <v>189.45</v>
      </c>
      <c r="E101" s="1"/>
      <c r="F101" s="5">
        <f t="shared" ref="F101:F104" si="40">IF(D$12=0,0,D101/D$12)</f>
        <v>0</v>
      </c>
      <c r="G101" s="1"/>
      <c r="H101" s="1">
        <f>SUM(OSRRefH22_14x_0)</f>
        <v>272.19</v>
      </c>
      <c r="I101" s="1"/>
      <c r="J101" s="5">
        <f t="shared" ref="J101:J104" si="41">IF(H$12=0,0,H101/H$12)</f>
        <v>4.8251988872207484E-3</v>
      </c>
      <c r="K101" s="1"/>
      <c r="L101" s="1">
        <f t="shared" ref="L101:L104" si="42">+D101-H101</f>
        <v>-82.740000000000009</v>
      </c>
      <c r="M101" s="1"/>
      <c r="N101" s="5">
        <f t="shared" ref="N101:N104" si="43">IF(H101=0,0,L101/H101)</f>
        <v>-0.30397883831147365</v>
      </c>
      <c r="O101" s="13"/>
      <c r="P101" s="1">
        <f>SUM(OSRRefP22_14x_0)</f>
        <v>2949.5299999999997</v>
      </c>
      <c r="Q101" s="1"/>
      <c r="R101" s="5">
        <f t="shared" ref="R101:R104" si="44">IF(P$12=0,0,P101/P$12)</f>
        <v>6.8619114790084987E-3</v>
      </c>
      <c r="S101" s="1"/>
      <c r="T101" s="1">
        <f>SUM(OSRRefT22_14x_0)</f>
        <v>2375.5099999999998</v>
      </c>
      <c r="U101" s="1"/>
      <c r="V101" s="5">
        <f t="shared" ref="V101:V104" si="45">IF(T$12=0,0,T101/T$12)</f>
        <v>5.1550124489066181E-3</v>
      </c>
      <c r="W101" s="1"/>
      <c r="X101" s="1">
        <f t="shared" ref="X101:X104" si="46">+P101-T101</f>
        <v>574.02</v>
      </c>
      <c r="Y101" s="1"/>
      <c r="Z101" s="5">
        <f t="shared" ref="Z101:Z104" si="47">IF(T101=0,0,X101/T101)</f>
        <v>0.24164074240899849</v>
      </c>
    </row>
    <row r="102" spans="1:26" s="24" customFormat="1" hidden="1" outlineLevel="2" x14ac:dyDescent="0.25">
      <c r="A102" s="26"/>
      <c r="B102" s="11" t="str">
        <f>CONCATENATE("          ", "6283", " - ", "PLANT SERVICE")</f>
        <v xml:space="preserve">          6283 - PLANT SERVICE</v>
      </c>
      <c r="C102" s="11"/>
      <c r="D102" s="6"/>
      <c r="E102" s="2"/>
      <c r="F102" s="7">
        <f t="shared" si="40"/>
        <v>0</v>
      </c>
      <c r="G102" s="2"/>
      <c r="H102" s="6">
        <v>56</v>
      </c>
      <c r="I102" s="2"/>
      <c r="J102" s="7">
        <f t="shared" si="41"/>
        <v>9.927298493124727E-4</v>
      </c>
      <c r="K102" s="2"/>
      <c r="L102" s="6">
        <f t="shared" si="42"/>
        <v>-56</v>
      </c>
      <c r="M102" s="2"/>
      <c r="N102" s="7">
        <f t="shared" si="43"/>
        <v>-1</v>
      </c>
      <c r="O102" s="11"/>
      <c r="P102" s="6">
        <v>178.65</v>
      </c>
      <c r="Q102" s="2"/>
      <c r="R102" s="7">
        <f t="shared" si="44"/>
        <v>4.1561892427772166E-4</v>
      </c>
      <c r="S102" s="2"/>
      <c r="T102" s="6">
        <v>616</v>
      </c>
      <c r="U102" s="2"/>
      <c r="V102" s="7">
        <f t="shared" si="45"/>
        <v>1.3367603876752686E-3</v>
      </c>
      <c r="W102" s="2"/>
      <c r="X102" s="6">
        <f t="shared" si="46"/>
        <v>-437.35</v>
      </c>
      <c r="Y102" s="2"/>
      <c r="Z102" s="7">
        <f t="shared" si="47"/>
        <v>-0.70998376623376624</v>
      </c>
    </row>
    <row r="103" spans="1:26" s="24" customFormat="1" hidden="1" outlineLevel="2" x14ac:dyDescent="0.25">
      <c r="A103" s="26"/>
      <c r="B103" s="11" t="str">
        <f>CONCATENATE("          ", "6284", " - ", "TRASH REMOVAL EXPENSE")</f>
        <v xml:space="preserve">          6284 - TRASH REMOVAL EXPENSE</v>
      </c>
      <c r="C103" s="11"/>
      <c r="D103" s="6">
        <v>134.82</v>
      </c>
      <c r="E103" s="2"/>
      <c r="F103" s="7">
        <f t="shared" si="40"/>
        <v>0</v>
      </c>
      <c r="G103" s="2"/>
      <c r="H103" s="6">
        <v>121.46</v>
      </c>
      <c r="I103" s="2"/>
      <c r="J103" s="7">
        <f t="shared" si="41"/>
        <v>2.1531601338838024E-3</v>
      </c>
      <c r="K103" s="2"/>
      <c r="L103" s="6">
        <f t="shared" si="42"/>
        <v>13.36</v>
      </c>
      <c r="M103" s="2"/>
      <c r="N103" s="7">
        <f t="shared" si="43"/>
        <v>0.10999506010209123</v>
      </c>
      <c r="O103" s="11"/>
      <c r="P103" s="6">
        <v>1483.02</v>
      </c>
      <c r="Q103" s="2"/>
      <c r="R103" s="7">
        <f t="shared" si="44"/>
        <v>3.4501605210318881E-3</v>
      </c>
      <c r="S103" s="2"/>
      <c r="T103" s="6">
        <v>1336.06</v>
      </c>
      <c r="U103" s="2"/>
      <c r="V103" s="7">
        <f t="shared" si="45"/>
        <v>2.8993377979828231E-3</v>
      </c>
      <c r="W103" s="2"/>
      <c r="X103" s="6">
        <f t="shared" si="46"/>
        <v>146.96000000000004</v>
      </c>
      <c r="Y103" s="2"/>
      <c r="Z103" s="7">
        <f t="shared" si="47"/>
        <v>0.10999506010209126</v>
      </c>
    </row>
    <row r="104" spans="1:26" s="24" customFormat="1" hidden="1" outlineLevel="2" x14ac:dyDescent="0.25">
      <c r="A104" s="26"/>
      <c r="B104" s="11" t="str">
        <f>CONCATENATE("          ", "6285", " - ", "JANITORIAL SERVICES")</f>
        <v xml:space="preserve">          6285 - JANITORIAL SERVICES</v>
      </c>
      <c r="C104" s="11"/>
      <c r="D104" s="6">
        <v>54.63</v>
      </c>
      <c r="E104" s="2"/>
      <c r="F104" s="7">
        <f t="shared" si="40"/>
        <v>0</v>
      </c>
      <c r="G104" s="2"/>
      <c r="H104" s="6">
        <v>94.73</v>
      </c>
      <c r="I104" s="2"/>
      <c r="J104" s="7">
        <f t="shared" si="41"/>
        <v>1.679308904024474E-3</v>
      </c>
      <c r="K104" s="2"/>
      <c r="L104" s="6">
        <f t="shared" si="42"/>
        <v>-40.1</v>
      </c>
      <c r="M104" s="2"/>
      <c r="N104" s="7">
        <f t="shared" si="43"/>
        <v>-0.42330835004750345</v>
      </c>
      <c r="O104" s="11"/>
      <c r="P104" s="6">
        <v>1287.8599999999999</v>
      </c>
      <c r="Q104" s="2"/>
      <c r="R104" s="7">
        <f t="shared" si="44"/>
        <v>2.9961320336988895E-3</v>
      </c>
      <c r="S104" s="2"/>
      <c r="T104" s="6">
        <v>423.45</v>
      </c>
      <c r="U104" s="2"/>
      <c r="V104" s="7">
        <f t="shared" si="45"/>
        <v>9.1891426324852666E-4</v>
      </c>
      <c r="W104" s="2"/>
      <c r="X104" s="6">
        <f t="shared" si="46"/>
        <v>864.40999999999985</v>
      </c>
      <c r="Y104" s="2"/>
      <c r="Z104" s="7">
        <f t="shared" si="47"/>
        <v>2.0413508088322114</v>
      </c>
    </row>
    <row r="105" spans="1:26" s="27" customFormat="1" outlineLevel="1" collapsed="1" x14ac:dyDescent="0.25">
      <c r="A105" s="25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SUM(OSRRefD22_15x_0)</f>
        <v>0</v>
      </c>
      <c r="E105" s="1"/>
      <c r="F105" s="5">
        <f t="shared" ref="F105:F107" si="48">IF(D$12=0,0,D105/D$12)</f>
        <v>0</v>
      </c>
      <c r="G105" s="1"/>
      <c r="H105" s="1">
        <f>SUM(OSRRefH22_15x_0)</f>
        <v>131.97999999999999</v>
      </c>
      <c r="I105" s="1"/>
      <c r="J105" s="5">
        <f t="shared" ref="J105:J107" si="49">IF(H$12=0,0,H105/H$12)</f>
        <v>2.3396515270046451E-3</v>
      </c>
      <c r="K105" s="1"/>
      <c r="L105" s="1">
        <f t="shared" ref="L105:L107" si="50">+D105-H105</f>
        <v>-131.97999999999999</v>
      </c>
      <c r="M105" s="1"/>
      <c r="N105" s="5">
        <f t="shared" ref="N105:N107" si="51">IF(H105=0,0,L105/H105)</f>
        <v>-1</v>
      </c>
      <c r="O105" s="13"/>
      <c r="P105" s="1">
        <f>SUM(OSRRefP22_15x_0)</f>
        <v>268.40999999999997</v>
      </c>
      <c r="Q105" s="1"/>
      <c r="R105" s="5">
        <f t="shared" ref="R105:R107" si="52">IF(P$12=0,0,P105/P$12)</f>
        <v>6.2444038883505886E-4</v>
      </c>
      <c r="S105" s="1"/>
      <c r="T105" s="1">
        <f>SUM(OSRRefT22_15x_0)</f>
        <v>1743.16</v>
      </c>
      <c r="U105" s="1"/>
      <c r="V105" s="5">
        <f t="shared" ref="V105:V107" si="53">IF(T$12=0,0,T105/T$12)</f>
        <v>3.782771489253281E-3</v>
      </c>
      <c r="W105" s="1"/>
      <c r="X105" s="1">
        <f t="shared" ref="X105:X107" si="54">+P105-T105</f>
        <v>-1474.75</v>
      </c>
      <c r="Y105" s="1"/>
      <c r="Z105" s="5">
        <f t="shared" ref="Z105:Z107" si="55">IF(T105=0,0,X105/T105)</f>
        <v>-0.84602101929828588</v>
      </c>
    </row>
    <row r="106" spans="1:26" s="24" customFormat="1" hidden="1" outlineLevel="2" x14ac:dyDescent="0.25">
      <c r="A106" s="26"/>
      <c r="B106" s="11" t="str">
        <f>CONCATENATE("          ", "6258", " - ", "MEMBERSHIP DUES")</f>
        <v xml:space="preserve">          6258 - MEMBERSHIP DUES</v>
      </c>
      <c r="C106" s="11"/>
      <c r="D106" s="6"/>
      <c r="E106" s="2"/>
      <c r="F106" s="7">
        <f t="shared" si="48"/>
        <v>0</v>
      </c>
      <c r="G106" s="2"/>
      <c r="H106" s="6"/>
      <c r="I106" s="2"/>
      <c r="J106" s="7">
        <f t="shared" si="49"/>
        <v>0</v>
      </c>
      <c r="K106" s="2"/>
      <c r="L106" s="6">
        <f t="shared" si="50"/>
        <v>0</v>
      </c>
      <c r="M106" s="2"/>
      <c r="N106" s="7">
        <f t="shared" si="51"/>
        <v>0</v>
      </c>
      <c r="O106" s="11"/>
      <c r="P106" s="6">
        <v>29.99</v>
      </c>
      <c r="Q106" s="2"/>
      <c r="R106" s="7">
        <f t="shared" si="52"/>
        <v>6.9770005816338491E-5</v>
      </c>
      <c r="S106" s="2"/>
      <c r="T106" s="6"/>
      <c r="U106" s="2"/>
      <c r="V106" s="7">
        <f t="shared" si="53"/>
        <v>0</v>
      </c>
      <c r="W106" s="2"/>
      <c r="X106" s="6">
        <f t="shared" si="54"/>
        <v>29.99</v>
      </c>
      <c r="Y106" s="2"/>
      <c r="Z106" s="7">
        <f t="shared" si="55"/>
        <v>0</v>
      </c>
    </row>
    <row r="107" spans="1:26" s="24" customFormat="1" hidden="1" outlineLevel="2" x14ac:dyDescent="0.25">
      <c r="A107" s="26"/>
      <c r="B107" s="11" t="str">
        <f>CONCATENATE("          ", "6275", " - ", "SUBSCRIPTIONS")</f>
        <v xml:space="preserve">          6275 - SUBSCRIPTIONS</v>
      </c>
      <c r="C107" s="11"/>
      <c r="D107" s="6"/>
      <c r="E107" s="2"/>
      <c r="F107" s="7">
        <f t="shared" si="48"/>
        <v>0</v>
      </c>
      <c r="G107" s="2"/>
      <c r="H107" s="6">
        <v>131.97999999999999</v>
      </c>
      <c r="I107" s="2"/>
      <c r="J107" s="7">
        <f t="shared" si="49"/>
        <v>2.3396515270046451E-3</v>
      </c>
      <c r="K107" s="2"/>
      <c r="L107" s="6">
        <f t="shared" si="50"/>
        <v>-131.97999999999999</v>
      </c>
      <c r="M107" s="2"/>
      <c r="N107" s="7">
        <f t="shared" si="51"/>
        <v>-1</v>
      </c>
      <c r="O107" s="11"/>
      <c r="P107" s="6">
        <v>238.42</v>
      </c>
      <c r="Q107" s="2"/>
      <c r="R107" s="7">
        <f t="shared" si="52"/>
        <v>5.5467038301872042E-4</v>
      </c>
      <c r="S107" s="2"/>
      <c r="T107" s="6">
        <v>1743.16</v>
      </c>
      <c r="U107" s="2"/>
      <c r="V107" s="7">
        <f t="shared" si="53"/>
        <v>3.782771489253281E-3</v>
      </c>
      <c r="W107" s="2"/>
      <c r="X107" s="6">
        <f t="shared" si="54"/>
        <v>-1504.74</v>
      </c>
      <c r="Y107" s="2"/>
      <c r="Z107" s="7">
        <f t="shared" si="55"/>
        <v>-0.86322540673260051</v>
      </c>
    </row>
    <row r="108" spans="1:26" s="27" customFormat="1" outlineLevel="1" collapsed="1" x14ac:dyDescent="0.25">
      <c r="A108" s="25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SUM(OSRRefD22_16x_0)</f>
        <v>0</v>
      </c>
      <c r="E108" s="1"/>
      <c r="F108" s="5">
        <f t="shared" ref="F108:F113" si="56">IF(D$12=0,0,D108/D$12)</f>
        <v>0</v>
      </c>
      <c r="G108" s="1"/>
      <c r="H108" s="1">
        <f>SUM(OSRRefH22_16x_0)</f>
        <v>27.53</v>
      </c>
      <c r="I108" s="1"/>
      <c r="J108" s="5">
        <f t="shared" ref="J108:J113" si="57">IF(H$12=0,0,H108/H$12)</f>
        <v>4.8803308484950667E-4</v>
      </c>
      <c r="K108" s="1"/>
      <c r="L108" s="1">
        <f t="shared" ref="L108:L113" si="58">+D108-H108</f>
        <v>-27.53</v>
      </c>
      <c r="M108" s="1"/>
      <c r="N108" s="5">
        <f t="shared" ref="N108:N113" si="59">IF(H108=0,0,L108/H108)</f>
        <v>-1</v>
      </c>
      <c r="O108" s="13"/>
      <c r="P108" s="1">
        <f>SUM(OSRRefP22_16x_0)</f>
        <v>3811.06</v>
      </c>
      <c r="Q108" s="1"/>
      <c r="R108" s="5">
        <f t="shared" ref="R108:R113" si="60">IF(P$12=0,0,P108/P$12)</f>
        <v>8.8662113493302771E-3</v>
      </c>
      <c r="S108" s="1"/>
      <c r="T108" s="1">
        <f>SUM(OSRRefT22_16x_0)</f>
        <v>4270.24</v>
      </c>
      <c r="U108" s="1"/>
      <c r="V108" s="5">
        <f t="shared" ref="V108:V113" si="61">IF(T$12=0,0,T108/T$12)</f>
        <v>9.2667007757572042E-3</v>
      </c>
      <c r="W108" s="1"/>
      <c r="X108" s="1">
        <f t="shared" ref="X108:X113" si="62">+P108-T108</f>
        <v>-459.17999999999984</v>
      </c>
      <c r="Y108" s="1"/>
      <c r="Z108" s="5">
        <f t="shared" ref="Z108:Z113" si="63">IF(T108=0,0,X108/T108)</f>
        <v>-0.10753025591067478</v>
      </c>
    </row>
    <row r="109" spans="1:26" s="24" customFormat="1" hidden="1" outlineLevel="2" x14ac:dyDescent="0.25">
      <c r="A109" s="26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/>
      <c r="E109" s="2"/>
      <c r="F109" s="7">
        <f t="shared" si="56"/>
        <v>0</v>
      </c>
      <c r="G109" s="2"/>
      <c r="H109" s="6"/>
      <c r="I109" s="2"/>
      <c r="J109" s="7">
        <f t="shared" si="57"/>
        <v>0</v>
      </c>
      <c r="K109" s="2"/>
      <c r="L109" s="6">
        <f t="shared" si="58"/>
        <v>0</v>
      </c>
      <c r="M109" s="2"/>
      <c r="N109" s="7">
        <f t="shared" si="59"/>
        <v>0</v>
      </c>
      <c r="O109" s="11"/>
      <c r="P109" s="6">
        <v>303.86</v>
      </c>
      <c r="Q109" s="2"/>
      <c r="R109" s="7">
        <f t="shared" si="60"/>
        <v>7.0691276983503228E-4</v>
      </c>
      <c r="S109" s="2"/>
      <c r="T109" s="6">
        <v>363.86</v>
      </c>
      <c r="U109" s="2"/>
      <c r="V109" s="7">
        <f t="shared" si="61"/>
        <v>7.8960005626545974E-4</v>
      </c>
      <c r="W109" s="2"/>
      <c r="X109" s="6">
        <f t="shared" si="62"/>
        <v>-60</v>
      </c>
      <c r="Y109" s="2"/>
      <c r="Z109" s="7">
        <f t="shared" si="63"/>
        <v>-0.1648985873687682</v>
      </c>
    </row>
    <row r="110" spans="1:26" s="24" customFormat="1" hidden="1" outlineLevel="2" x14ac:dyDescent="0.25">
      <c r="A110" s="26"/>
      <c r="B110" s="11" t="str">
        <f>CONCATENATE("          ", "6237", " - ", "JANITORIAL SUPPLIES")</f>
        <v xml:space="preserve">          6237 - JANITORIAL SUPPLIES</v>
      </c>
      <c r="C110" s="11"/>
      <c r="D110" s="6"/>
      <c r="E110" s="2"/>
      <c r="F110" s="7">
        <f t="shared" si="56"/>
        <v>0</v>
      </c>
      <c r="G110" s="2"/>
      <c r="H110" s="6"/>
      <c r="I110" s="2"/>
      <c r="J110" s="7">
        <f t="shared" si="57"/>
        <v>0</v>
      </c>
      <c r="K110" s="2"/>
      <c r="L110" s="6">
        <f t="shared" si="58"/>
        <v>0</v>
      </c>
      <c r="M110" s="2"/>
      <c r="N110" s="7">
        <f t="shared" si="59"/>
        <v>0</v>
      </c>
      <c r="O110" s="11"/>
      <c r="P110" s="6">
        <v>670.42</v>
      </c>
      <c r="Q110" s="2"/>
      <c r="R110" s="7">
        <f t="shared" si="60"/>
        <v>1.5596934744711455E-3</v>
      </c>
      <c r="S110" s="2"/>
      <c r="T110" s="6">
        <v>641.32000000000005</v>
      </c>
      <c r="U110" s="2"/>
      <c r="V110" s="7">
        <f t="shared" si="61"/>
        <v>1.3917064477660768E-3</v>
      </c>
      <c r="W110" s="2"/>
      <c r="X110" s="6">
        <f t="shared" si="62"/>
        <v>29.099999999999909</v>
      </c>
      <c r="Y110" s="2"/>
      <c r="Z110" s="7">
        <f t="shared" si="63"/>
        <v>4.5375163724817417E-2</v>
      </c>
    </row>
    <row r="111" spans="1:26" s="24" customFormat="1" hidden="1" outlineLevel="2" x14ac:dyDescent="0.25">
      <c r="A111" s="26"/>
      <c r="B111" s="11" t="str">
        <f>CONCATENATE("          ", "6241", " - ", "OFFICE EXPENSE")</f>
        <v xml:space="preserve">          6241 - OFFICE EXPENSE</v>
      </c>
      <c r="C111" s="11"/>
      <c r="D111" s="6"/>
      <c r="E111" s="2"/>
      <c r="F111" s="7">
        <f t="shared" si="56"/>
        <v>0</v>
      </c>
      <c r="G111" s="2"/>
      <c r="H111" s="6">
        <v>27.53</v>
      </c>
      <c r="I111" s="2"/>
      <c r="J111" s="7">
        <f t="shared" si="57"/>
        <v>4.8803308484950667E-4</v>
      </c>
      <c r="K111" s="2"/>
      <c r="L111" s="6">
        <f t="shared" si="58"/>
        <v>-27.53</v>
      </c>
      <c r="M111" s="2"/>
      <c r="N111" s="7">
        <f t="shared" si="59"/>
        <v>-1</v>
      </c>
      <c r="O111" s="11"/>
      <c r="P111" s="6">
        <v>2338.41</v>
      </c>
      <c r="Q111" s="2"/>
      <c r="R111" s="7">
        <f t="shared" si="60"/>
        <v>5.4401760353779294E-3</v>
      </c>
      <c r="S111" s="2"/>
      <c r="T111" s="6">
        <v>1787.72</v>
      </c>
      <c r="U111" s="2"/>
      <c r="V111" s="7">
        <f t="shared" si="61"/>
        <v>3.8794696108032972E-3</v>
      </c>
      <c r="W111" s="2"/>
      <c r="X111" s="6">
        <f t="shared" si="62"/>
        <v>550.68999999999983</v>
      </c>
      <c r="Y111" s="2"/>
      <c r="Z111" s="7">
        <f t="shared" si="63"/>
        <v>0.30804040901259694</v>
      </c>
    </row>
    <row r="112" spans="1:26" s="24" customFormat="1" hidden="1" outlineLevel="2" x14ac:dyDescent="0.25">
      <c r="A112" s="26"/>
      <c r="B112" s="11" t="str">
        <f>CONCATENATE("          ", "6245", " - ", "PRINTING")</f>
        <v xml:space="preserve">          6245 - PRINTING</v>
      </c>
      <c r="C112" s="11"/>
      <c r="D112" s="6"/>
      <c r="E112" s="2"/>
      <c r="F112" s="7">
        <f t="shared" si="56"/>
        <v>0</v>
      </c>
      <c r="G112" s="2"/>
      <c r="H112" s="6"/>
      <c r="I112" s="2"/>
      <c r="J112" s="7">
        <f t="shared" si="57"/>
        <v>0</v>
      </c>
      <c r="K112" s="2"/>
      <c r="L112" s="6">
        <f t="shared" si="58"/>
        <v>0</v>
      </c>
      <c r="M112" s="2"/>
      <c r="N112" s="7">
        <f t="shared" si="59"/>
        <v>0</v>
      </c>
      <c r="O112" s="11"/>
      <c r="P112" s="6">
        <v>22.05</v>
      </c>
      <c r="Q112" s="2"/>
      <c r="R112" s="7">
        <f t="shared" si="60"/>
        <v>5.1298053626217537E-5</v>
      </c>
      <c r="S112" s="2"/>
      <c r="T112" s="6">
        <v>750.25</v>
      </c>
      <c r="U112" s="2"/>
      <c r="V112" s="7">
        <f t="shared" si="61"/>
        <v>1.6280916896970297E-3</v>
      </c>
      <c r="W112" s="2"/>
      <c r="X112" s="6">
        <f t="shared" si="62"/>
        <v>-728.2</v>
      </c>
      <c r="Y112" s="2"/>
      <c r="Z112" s="7">
        <f t="shared" si="63"/>
        <v>-0.97060979673442194</v>
      </c>
    </row>
    <row r="113" spans="1:26" s="24" customFormat="1" hidden="1" outlineLevel="2" x14ac:dyDescent="0.25">
      <c r="A113" s="26"/>
      <c r="B113" s="11" t="str">
        <f>CONCATENATE("          ", "6247", " - ", "STORE SUPPLIES")</f>
        <v xml:space="preserve">          6247 - STORE SUPPLIES</v>
      </c>
      <c r="C113" s="11"/>
      <c r="D113" s="6"/>
      <c r="E113" s="2"/>
      <c r="F113" s="7">
        <f t="shared" si="56"/>
        <v>0</v>
      </c>
      <c r="G113" s="2"/>
      <c r="H113" s="6"/>
      <c r="I113" s="2"/>
      <c r="J113" s="7">
        <f t="shared" si="57"/>
        <v>0</v>
      </c>
      <c r="K113" s="2"/>
      <c r="L113" s="6">
        <f t="shared" si="58"/>
        <v>0</v>
      </c>
      <c r="M113" s="2"/>
      <c r="N113" s="7">
        <f t="shared" si="59"/>
        <v>0</v>
      </c>
      <c r="O113" s="11"/>
      <c r="P113" s="6">
        <v>476.32</v>
      </c>
      <c r="Q113" s="2"/>
      <c r="R113" s="7">
        <f t="shared" si="60"/>
        <v>1.1081310160199517E-3</v>
      </c>
      <c r="S113" s="2"/>
      <c r="T113" s="6">
        <v>727.09</v>
      </c>
      <c r="U113" s="2"/>
      <c r="V113" s="7">
        <f t="shared" si="61"/>
        <v>1.5778329712253425E-3</v>
      </c>
      <c r="W113" s="2"/>
      <c r="X113" s="6">
        <f t="shared" si="62"/>
        <v>-250.77000000000004</v>
      </c>
      <c r="Y113" s="2"/>
      <c r="Z113" s="7">
        <f t="shared" si="63"/>
        <v>-0.34489540497049886</v>
      </c>
    </row>
    <row r="114" spans="1:26" s="27" customFormat="1" outlineLevel="1" collapsed="1" x14ac:dyDescent="0.25">
      <c r="A114" s="25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SUM(OSRRefD22_17x_0)</f>
        <v>295.22000000000003</v>
      </c>
      <c r="E114" s="1"/>
      <c r="F114" s="5">
        <f t="shared" ref="F114:F121" si="64">IF(D$12=0,0,D114/D$12)</f>
        <v>0</v>
      </c>
      <c r="G114" s="1"/>
      <c r="H114" s="1">
        <f>SUM(OSRRefH22_17x_0)</f>
        <v>371.82</v>
      </c>
      <c r="I114" s="1"/>
      <c r="J114" s="5">
        <f t="shared" ref="J114:J121" si="65">IF(H$12=0,0,H114/H$12)</f>
        <v>6.5913716530600639E-3</v>
      </c>
      <c r="K114" s="1"/>
      <c r="L114" s="1">
        <f t="shared" ref="L114:L121" si="66">+D114-H114</f>
        <v>-76.599999999999966</v>
      </c>
      <c r="M114" s="1"/>
      <c r="N114" s="5">
        <f t="shared" ref="N114:N121" si="67">IF(H114=0,0,L114/H114)</f>
        <v>-0.20601366252487754</v>
      </c>
      <c r="O114" s="13"/>
      <c r="P114" s="1">
        <f>SUM(OSRRefP22_17x_0)</f>
        <v>2918.39</v>
      </c>
      <c r="Q114" s="1"/>
      <c r="R114" s="5">
        <f t="shared" ref="R114:R121" si="68">IF(P$12=0,0,P114/P$12)</f>
        <v>6.7894660644996366E-3</v>
      </c>
      <c r="S114" s="1"/>
      <c r="T114" s="1">
        <f>SUM(OSRRefT22_17x_0)</f>
        <v>4348.12</v>
      </c>
      <c r="U114" s="1"/>
      <c r="V114" s="5">
        <f t="shared" ref="V114:V121" si="69">IF(T$12=0,0,T114/T$12)</f>
        <v>9.4357054819132931E-3</v>
      </c>
      <c r="W114" s="1"/>
      <c r="X114" s="1">
        <f t="shared" ref="X114:X121" si="70">+P114-T114</f>
        <v>-1429.73</v>
      </c>
      <c r="Y114" s="1"/>
      <c r="Z114" s="5">
        <f t="shared" ref="Z114:Z121" si="71">IF(T114=0,0,X114/T114)</f>
        <v>-0.32881567206056872</v>
      </c>
    </row>
    <row r="115" spans="1:26" s="24" customFormat="1" hidden="1" outlineLevel="2" x14ac:dyDescent="0.25">
      <c r="A115" s="26"/>
      <c r="B115" s="11" t="str">
        <f>CONCATENATE("          ", "6309", " - ", "TELEPHONE")</f>
        <v xml:space="preserve">          6309 - TELEPHONE</v>
      </c>
      <c r="C115" s="11"/>
      <c r="D115" s="6">
        <v>295.22000000000003</v>
      </c>
      <c r="E115" s="2"/>
      <c r="F115" s="7">
        <f t="shared" si="64"/>
        <v>0</v>
      </c>
      <c r="G115" s="2"/>
      <c r="H115" s="6">
        <v>371.82</v>
      </c>
      <c r="I115" s="2"/>
      <c r="J115" s="7">
        <f t="shared" si="65"/>
        <v>6.5913716530600639E-3</v>
      </c>
      <c r="K115" s="2"/>
      <c r="L115" s="6">
        <f t="shared" si="66"/>
        <v>-76.599999999999966</v>
      </c>
      <c r="M115" s="2"/>
      <c r="N115" s="7">
        <f t="shared" si="67"/>
        <v>-0.20601366252487754</v>
      </c>
      <c r="O115" s="11"/>
      <c r="P115" s="6">
        <v>2918.39</v>
      </c>
      <c r="Q115" s="2"/>
      <c r="R115" s="7">
        <f t="shared" si="68"/>
        <v>6.7894660644996366E-3</v>
      </c>
      <c r="S115" s="2"/>
      <c r="T115" s="6">
        <v>4348.12</v>
      </c>
      <c r="U115" s="2"/>
      <c r="V115" s="7">
        <f t="shared" si="69"/>
        <v>9.4357054819132931E-3</v>
      </c>
      <c r="W115" s="2"/>
      <c r="X115" s="6">
        <f t="shared" si="70"/>
        <v>-1429.73</v>
      </c>
      <c r="Y115" s="2"/>
      <c r="Z115" s="7">
        <f t="shared" si="71"/>
        <v>-0.32881567206056872</v>
      </c>
    </row>
    <row r="116" spans="1:26" s="27" customFormat="1" outlineLevel="1" collapsed="1" x14ac:dyDescent="0.25">
      <c r="A116" s="25"/>
      <c r="B116" s="13" t="str">
        <f>CONCATENATE("     ","Training                                          ")</f>
        <v xml:space="preserve">     Training                                          </v>
      </c>
      <c r="C116" s="13"/>
      <c r="D116" s="1">
        <f>SUM(OSRRefD22_18x_0)</f>
        <v>0</v>
      </c>
      <c r="E116" s="1"/>
      <c r="F116" s="5">
        <f t="shared" si="64"/>
        <v>0</v>
      </c>
      <c r="G116" s="1"/>
      <c r="H116" s="1">
        <f>SUM(OSRRefH22_18x_0)</f>
        <v>0</v>
      </c>
      <c r="I116" s="1"/>
      <c r="J116" s="5">
        <f t="shared" si="65"/>
        <v>0</v>
      </c>
      <c r="K116" s="1"/>
      <c r="L116" s="1">
        <f t="shared" si="66"/>
        <v>0</v>
      </c>
      <c r="M116" s="1"/>
      <c r="N116" s="5">
        <f t="shared" si="67"/>
        <v>0</v>
      </c>
      <c r="O116" s="13"/>
      <c r="P116" s="1">
        <f>SUM(OSRRefP22_18x_0)</f>
        <v>1613.4</v>
      </c>
      <c r="Q116" s="1"/>
      <c r="R116" s="5">
        <f t="shared" si="68"/>
        <v>3.7534820734938493E-3</v>
      </c>
      <c r="S116" s="1"/>
      <c r="T116" s="1">
        <f>SUM(OSRRefT22_18x_0)</f>
        <v>0</v>
      </c>
      <c r="U116" s="1"/>
      <c r="V116" s="5">
        <f t="shared" si="69"/>
        <v>0</v>
      </c>
      <c r="W116" s="1"/>
      <c r="X116" s="1">
        <f t="shared" si="70"/>
        <v>1613.4</v>
      </c>
      <c r="Y116" s="1"/>
      <c r="Z116" s="5">
        <f t="shared" si="71"/>
        <v>0</v>
      </c>
    </row>
    <row r="117" spans="1:26" s="24" customFormat="1" hidden="1" outlineLevel="2" x14ac:dyDescent="0.25">
      <c r="A117" s="26"/>
      <c r="B117" s="11" t="str">
        <f>CONCATENATE("          ", "6376", " - ", "TRAINING")</f>
        <v xml:space="preserve">          6376 - TRAINING</v>
      </c>
      <c r="C117" s="11"/>
      <c r="D117" s="6"/>
      <c r="E117" s="2"/>
      <c r="F117" s="7">
        <f t="shared" si="64"/>
        <v>0</v>
      </c>
      <c r="G117" s="2"/>
      <c r="H117" s="6"/>
      <c r="I117" s="2"/>
      <c r="J117" s="7">
        <f t="shared" si="65"/>
        <v>0</v>
      </c>
      <c r="K117" s="2"/>
      <c r="L117" s="6">
        <f t="shared" si="66"/>
        <v>0</v>
      </c>
      <c r="M117" s="2"/>
      <c r="N117" s="7">
        <f t="shared" si="67"/>
        <v>0</v>
      </c>
      <c r="O117" s="11"/>
      <c r="P117" s="6">
        <v>1613.4</v>
      </c>
      <c r="Q117" s="2"/>
      <c r="R117" s="7">
        <f t="shared" si="68"/>
        <v>3.7534820734938493E-3</v>
      </c>
      <c r="S117" s="2"/>
      <c r="T117" s="6"/>
      <c r="U117" s="2"/>
      <c r="V117" s="7">
        <f t="shared" si="69"/>
        <v>0</v>
      </c>
      <c r="W117" s="2"/>
      <c r="X117" s="6">
        <f t="shared" si="70"/>
        <v>1613.4</v>
      </c>
      <c r="Y117" s="2"/>
      <c r="Z117" s="7">
        <f t="shared" si="71"/>
        <v>0</v>
      </c>
    </row>
    <row r="118" spans="1:26" s="27" customFormat="1" outlineLevel="1" collapsed="1" x14ac:dyDescent="0.25">
      <c r="A118" s="25"/>
      <c r="B118" s="13" t="str">
        <f>CONCATENATE("     ","Travel                                            ")</f>
        <v xml:space="preserve">     Travel                                            </v>
      </c>
      <c r="C118" s="13"/>
      <c r="D118" s="1">
        <f>SUM(OSRRefD22_19x_0)</f>
        <v>0</v>
      </c>
      <c r="E118" s="1"/>
      <c r="F118" s="5">
        <f t="shared" si="64"/>
        <v>0</v>
      </c>
      <c r="G118" s="1"/>
      <c r="H118" s="1">
        <f>SUM(OSRRefH22_19x_0)</f>
        <v>0</v>
      </c>
      <c r="I118" s="1"/>
      <c r="J118" s="5">
        <f t="shared" si="65"/>
        <v>0</v>
      </c>
      <c r="K118" s="1"/>
      <c r="L118" s="1">
        <f t="shared" si="66"/>
        <v>0</v>
      </c>
      <c r="M118" s="1"/>
      <c r="N118" s="5">
        <f t="shared" si="67"/>
        <v>0</v>
      </c>
      <c r="O118" s="13"/>
      <c r="P118" s="1">
        <f>SUM(OSRRefP22_19x_0)</f>
        <v>712.14</v>
      </c>
      <c r="Q118" s="1"/>
      <c r="R118" s="5">
        <f t="shared" si="68"/>
        <v>1.656752648951227E-3</v>
      </c>
      <c r="S118" s="1"/>
      <c r="T118" s="1">
        <f>SUM(OSRRefT22_19x_0)</f>
        <v>470.05</v>
      </c>
      <c r="U118" s="1"/>
      <c r="V118" s="5">
        <f t="shared" si="69"/>
        <v>1.0200393185499351E-3</v>
      </c>
      <c r="W118" s="1"/>
      <c r="X118" s="1">
        <f t="shared" si="70"/>
        <v>242.08999999999997</v>
      </c>
      <c r="Y118" s="1"/>
      <c r="Z118" s="5">
        <f t="shared" si="71"/>
        <v>0.51503031592383786</v>
      </c>
    </row>
    <row r="119" spans="1:26" s="24" customFormat="1" hidden="1" outlineLevel="2" x14ac:dyDescent="0.25">
      <c r="A119" s="26"/>
      <c r="B119" s="11" t="str">
        <f>CONCATENATE("          ", "6294", " - ", "TRAVEL OPERATIONAL")</f>
        <v xml:space="preserve">          6294 - TRAVEL OPERATIONAL</v>
      </c>
      <c r="C119" s="11"/>
      <c r="D119" s="6"/>
      <c r="E119" s="2"/>
      <c r="F119" s="7">
        <f t="shared" si="64"/>
        <v>0</v>
      </c>
      <c r="G119" s="2"/>
      <c r="H119" s="6"/>
      <c r="I119" s="2"/>
      <c r="J119" s="7">
        <f t="shared" si="65"/>
        <v>0</v>
      </c>
      <c r="K119" s="2"/>
      <c r="L119" s="6">
        <f t="shared" si="66"/>
        <v>0</v>
      </c>
      <c r="M119" s="2"/>
      <c r="N119" s="7">
        <f t="shared" si="67"/>
        <v>0</v>
      </c>
      <c r="O119" s="11"/>
      <c r="P119" s="6">
        <v>712.14</v>
      </c>
      <c r="Q119" s="2"/>
      <c r="R119" s="7">
        <f t="shared" si="68"/>
        <v>1.656752648951227E-3</v>
      </c>
      <c r="S119" s="2"/>
      <c r="T119" s="6">
        <v>470.05</v>
      </c>
      <c r="U119" s="2"/>
      <c r="V119" s="7">
        <f t="shared" si="69"/>
        <v>1.0200393185499351E-3</v>
      </c>
      <c r="W119" s="2"/>
      <c r="X119" s="6">
        <f t="shared" si="70"/>
        <v>242.08999999999997</v>
      </c>
      <c r="Y119" s="2"/>
      <c r="Z119" s="7">
        <f t="shared" si="71"/>
        <v>0.51503031592383786</v>
      </c>
    </row>
    <row r="120" spans="1:26" s="27" customFormat="1" outlineLevel="1" collapsed="1" x14ac:dyDescent="0.25">
      <c r="A120" s="25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SUM(OSRRefD22_20x_0)</f>
        <v>26.43</v>
      </c>
      <c r="E120" s="1"/>
      <c r="F120" s="5">
        <f t="shared" si="64"/>
        <v>0</v>
      </c>
      <c r="G120" s="1"/>
      <c r="H120" s="1">
        <f>SUM(OSRRefH22_20x_0)</f>
        <v>26.19</v>
      </c>
      <c r="I120" s="1"/>
      <c r="J120" s="5">
        <f t="shared" si="65"/>
        <v>4.6427847774095822E-4</v>
      </c>
      <c r="K120" s="1"/>
      <c r="L120" s="1">
        <f t="shared" si="66"/>
        <v>0.23999999999999844</v>
      </c>
      <c r="M120" s="1"/>
      <c r="N120" s="5">
        <f t="shared" si="67"/>
        <v>9.1638029782359076E-3</v>
      </c>
      <c r="O120" s="13"/>
      <c r="P120" s="1">
        <f>SUM(OSRRefP22_20x_0)</f>
        <v>2959.78</v>
      </c>
      <c r="Q120" s="1"/>
      <c r="R120" s="5">
        <f t="shared" si="68"/>
        <v>6.8857575130070814E-3</v>
      </c>
      <c r="S120" s="1"/>
      <c r="T120" s="1">
        <f>SUM(OSRRefT22_20x_0)</f>
        <v>3520.32</v>
      </c>
      <c r="U120" s="1"/>
      <c r="V120" s="5">
        <f t="shared" si="69"/>
        <v>7.639325207696431E-3</v>
      </c>
      <c r="W120" s="1"/>
      <c r="X120" s="1">
        <f t="shared" si="70"/>
        <v>-560.54</v>
      </c>
      <c r="Y120" s="1"/>
      <c r="Z120" s="5">
        <f t="shared" si="71"/>
        <v>-0.15922984274156893</v>
      </c>
    </row>
    <row r="121" spans="1:26" s="24" customFormat="1" hidden="1" outlineLevel="2" x14ac:dyDescent="0.25">
      <c r="A121" s="26"/>
      <c r="B121" s="11" t="str">
        <f>CONCATENATE("          ", "6274", " - ", "UTILITIES")</f>
        <v xml:space="preserve">          6274 - UTILITIES</v>
      </c>
      <c r="C121" s="11"/>
      <c r="D121" s="6">
        <v>26.43</v>
      </c>
      <c r="E121" s="2"/>
      <c r="F121" s="7">
        <f t="shared" si="64"/>
        <v>0</v>
      </c>
      <c r="G121" s="2"/>
      <c r="H121" s="6">
        <v>26.19</v>
      </c>
      <c r="I121" s="2"/>
      <c r="J121" s="7">
        <f t="shared" si="65"/>
        <v>4.6427847774095822E-4</v>
      </c>
      <c r="K121" s="2"/>
      <c r="L121" s="6">
        <f t="shared" si="66"/>
        <v>0.23999999999999844</v>
      </c>
      <c r="M121" s="2"/>
      <c r="N121" s="7">
        <f t="shared" si="67"/>
        <v>9.1638029782359076E-3</v>
      </c>
      <c r="O121" s="11"/>
      <c r="P121" s="6">
        <v>2959.78</v>
      </c>
      <c r="Q121" s="2"/>
      <c r="R121" s="7">
        <f t="shared" si="68"/>
        <v>6.8857575130070814E-3</v>
      </c>
      <c r="S121" s="2"/>
      <c r="T121" s="6">
        <v>3520.32</v>
      </c>
      <c r="U121" s="2"/>
      <c r="V121" s="7">
        <f t="shared" si="69"/>
        <v>7.639325207696431E-3</v>
      </c>
      <c r="W121" s="2"/>
      <c r="X121" s="6">
        <f t="shared" si="70"/>
        <v>-560.54</v>
      </c>
      <c r="Y121" s="2"/>
      <c r="Z121" s="7">
        <f t="shared" si="71"/>
        <v>-0.15922984274156893</v>
      </c>
    </row>
    <row r="122" spans="1:26" s="58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x14ac:dyDescent="0.25">
      <c r="A123" s="10"/>
      <c r="B123" s="28" t="s">
        <v>0</v>
      </c>
      <c r="C123" s="10"/>
      <c r="D123" s="4">
        <f>SUM(0)</f>
        <v>0</v>
      </c>
      <c r="E123" s="4"/>
      <c r="F123" s="12">
        <f>IF(D$12=0,0,D123/D$12)</f>
        <v>0</v>
      </c>
      <c r="G123" s="4"/>
      <c r="H123" s="4">
        <f>SUM(0)</f>
        <v>0</v>
      </c>
      <c r="I123" s="4"/>
      <c r="J123" s="12">
        <f>IF(H$12=0,0,H123/H$12)</f>
        <v>0</v>
      </c>
      <c r="K123" s="4"/>
      <c r="L123" s="4">
        <f>+D123-H123</f>
        <v>0</v>
      </c>
      <c r="M123" s="4"/>
      <c r="N123" s="12">
        <f>IF(H123=0,0,L123/H123)</f>
        <v>0</v>
      </c>
      <c r="O123" s="10"/>
      <c r="P123" s="4">
        <f>SUM(0)</f>
        <v>0</v>
      </c>
      <c r="Q123" s="4"/>
      <c r="R123" s="12">
        <f>IF(P$12=0,0,P123/P$12)</f>
        <v>0</v>
      </c>
      <c r="S123" s="4"/>
      <c r="T123" s="4">
        <f>SUM(0)</f>
        <v>0</v>
      </c>
      <c r="U123" s="4"/>
      <c r="V123" s="12">
        <f>IF(T$12=0,0,T123/T$12)</f>
        <v>0</v>
      </c>
      <c r="W123" s="4"/>
      <c r="X123" s="4">
        <f>+P123-T123</f>
        <v>0</v>
      </c>
      <c r="Y123" s="4"/>
      <c r="Z123" s="12">
        <f>IF(T123=0,0,X123/T123)</f>
        <v>0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9" t="s">
        <v>3</v>
      </c>
      <c r="C125" s="29"/>
      <c r="D125" s="21">
        <f>+D58-D60+D123</f>
        <v>-19292.099999999995</v>
      </c>
      <c r="E125" s="14"/>
      <c r="F125" s="20">
        <f>IF(D$12=0,0,D125/D$12)</f>
        <v>0</v>
      </c>
      <c r="G125" s="14"/>
      <c r="H125" s="21">
        <f>+H58-H60+H123</f>
        <v>10460.189999999991</v>
      </c>
      <c r="I125" s="14"/>
      <c r="J125" s="20">
        <f>IF(H$12=0,0,H125/H$12)</f>
        <v>0.18543112218713972</v>
      </c>
      <c r="K125" s="16"/>
      <c r="L125" s="21">
        <f>+D125-H125</f>
        <v>-29752.289999999986</v>
      </c>
      <c r="M125" s="16"/>
      <c r="N125" s="20">
        <f>IF(H125=0,0,L125/H125)</f>
        <v>-2.8443355235421164</v>
      </c>
      <c r="O125" s="28"/>
      <c r="P125" s="21">
        <f>+P58-P60+P123</f>
        <v>-73490.920000000129</v>
      </c>
      <c r="Q125" s="14"/>
      <c r="R125" s="20">
        <f>IF(P$12=0,0,P125/P$12)</f>
        <v>-0.17097238799093287</v>
      </c>
      <c r="S125" s="14"/>
      <c r="T125" s="21">
        <f>+T58-T60+T123</f>
        <v>-6732.4999999999418</v>
      </c>
      <c r="U125" s="14"/>
      <c r="V125" s="20">
        <f>IF(T$12=0,0,T125/T$12)</f>
        <v>-1.4609966412376083E-2</v>
      </c>
      <c r="W125" s="16"/>
      <c r="X125" s="21">
        <f>+P125-T125</f>
        <v>-66758.420000000187</v>
      </c>
      <c r="Y125" s="16"/>
      <c r="Z125" s="20">
        <f>IF(T125=0,0,X125/T125)</f>
        <v>9.915844040104087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1"/>
      <c r="B127" s="10" t="s">
        <v>13</v>
      </c>
      <c r="C127" s="10"/>
      <c r="D127" s="4">
        <v>2094.52</v>
      </c>
      <c r="E127" s="4"/>
      <c r="F127" s="12">
        <f>IF(D$12=0,0,D127/D$12)</f>
        <v>0</v>
      </c>
      <c r="G127" s="4"/>
      <c r="H127" s="4">
        <v>5890.13</v>
      </c>
      <c r="I127" s="4"/>
      <c r="J127" s="12">
        <f>IF(H$12=0,0,H127/H$12)</f>
        <v>0.10441621191662276</v>
      </c>
      <c r="K127" s="4"/>
      <c r="L127" s="4">
        <f>+D127-H127</f>
        <v>-3795.61</v>
      </c>
      <c r="M127" s="4"/>
      <c r="N127" s="12">
        <f>IF(H127=0,0,L127/H127)</f>
        <v>-0.64440173646422061</v>
      </c>
      <c r="O127" s="10"/>
      <c r="P127" s="4">
        <v>50899.87</v>
      </c>
      <c r="Q127" s="4"/>
      <c r="R127" s="12">
        <f>IF(P$12=0,0,P127/P$12)</f>
        <v>0.1184156127359411</v>
      </c>
      <c r="S127" s="4"/>
      <c r="T127" s="4">
        <v>47931.539999999994</v>
      </c>
      <c r="U127" s="4"/>
      <c r="V127" s="12">
        <f>IF(T$12=0,0,T127/T$12)</f>
        <v>0.10401458440303998</v>
      </c>
      <c r="W127" s="4"/>
      <c r="X127" s="4">
        <f>+P127-T127</f>
        <v>2968.330000000009</v>
      </c>
      <c r="Y127" s="4"/>
      <c r="Z127" s="12">
        <f>IF(T127=0,0,X127/T127)</f>
        <v>6.1928533904815272E-2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4</v>
      </c>
      <c r="C129" s="29"/>
      <c r="D129" s="35">
        <f>+D125-D127</f>
        <v>-21386.619999999995</v>
      </c>
      <c r="E129" s="14"/>
      <c r="F129" s="32">
        <f>IF(D$12=0,0,D129/D$12)</f>
        <v>0</v>
      </c>
      <c r="G129" s="14"/>
      <c r="H129" s="35">
        <f>+H125-H127</f>
        <v>4570.0599999999913</v>
      </c>
      <c r="I129" s="14"/>
      <c r="J129" s="32">
        <f>IF(H$12=0,0,H129/H$12)</f>
        <v>8.1014910270516965E-2</v>
      </c>
      <c r="K129" s="16"/>
      <c r="L129" s="35">
        <f>D129-H129</f>
        <v>-25956.679999999986</v>
      </c>
      <c r="M129" s="16"/>
      <c r="N129" s="32">
        <f>IF(H129=0,0,L129/H129)</f>
        <v>-5.6797241174076563</v>
      </c>
      <c r="O129" s="28"/>
      <c r="P129" s="35">
        <f>+P125-P127</f>
        <v>-124390.79000000012</v>
      </c>
      <c r="Q129" s="14"/>
      <c r="R129" s="32">
        <f>IF(P$12=0,0,P129/P$12)</f>
        <v>-0.28938800072687393</v>
      </c>
      <c r="S129" s="14"/>
      <c r="T129" s="35">
        <f>+T125-T127</f>
        <v>-54664.039999999935</v>
      </c>
      <c r="U129" s="14"/>
      <c r="V129" s="32">
        <f>IF(T$12=0,0,T129/T$12)</f>
        <v>-0.11862455081541606</v>
      </c>
      <c r="W129" s="16"/>
      <c r="X129" s="35">
        <f>P129-T129</f>
        <v>-69726.750000000189</v>
      </c>
      <c r="Y129" s="16"/>
      <c r="Z129" s="32">
        <f>IF(T129=0,0,X129/T129)</f>
        <v>1.2755506179199392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5</v>
      </c>
      <c r="C132" s="29"/>
      <c r="D132" s="36">
        <f>SUM(D129:D131)</f>
        <v>-21386.619999999995</v>
      </c>
      <c r="E132" s="14"/>
      <c r="F132" s="33">
        <f>IF(D$12=0,0,D132/D$12)</f>
        <v>0</v>
      </c>
      <c r="G132" s="14"/>
      <c r="H132" s="36">
        <f>SUM(H129:H131)</f>
        <v>4570.0599999999913</v>
      </c>
      <c r="I132" s="14"/>
      <c r="J132" s="33">
        <f>IF(H$12=0,0,H132/H$12)</f>
        <v>8.1014910270516965E-2</v>
      </c>
      <c r="K132" s="16"/>
      <c r="L132" s="36">
        <f>+D132-H132</f>
        <v>-25956.679999999986</v>
      </c>
      <c r="M132" s="16"/>
      <c r="N132" s="33">
        <f>IF(H132=0,0,L132/H132)</f>
        <v>-5.6797241174076563</v>
      </c>
      <c r="O132" s="28"/>
      <c r="P132" s="36">
        <f>SUM(P129:P131)</f>
        <v>-124390.79000000012</v>
      </c>
      <c r="Q132" s="14"/>
      <c r="R132" s="33">
        <f>IF(P$12=0,0,P132/P$12)</f>
        <v>-0.28938800072687393</v>
      </c>
      <c r="S132" s="14"/>
      <c r="T132" s="36">
        <f>SUM(T129:T131)</f>
        <v>-54664.039999999935</v>
      </c>
      <c r="U132" s="14"/>
      <c r="V132" s="33">
        <f>IF(T$12=0,0,T132/T$12)</f>
        <v>-0.11862455081541606</v>
      </c>
      <c r="W132" s="16"/>
      <c r="X132" s="36">
        <f>+P132-T132</f>
        <v>-69726.750000000189</v>
      </c>
      <c r="Y132" s="16"/>
      <c r="Z132" s="33">
        <f>IF(T132=0,0,X132/T132)</f>
        <v>1.2755506179199392</v>
      </c>
    </row>
    <row r="133" spans="1:26" ht="15.75" thickTop="1" x14ac:dyDescent="0.25">
      <c r="A133" s="9"/>
      <c r="C133" s="9"/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5">
        <v>43992.375768981481</v>
      </c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62" t="s">
        <v>313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53"/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16537.950000000004</v>
      </c>
      <c r="E12" s="4"/>
      <c r="F12" s="12"/>
      <c r="G12" s="4"/>
      <c r="H12" s="4">
        <f>SUM(OSRRefH13x_0)</f>
        <v>140501.08999999997</v>
      </c>
      <c r="I12" s="4"/>
      <c r="J12" s="12"/>
      <c r="K12" s="4"/>
      <c r="L12" s="4">
        <f t="shared" ref="L12:L33" si="0">+D12-H12</f>
        <v>-123963.13999999996</v>
      </c>
      <c r="M12" s="4"/>
      <c r="N12" s="12">
        <f t="shared" ref="N12:N33" si="1">IF(H12=0,0,L12/H12)</f>
        <v>-0.88229308398959738</v>
      </c>
      <c r="O12" s="10"/>
      <c r="P12" s="4">
        <f>SUM(OSRRefP13x_0)</f>
        <v>508371.8</v>
      </c>
      <c r="Q12" s="4"/>
      <c r="R12" s="12"/>
      <c r="S12" s="4"/>
      <c r="T12" s="4">
        <f>SUM(OSRRefT13x_0)</f>
        <v>816016.92</v>
      </c>
      <c r="U12" s="4"/>
      <c r="V12" s="12"/>
      <c r="W12" s="4"/>
      <c r="X12" s="4">
        <f t="shared" ref="X12:X33" si="2">+P12-T12</f>
        <v>-307645.12000000005</v>
      </c>
      <c r="Y12" s="4"/>
      <c r="Z12" s="12">
        <f t="shared" ref="Z12:Z33" si="3">IF(T12=0,0,X12/T12)</f>
        <v>-0.37700826105419483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--813.1</f>
        <v>813.1</v>
      </c>
      <c r="E13" s="2"/>
      <c r="F13" s="19"/>
      <c r="G13" s="2"/>
      <c r="H13" s="2">
        <f>--2422</f>
        <v>2422</v>
      </c>
      <c r="I13" s="2"/>
      <c r="J13" s="19"/>
      <c r="K13" s="2"/>
      <c r="L13" s="2">
        <f t="shared" si="0"/>
        <v>-1608.9</v>
      </c>
      <c r="M13" s="2"/>
      <c r="N13" s="19">
        <f t="shared" si="1"/>
        <v>-0.66428571428571437</v>
      </c>
      <c r="O13" s="11"/>
      <c r="P13" s="2">
        <f>--175020.35</f>
        <v>175020.35</v>
      </c>
      <c r="Q13" s="2"/>
      <c r="R13" s="19"/>
      <c r="S13" s="2"/>
      <c r="T13" s="2">
        <f>--195764.7</f>
        <v>195764.7</v>
      </c>
      <c r="U13" s="2"/>
      <c r="V13" s="19"/>
      <c r="W13" s="2"/>
      <c r="X13" s="2">
        <f t="shared" si="2"/>
        <v>-20744.350000000006</v>
      </c>
      <c r="Y13" s="2"/>
      <c r="Z13" s="19">
        <f t="shared" si="3"/>
        <v>-0.10596573335233576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--2076.05</f>
        <v>2076.0500000000002</v>
      </c>
      <c r="E14" s="2"/>
      <c r="F14" s="19"/>
      <c r="G14" s="2"/>
      <c r="H14" s="2">
        <f>--15724.32</f>
        <v>15724.32</v>
      </c>
      <c r="I14" s="2"/>
      <c r="J14" s="19"/>
      <c r="K14" s="2"/>
      <c r="L14" s="2">
        <f t="shared" si="0"/>
        <v>-13648.27</v>
      </c>
      <c r="M14" s="2"/>
      <c r="N14" s="19">
        <f t="shared" si="1"/>
        <v>-0.86797203313084448</v>
      </c>
      <c r="O14" s="11"/>
      <c r="P14" s="2">
        <f>--76522.66</f>
        <v>76522.66</v>
      </c>
      <c r="Q14" s="2"/>
      <c r="R14" s="19"/>
      <c r="S14" s="2"/>
      <c r="T14" s="2">
        <f>--95701.63</f>
        <v>95701.63</v>
      </c>
      <c r="U14" s="2"/>
      <c r="V14" s="19"/>
      <c r="W14" s="2"/>
      <c r="X14" s="2">
        <f t="shared" si="2"/>
        <v>-19178.97</v>
      </c>
      <c r="Y14" s="2"/>
      <c r="Z14" s="19">
        <f t="shared" si="3"/>
        <v>-0.20040379667514546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 t="shared" ref="D15:D18" si="4">0</f>
        <v>0</v>
      </c>
      <c r="E15" s="2"/>
      <c r="F15" s="19"/>
      <c r="G15" s="2"/>
      <c r="H15" s="2">
        <f>--288</f>
        <v>288</v>
      </c>
      <c r="I15" s="2"/>
      <c r="J15" s="19"/>
      <c r="K15" s="2"/>
      <c r="L15" s="2">
        <f t="shared" si="0"/>
        <v>-288</v>
      </c>
      <c r="M15" s="2"/>
      <c r="N15" s="19">
        <f t="shared" si="1"/>
        <v>-1</v>
      </c>
      <c r="O15" s="11"/>
      <c r="P15" s="2">
        <f>--921.72</f>
        <v>921.72</v>
      </c>
      <c r="Q15" s="2"/>
      <c r="R15" s="19"/>
      <c r="S15" s="2"/>
      <c r="T15" s="2">
        <f>--1118.22</f>
        <v>1118.22</v>
      </c>
      <c r="U15" s="2"/>
      <c r="V15" s="19"/>
      <c r="W15" s="2"/>
      <c r="X15" s="2">
        <f t="shared" si="2"/>
        <v>-196.5</v>
      </c>
      <c r="Y15" s="2"/>
      <c r="Z15" s="19">
        <f t="shared" si="3"/>
        <v>-0.17572570692708053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--963.97</f>
        <v>963.97</v>
      </c>
      <c r="I17" s="2"/>
      <c r="J17" s="19"/>
      <c r="K17" s="2"/>
      <c r="L17" s="2">
        <f t="shared" si="0"/>
        <v>-963.97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--5572.63</f>
        <v>5572.63</v>
      </c>
      <c r="U17" s="2"/>
      <c r="V17" s="19"/>
      <c r="W17" s="2"/>
      <c r="X17" s="2">
        <f t="shared" si="2"/>
        <v>-2896.4900000000002</v>
      </c>
      <c r="Y17" s="2"/>
      <c r="Z17" s="19">
        <f t="shared" si="3"/>
        <v>-0.51977073661807804</v>
      </c>
    </row>
    <row r="18" spans="1:26" s="24" customFormat="1" hidden="1" outlineLevel="1" x14ac:dyDescent="0.25">
      <c r="A18" s="44"/>
      <c r="B18" s="11" t="str">
        <f>CONCATENATE("          ", "4091", " - ", "TAXABLE SALES-GRAD ANNOUNCEMEN")</f>
        <v xml:space="preserve">          4091 - TAXABLE SALES-GRAD ANNOUNCEMEN</v>
      </c>
      <c r="C18" s="11"/>
      <c r="D18" s="2">
        <f t="shared" si="4"/>
        <v>0</v>
      </c>
      <c r="E18" s="2"/>
      <c r="F18" s="19"/>
      <c r="G18" s="2"/>
      <c r="H18" s="2">
        <f>-471.6</f>
        <v>-471.6</v>
      </c>
      <c r="I18" s="2"/>
      <c r="J18" s="19"/>
      <c r="K18" s="2"/>
      <c r="L18" s="2">
        <f t="shared" si="0"/>
        <v>471.6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--13527.29</f>
        <v>13527.29</v>
      </c>
      <c r="E19" s="2"/>
      <c r="F19" s="19"/>
      <c r="G19" s="2"/>
      <c r="H19" s="2">
        <f>--99453.88</f>
        <v>99453.88</v>
      </c>
      <c r="I19" s="2"/>
      <c r="J19" s="19"/>
      <c r="K19" s="2"/>
      <c r="L19" s="2">
        <f t="shared" si="0"/>
        <v>-85926.59</v>
      </c>
      <c r="M19" s="2"/>
      <c r="N19" s="19">
        <f t="shared" si="1"/>
        <v>-0.86398429101006413</v>
      </c>
      <c r="O19" s="11"/>
      <c r="P19" s="2">
        <f>--35393.66</f>
        <v>35393.660000000003</v>
      </c>
      <c r="Q19" s="2"/>
      <c r="R19" s="19"/>
      <c r="S19" s="2"/>
      <c r="T19" s="2">
        <f>--222472.87</f>
        <v>222472.87</v>
      </c>
      <c r="U19" s="2"/>
      <c r="V19" s="19"/>
      <c r="W19" s="2"/>
      <c r="X19" s="2">
        <f t="shared" si="2"/>
        <v>-187079.21</v>
      </c>
      <c r="Y19" s="2"/>
      <c r="Z19" s="19">
        <f t="shared" si="3"/>
        <v>-0.84090797228444081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>0</f>
        <v>0</v>
      </c>
      <c r="E20" s="2"/>
      <c r="F20" s="19"/>
      <c r="G20" s="2"/>
      <c r="H20" s="2">
        <f>--161.37</f>
        <v>161.37</v>
      </c>
      <c r="I20" s="2"/>
      <c r="J20" s="19"/>
      <c r="K20" s="2"/>
      <c r="L20" s="2">
        <f t="shared" si="0"/>
        <v>-161.37</v>
      </c>
      <c r="M20" s="2"/>
      <c r="N20" s="19">
        <f t="shared" si="1"/>
        <v>-1</v>
      </c>
      <c r="O20" s="11"/>
      <c r="P20" s="2">
        <f>--279.56</f>
        <v>279.56</v>
      </c>
      <c r="Q20" s="2"/>
      <c r="R20" s="19"/>
      <c r="S20" s="2"/>
      <c r="T20" s="2">
        <f>--2169.78</f>
        <v>2169.7800000000002</v>
      </c>
      <c r="U20" s="2"/>
      <c r="V20" s="19"/>
      <c r="W20" s="2"/>
      <c r="X20" s="2">
        <f t="shared" si="2"/>
        <v>-1890.2200000000003</v>
      </c>
      <c r="Y20" s="2"/>
      <c r="Z20" s="19">
        <f t="shared" si="3"/>
        <v>-0.87115744453354726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--57</f>
        <v>57</v>
      </c>
      <c r="E21" s="2"/>
      <c r="F21" s="19"/>
      <c r="G21" s="2"/>
      <c r="H21" s="2">
        <f>--25.4</f>
        <v>25.4</v>
      </c>
      <c r="I21" s="2"/>
      <c r="J21" s="19"/>
      <c r="K21" s="2"/>
      <c r="L21" s="2">
        <f t="shared" si="0"/>
        <v>31.6</v>
      </c>
      <c r="M21" s="2"/>
      <c r="N21" s="19">
        <f t="shared" si="1"/>
        <v>1.2440944881889766</v>
      </c>
      <c r="O21" s="11"/>
      <c r="P21" s="2">
        <f>--921.6</f>
        <v>921.6</v>
      </c>
      <c r="Q21" s="2"/>
      <c r="R21" s="19"/>
      <c r="S21" s="2"/>
      <c r="T21" s="2">
        <f>--1951.7</f>
        <v>1951.7</v>
      </c>
      <c r="U21" s="2"/>
      <c r="V21" s="19"/>
      <c r="W21" s="2"/>
      <c r="X21" s="2">
        <f t="shared" si="2"/>
        <v>-1030.0999999999999</v>
      </c>
      <c r="Y21" s="2"/>
      <c r="Z21" s="19">
        <f t="shared" si="3"/>
        <v>-0.5277962801660091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 t="shared" ref="D22:D23" si="5">0</f>
        <v>0</v>
      </c>
      <c r="E22" s="2"/>
      <c r="F22" s="19"/>
      <c r="G22" s="2"/>
      <c r="H22" s="2">
        <f>--1065</f>
        <v>1065</v>
      </c>
      <c r="I22" s="2"/>
      <c r="J22" s="19"/>
      <c r="K22" s="2"/>
      <c r="L22" s="2">
        <f t="shared" si="0"/>
        <v>-1065</v>
      </c>
      <c r="M22" s="2"/>
      <c r="N22" s="19">
        <f t="shared" si="1"/>
        <v>-1</v>
      </c>
      <c r="O22" s="11"/>
      <c r="P22" s="2">
        <f>--8924.02</f>
        <v>8924.02</v>
      </c>
      <c r="Q22" s="2"/>
      <c r="R22" s="19"/>
      <c r="S22" s="2"/>
      <c r="T22" s="2">
        <f>--13733</f>
        <v>13733</v>
      </c>
      <c r="U22" s="2"/>
      <c r="V22" s="19"/>
      <c r="W22" s="2"/>
      <c r="X22" s="2">
        <f t="shared" si="2"/>
        <v>-4808.9799999999996</v>
      </c>
      <c r="Y22" s="2"/>
      <c r="Z22" s="19">
        <f t="shared" si="3"/>
        <v>-0.35017694604237964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 t="shared" si="5"/>
        <v>0</v>
      </c>
      <c r="E23" s="2"/>
      <c r="F23" s="19"/>
      <c r="G23" s="2"/>
      <c r="H23" s="2">
        <f>--25396.3</f>
        <v>25396.3</v>
      </c>
      <c r="I23" s="2"/>
      <c r="J23" s="19"/>
      <c r="K23" s="2"/>
      <c r="L23" s="2">
        <f t="shared" si="0"/>
        <v>-25396.3</v>
      </c>
      <c r="M23" s="2"/>
      <c r="N23" s="19">
        <f t="shared" si="1"/>
        <v>-1</v>
      </c>
      <c r="O23" s="11"/>
      <c r="P23" s="2">
        <f>--205908.65</f>
        <v>205908.65</v>
      </c>
      <c r="Q23" s="2"/>
      <c r="R23" s="19"/>
      <c r="S23" s="2"/>
      <c r="T23" s="2">
        <f>--285954.84</f>
        <v>285954.84000000003</v>
      </c>
      <c r="U23" s="2"/>
      <c r="V23" s="19"/>
      <c r="W23" s="2"/>
      <c r="X23" s="2">
        <f t="shared" si="2"/>
        <v>-80046.190000000031</v>
      </c>
      <c r="Y23" s="2"/>
      <c r="Z23" s="19">
        <f t="shared" si="3"/>
        <v>-0.2799259841169327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--10</f>
        <v>10</v>
      </c>
      <c r="E24" s="2"/>
      <c r="F24" s="19"/>
      <c r="G24" s="2"/>
      <c r="H24" s="2">
        <f>--30.5</f>
        <v>30.5</v>
      </c>
      <c r="I24" s="2"/>
      <c r="J24" s="19"/>
      <c r="K24" s="2"/>
      <c r="L24" s="2">
        <f t="shared" si="0"/>
        <v>-20.5</v>
      </c>
      <c r="M24" s="2"/>
      <c r="N24" s="19">
        <f t="shared" si="1"/>
        <v>-0.67213114754098358</v>
      </c>
      <c r="O24" s="11"/>
      <c r="P24" s="2">
        <f>--3446.37</f>
        <v>3446.37</v>
      </c>
      <c r="Q24" s="2"/>
      <c r="R24" s="19"/>
      <c r="S24" s="2"/>
      <c r="T24" s="2">
        <f>--928.73</f>
        <v>928.73</v>
      </c>
      <c r="U24" s="2"/>
      <c r="V24" s="19"/>
      <c r="W24" s="2"/>
      <c r="X24" s="2">
        <f t="shared" si="2"/>
        <v>2517.64</v>
      </c>
      <c r="Y24" s="2"/>
      <c r="Z24" s="19">
        <f t="shared" si="3"/>
        <v>2.710841687034983</v>
      </c>
    </row>
    <row r="25" spans="1:26" s="24" customFormat="1" hidden="1" outlineLevel="1" x14ac:dyDescent="0.25">
      <c r="A25" s="44"/>
      <c r="B25" s="11" t="str">
        <f>CONCATENATE("          ", "4192", " - ", "NON-TAXABLE SALES-GRAD MERCH")</f>
        <v xml:space="preserve">          4192 - NON-TAXABLE SALES-GRAD MERCH</v>
      </c>
      <c r="C25" s="11"/>
      <c r="D25" s="2">
        <f>--119.4</f>
        <v>119.4</v>
      </c>
      <c r="E25" s="2"/>
      <c r="F25" s="19"/>
      <c r="G25" s="2"/>
      <c r="H25" s="2">
        <f>-0.75</f>
        <v>-0.75</v>
      </c>
      <c r="I25" s="2"/>
      <c r="J25" s="19"/>
      <c r="K25" s="2"/>
      <c r="L25" s="2">
        <f t="shared" si="0"/>
        <v>120.15</v>
      </c>
      <c r="M25" s="2"/>
      <c r="N25" s="19">
        <f t="shared" si="1"/>
        <v>-160.20000000000002</v>
      </c>
      <c r="O25" s="11"/>
      <c r="P25" s="2">
        <f>--119.4</f>
        <v>119.4</v>
      </c>
      <c r="Q25" s="2"/>
      <c r="R25" s="19"/>
      <c r="S25" s="2"/>
      <c r="T25" s="2">
        <f>--531.25</f>
        <v>531.25</v>
      </c>
      <c r="U25" s="2"/>
      <c r="V25" s="19"/>
      <c r="W25" s="2"/>
      <c r="X25" s="2">
        <f t="shared" si="2"/>
        <v>-411.85</v>
      </c>
      <c r="Y25" s="2"/>
      <c r="Z25" s="19">
        <f t="shared" si="3"/>
        <v>-0.7752470588235294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 t="shared" ref="D26:D27" si="6">0</f>
        <v>0</v>
      </c>
      <c r="E26" s="2"/>
      <c r="F26" s="19"/>
      <c r="G26" s="2"/>
      <c r="H26" s="2">
        <f t="shared" ref="H26:H27" si="7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>
        <f>-1119.05</f>
        <v>-1119.05</v>
      </c>
      <c r="U26" s="2"/>
      <c r="V26" s="19"/>
      <c r="W26" s="2"/>
      <c r="X26" s="2">
        <f t="shared" si="2"/>
        <v>59.649999999999864</v>
      </c>
      <c r="Y26" s="2"/>
      <c r="Z26" s="19">
        <f t="shared" si="3"/>
        <v>-5.3304141906080932E-2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>-64.89</f>
        <v>-64.89</v>
      </c>
      <c r="E28" s="2"/>
      <c r="F28" s="19"/>
      <c r="G28" s="2"/>
      <c r="H28" s="2">
        <f>-4549.35</f>
        <v>-4549.3500000000004</v>
      </c>
      <c r="I28" s="2"/>
      <c r="J28" s="19"/>
      <c r="K28" s="2"/>
      <c r="L28" s="2">
        <f t="shared" si="0"/>
        <v>4484.46</v>
      </c>
      <c r="M28" s="2"/>
      <c r="N28" s="19">
        <f t="shared" si="1"/>
        <v>-0.98573642388473071</v>
      </c>
      <c r="O28" s="11"/>
      <c r="P28" s="2">
        <f>-578.84</f>
        <v>-578.84</v>
      </c>
      <c r="Q28" s="2"/>
      <c r="R28" s="19"/>
      <c r="S28" s="2"/>
      <c r="T28" s="2">
        <f>-8512.31</f>
        <v>-8512.31</v>
      </c>
      <c r="U28" s="2"/>
      <c r="V28" s="19"/>
      <c r="W28" s="2"/>
      <c r="X28" s="2">
        <f t="shared" si="2"/>
        <v>7933.4699999999993</v>
      </c>
      <c r="Y28" s="2"/>
      <c r="Z28" s="19">
        <f t="shared" si="3"/>
        <v>-0.93199965696738019</v>
      </c>
    </row>
    <row r="29" spans="1:26" s="24" customFormat="1" hidden="1" outlineLevel="1" x14ac:dyDescent="0.25">
      <c r="A29" s="44"/>
      <c r="B29" s="11" t="str">
        <f>CONCATENATE("          ", "4295", " - ", "SALES RETURN TAXABLE-CUSTOMER")</f>
        <v xml:space="preserve">          4295 - SALES RETURN TAXABLE-CUSTOMER</v>
      </c>
      <c r="C29" s="11"/>
      <c r="D29" s="2">
        <f t="shared" ref="D29:D33" si="8">0</f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ref="P29:P30" si="9">0</f>
        <v>0</v>
      </c>
      <c r="Q29" s="2"/>
      <c r="R29" s="19"/>
      <c r="S29" s="2"/>
      <c r="T29" s="2">
        <f>-126.72</f>
        <v>-126.72</v>
      </c>
      <c r="U29" s="2"/>
      <c r="V29" s="19"/>
      <c r="W29" s="2"/>
      <c r="X29" s="2">
        <f t="shared" si="2"/>
        <v>126.72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"4341", " - ", "SALES RETURN NON TAXABLE-LOGO")</f>
        <v xml:space="preserve">          4341 - SALES RETURN NON TAXABLE-LOGO</v>
      </c>
      <c r="C30" s="11"/>
      <c r="D30" s="2">
        <f t="shared" si="8"/>
        <v>0</v>
      </c>
      <c r="E30" s="2"/>
      <c r="F30" s="19"/>
      <c r="G30" s="2"/>
      <c r="H30" s="2">
        <f>-7.95</f>
        <v>-7.95</v>
      </c>
      <c r="I30" s="2"/>
      <c r="J30" s="19"/>
      <c r="K30" s="2"/>
      <c r="L30" s="2">
        <f t="shared" si="0"/>
        <v>7.95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-124.35</f>
        <v>-124.35</v>
      </c>
      <c r="U30" s="2"/>
      <c r="V30" s="19"/>
      <c r="W30" s="2"/>
      <c r="X30" s="2">
        <f t="shared" si="2"/>
        <v>124.35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"4342", " - ", "SALES RETURN NON TAXABLE-EVERY")</f>
        <v xml:space="preserve">          4342 - SALES RETURN NON TAXABLE-EVERY</v>
      </c>
      <c r="C31" s="11"/>
      <c r="D31" s="2">
        <f t="shared" si="8"/>
        <v>0</v>
      </c>
      <c r="E31" s="2"/>
      <c r="F31" s="19"/>
      <c r="G31" s="2"/>
      <c r="H31" s="2">
        <f t="shared" ref="H31:H33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-39.42</f>
        <v>-39.42</v>
      </c>
      <c r="Q31" s="2"/>
      <c r="R31" s="19"/>
      <c r="S31" s="2"/>
      <c r="T31" s="2">
        <f t="shared" ref="T31:T33" si="11">0</f>
        <v>0</v>
      </c>
      <c r="U31" s="2"/>
      <c r="V31" s="19"/>
      <c r="W31" s="2"/>
      <c r="X31" s="2">
        <f t="shared" si="2"/>
        <v>-39.42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"4346", " - ", "SALES RETURN NON TAXABLE-COIN-")</f>
        <v xml:space="preserve">          4346 - SALES RETURN NON TAXABLE-COIN-</v>
      </c>
      <c r="C32" s="11"/>
      <c r="D32" s="2">
        <f t="shared" si="8"/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-8.15</f>
        <v>-8.15</v>
      </c>
      <c r="Q32" s="2"/>
      <c r="R32" s="19"/>
      <c r="S32" s="2"/>
      <c r="T32" s="2">
        <f t="shared" si="11"/>
        <v>0</v>
      </c>
      <c r="U32" s="2"/>
      <c r="V32" s="19"/>
      <c r="W32" s="2"/>
      <c r="X32" s="2">
        <f t="shared" si="2"/>
        <v>-8.15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"4347", " - ", "SALES RETURN NON TAXABLE-MISC")</f>
        <v xml:space="preserve">          4347 - SALES RETURN NON TAXABLE-MISC</v>
      </c>
      <c r="C33" s="11"/>
      <c r="D33" s="2">
        <f t="shared" si="8"/>
        <v>0</v>
      </c>
      <c r="E33" s="2"/>
      <c r="F33" s="19"/>
      <c r="G33" s="2"/>
      <c r="H33" s="2">
        <f t="shared" si="10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-84</f>
        <v>-84</v>
      </c>
      <c r="Q33" s="2"/>
      <c r="R33" s="19"/>
      <c r="S33" s="2"/>
      <c r="T33" s="2">
        <f t="shared" si="11"/>
        <v>0</v>
      </c>
      <c r="U33" s="2"/>
      <c r="V33" s="19"/>
      <c r="W33" s="2"/>
      <c r="X33" s="2">
        <f t="shared" si="2"/>
        <v>-84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5155.7199999999993</v>
      </c>
      <c r="E35" s="4"/>
      <c r="F35" s="12">
        <f t="shared" ref="F35:F40" si="12">IF(D$12=0,0,D35/D$12)</f>
        <v>0.31175085182867274</v>
      </c>
      <c r="G35" s="4"/>
      <c r="H35" s="4">
        <f>SUM(OSRRefH16x_0)</f>
        <v>52762.75</v>
      </c>
      <c r="I35" s="4"/>
      <c r="J35" s="12">
        <f t="shared" ref="J35:J40" si="13">IF(H$12=0,0,H35/H$12)</f>
        <v>0.37553267380345601</v>
      </c>
      <c r="K35" s="4"/>
      <c r="L35" s="4">
        <f t="shared" ref="L35:L40" si="14">+D35-H35</f>
        <v>-47607.03</v>
      </c>
      <c r="M35" s="4"/>
      <c r="N35" s="12">
        <f t="shared" ref="N35:N40" si="15">IF(H35=0,0,L35/H35)</f>
        <v>-0.90228485058113916</v>
      </c>
      <c r="O35" s="10"/>
      <c r="P35" s="4">
        <f>SUM(OSRRefP16x_0)</f>
        <v>14627.13</v>
      </c>
      <c r="Q35" s="4"/>
      <c r="R35" s="12">
        <f t="shared" ref="R35:R40" si="16">IF(P$12=0,0,P35/P$12)</f>
        <v>2.8772504690464735E-2</v>
      </c>
      <c r="S35" s="4"/>
      <c r="T35" s="4">
        <f>SUM(OSRRefT16x_0)</f>
        <v>99000.54</v>
      </c>
      <c r="U35" s="4"/>
      <c r="V35" s="12">
        <f t="shared" ref="V35:V40" si="17">IF(T$12=0,0,T35/T$12)</f>
        <v>0.1213216755358455</v>
      </c>
      <c r="W35" s="4"/>
      <c r="X35" s="4">
        <f t="shared" ref="X35:X40" si="18">+P35-T35</f>
        <v>-84373.409999999989</v>
      </c>
      <c r="Y35" s="4"/>
      <c r="Z35" s="12">
        <f t="shared" ref="Z35:Z40" si="19">IF(T35=0,0,X35/T35)</f>
        <v>-0.85225201801929562</v>
      </c>
    </row>
    <row r="36" spans="1:26" s="24" customFormat="1" hidden="1" outlineLevel="1" x14ac:dyDescent="0.2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-3999.6</v>
      </c>
      <c r="E36" s="2"/>
      <c r="F36" s="19">
        <f t="shared" si="12"/>
        <v>-0.2418437593534869</v>
      </c>
      <c r="G36" s="2"/>
      <c r="H36" s="2">
        <v>-10960.05</v>
      </c>
      <c r="I36" s="2"/>
      <c r="J36" s="19">
        <f t="shared" si="13"/>
        <v>-7.8006868131770379E-2</v>
      </c>
      <c r="K36" s="2"/>
      <c r="L36" s="2">
        <f t="shared" si="14"/>
        <v>6960.4499999999989</v>
      </c>
      <c r="M36" s="2"/>
      <c r="N36" s="19">
        <f t="shared" si="15"/>
        <v>-0.63507465750612446</v>
      </c>
      <c r="O36" s="11"/>
      <c r="P36" s="2">
        <v>4546.2299999999996</v>
      </c>
      <c r="Q36" s="2"/>
      <c r="R36" s="19">
        <f t="shared" si="16"/>
        <v>8.9427265635111941E-3</v>
      </c>
      <c r="S36" s="2"/>
      <c r="T36" s="2">
        <v>24647.41</v>
      </c>
      <c r="U36" s="2"/>
      <c r="V36" s="19">
        <f t="shared" si="17"/>
        <v>3.020453301384976E-2</v>
      </c>
      <c r="W36" s="2"/>
      <c r="X36" s="2">
        <f t="shared" si="18"/>
        <v>-20101.18</v>
      </c>
      <c r="Y36" s="2"/>
      <c r="Z36" s="19">
        <f t="shared" si="19"/>
        <v>-0.81554938226775142</v>
      </c>
    </row>
    <row r="37" spans="1:26" s="24" customFormat="1" hidden="1" outlineLevel="1" x14ac:dyDescent="0.2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/>
      <c r="E37" s="2"/>
      <c r="F37" s="19">
        <f t="shared" si="12"/>
        <v>0</v>
      </c>
      <c r="G37" s="2"/>
      <c r="H37" s="2">
        <v>-2.16</v>
      </c>
      <c r="I37" s="2"/>
      <c r="J37" s="19">
        <f t="shared" si="13"/>
        <v>-1.5373546212346115E-5</v>
      </c>
      <c r="K37" s="2"/>
      <c r="L37" s="2">
        <f t="shared" si="14"/>
        <v>2.16</v>
      </c>
      <c r="M37" s="2"/>
      <c r="N37" s="19">
        <f t="shared" si="15"/>
        <v>-1</v>
      </c>
      <c r="O37" s="11"/>
      <c r="P37" s="2">
        <v>11.85</v>
      </c>
      <c r="Q37" s="2"/>
      <c r="R37" s="19">
        <f t="shared" si="16"/>
        <v>2.3309711514289344E-5</v>
      </c>
      <c r="S37" s="2"/>
      <c r="T37" s="2">
        <v>-75.599999999999994</v>
      </c>
      <c r="U37" s="2"/>
      <c r="V37" s="19">
        <f t="shared" si="17"/>
        <v>-9.2645137799348556E-5</v>
      </c>
      <c r="W37" s="2"/>
      <c r="X37" s="2">
        <f t="shared" si="18"/>
        <v>87.449999999999989</v>
      </c>
      <c r="Y37" s="2"/>
      <c r="Z37" s="19">
        <f t="shared" si="19"/>
        <v>-1.1567460317460316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3958</v>
      </c>
      <c r="E38" s="2"/>
      <c r="F38" s="19">
        <f t="shared" si="12"/>
        <v>0.23932833271354667</v>
      </c>
      <c r="G38" s="2"/>
      <c r="H38" s="2">
        <v>10200</v>
      </c>
      <c r="I38" s="2"/>
      <c r="J38" s="19">
        <f t="shared" si="13"/>
        <v>7.2597301558301089E-2</v>
      </c>
      <c r="K38" s="2"/>
      <c r="L38" s="2">
        <f t="shared" si="14"/>
        <v>-6242</v>
      </c>
      <c r="M38" s="2"/>
      <c r="N38" s="19">
        <f t="shared" si="15"/>
        <v>-0.61196078431372547</v>
      </c>
      <c r="O38" s="11"/>
      <c r="P38" s="2">
        <v>-4719</v>
      </c>
      <c r="Q38" s="2"/>
      <c r="R38" s="19">
        <f t="shared" si="16"/>
        <v>-9.2825762561967451E-3</v>
      </c>
      <c r="S38" s="2"/>
      <c r="T38" s="2">
        <v>-26914</v>
      </c>
      <c r="U38" s="2"/>
      <c r="V38" s="19">
        <f t="shared" si="17"/>
        <v>-3.2982159242482371E-2</v>
      </c>
      <c r="W38" s="2"/>
      <c r="X38" s="2">
        <f t="shared" si="18"/>
        <v>22195</v>
      </c>
      <c r="Y38" s="2"/>
      <c r="Z38" s="19">
        <f t="shared" si="19"/>
        <v>-0.82466374377647322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5156</v>
      </c>
      <c r="E39" s="2"/>
      <c r="F39" s="19">
        <f t="shared" si="12"/>
        <v>0.31176778258490312</v>
      </c>
      <c r="G39" s="2"/>
      <c r="H39" s="2">
        <v>52763</v>
      </c>
      <c r="I39" s="2"/>
      <c r="J39" s="19">
        <f t="shared" si="13"/>
        <v>0.3755344531490824</v>
      </c>
      <c r="K39" s="2"/>
      <c r="L39" s="2">
        <f t="shared" si="14"/>
        <v>-47607</v>
      </c>
      <c r="M39" s="2"/>
      <c r="N39" s="19">
        <f t="shared" si="15"/>
        <v>-0.90228000682296305</v>
      </c>
      <c r="O39" s="11"/>
      <c r="P39" s="2">
        <v>14628</v>
      </c>
      <c r="Q39" s="2"/>
      <c r="R39" s="19">
        <f t="shared" si="16"/>
        <v>2.8774216036373378E-2</v>
      </c>
      <c r="S39" s="2"/>
      <c r="T39" s="2">
        <v>99000</v>
      </c>
      <c r="U39" s="2"/>
      <c r="V39" s="19">
        <f t="shared" si="17"/>
        <v>0.12132101378486122</v>
      </c>
      <c r="W39" s="2"/>
      <c r="X39" s="2">
        <f t="shared" si="18"/>
        <v>-84372</v>
      </c>
      <c r="Y39" s="2"/>
      <c r="Z39" s="19">
        <f t="shared" si="19"/>
        <v>-0.85224242424242425</v>
      </c>
    </row>
    <row r="40" spans="1:26" s="24" customFormat="1" hidden="1" outlineLevel="1" x14ac:dyDescent="0.25">
      <c r="A40" s="44"/>
      <c r="B40" s="11" t="str">
        <f>CONCATENATE("          ", "5592", " - ", "FREIGHT-IN-GRAD MERCH")</f>
        <v xml:space="preserve">          5592 - FREIGHT-IN-GRAD MERCH</v>
      </c>
      <c r="C40" s="11"/>
      <c r="D40" s="2">
        <v>41.32</v>
      </c>
      <c r="E40" s="2"/>
      <c r="F40" s="19">
        <f t="shared" si="12"/>
        <v>2.4984958837098907E-3</v>
      </c>
      <c r="G40" s="2"/>
      <c r="H40" s="2">
        <v>761.96</v>
      </c>
      <c r="I40" s="2"/>
      <c r="J40" s="19">
        <f t="shared" si="13"/>
        <v>5.423160774055206E-3</v>
      </c>
      <c r="K40" s="2"/>
      <c r="L40" s="2">
        <f t="shared" si="14"/>
        <v>-720.64</v>
      </c>
      <c r="M40" s="2"/>
      <c r="N40" s="19">
        <f t="shared" si="15"/>
        <v>-0.94577143157121102</v>
      </c>
      <c r="O40" s="11"/>
      <c r="P40" s="2">
        <v>160.05000000000001</v>
      </c>
      <c r="Q40" s="2"/>
      <c r="R40" s="19">
        <f t="shared" si="16"/>
        <v>3.1482863526261689E-4</v>
      </c>
      <c r="S40" s="2"/>
      <c r="T40" s="2">
        <v>2342.73</v>
      </c>
      <c r="U40" s="2"/>
      <c r="V40" s="19">
        <f t="shared" si="17"/>
        <v>2.8709331174162417E-3</v>
      </c>
      <c r="W40" s="2"/>
      <c r="X40" s="2">
        <f t="shared" si="18"/>
        <v>-2182.6799999999998</v>
      </c>
      <c r="Y40" s="2"/>
      <c r="Z40" s="19">
        <f t="shared" si="19"/>
        <v>-0.93168226812308708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9" t="s">
        <v>6</v>
      </c>
      <c r="C42" s="29"/>
      <c r="D42" s="21">
        <f>D12-D35</f>
        <v>11382.230000000005</v>
      </c>
      <c r="E42" s="14"/>
      <c r="F42" s="20">
        <f>IF(D$12=0,0,D42/D$12)</f>
        <v>0.68824914817132732</v>
      </c>
      <c r="G42" s="14"/>
      <c r="H42" s="21">
        <f>H12-H35</f>
        <v>87738.339999999967</v>
      </c>
      <c r="I42" s="14"/>
      <c r="J42" s="20">
        <f>IF(H$12=0,0,H42/H$12)</f>
        <v>0.62446732619654399</v>
      </c>
      <c r="K42" s="16"/>
      <c r="L42" s="21">
        <f>+D42-H42</f>
        <v>-76356.109999999957</v>
      </c>
      <c r="M42" s="16"/>
      <c r="N42" s="20">
        <f>IF(H42=0,0,L42/H42)</f>
        <v>-0.87027073910903696</v>
      </c>
      <c r="O42" s="28"/>
      <c r="P42" s="21">
        <f>P12-P35</f>
        <v>493744.67</v>
      </c>
      <c r="Q42" s="14"/>
      <c r="R42" s="20">
        <f>IF(P$12=0,0,P42/P$12)</f>
        <v>0.97122749530953523</v>
      </c>
      <c r="S42" s="14"/>
      <c r="T42" s="21">
        <f>T12-T35</f>
        <v>717016.38</v>
      </c>
      <c r="U42" s="14"/>
      <c r="V42" s="20">
        <f>IF(T$12=0,0,T42/T$12)</f>
        <v>0.8786783244641545</v>
      </c>
      <c r="W42" s="16"/>
      <c r="X42" s="21">
        <f>+P42-T42</f>
        <v>-223271.71000000002</v>
      </c>
      <c r="Y42" s="16"/>
      <c r="Z42" s="20">
        <f>IF(T42=0,0,X42/T42)</f>
        <v>-0.31138997131418394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8" t="s">
        <v>9</v>
      </c>
      <c r="C44" s="10"/>
      <c r="D44" s="22">
        <f>SUM(OSRRefD22x_0)</f>
        <v>23027.79</v>
      </c>
      <c r="E44" s="22"/>
      <c r="F44" s="31">
        <f t="shared" ref="F44:F53" si="20">IF(D$12=0,0,D44/D$12)</f>
        <v>1.3924210679074489</v>
      </c>
      <c r="G44" s="22"/>
      <c r="H44" s="22">
        <f>SUM(OSRRefH22x_0)</f>
        <v>73764.500000000015</v>
      </c>
      <c r="I44" s="22"/>
      <c r="J44" s="31">
        <f t="shared" ref="J44:J53" si="21">IF(H$12=0,0,H44/H$12)</f>
        <v>0.52501016184287275</v>
      </c>
      <c r="K44" s="4"/>
      <c r="L44" s="22">
        <f t="shared" ref="L44:L53" si="22">+D44-H44</f>
        <v>-50736.710000000014</v>
      </c>
      <c r="M44" s="4"/>
      <c r="N44" s="31">
        <f t="shared" ref="N44:N53" si="23">IF(H44=0,0,L44/H44)</f>
        <v>-0.68782015739278379</v>
      </c>
      <c r="O44" s="10"/>
      <c r="P44" s="22">
        <f>SUM(OSRRefP22x_0)</f>
        <v>478092.63000000012</v>
      </c>
      <c r="Q44" s="22"/>
      <c r="R44" s="31">
        <f t="shared" ref="R44:R53" si="24">IF(P$12=0,0,P44/P$12)</f>
        <v>0.94043892678547503</v>
      </c>
      <c r="S44" s="22"/>
      <c r="T44" s="22">
        <f>SUM(OSRRefT22x_0)</f>
        <v>558307.89000000013</v>
      </c>
      <c r="U44" s="22"/>
      <c r="V44" s="31">
        <f t="shared" ref="V44:V53" si="25">IF(T$12=0,0,T44/T$12)</f>
        <v>0.68418665877663432</v>
      </c>
      <c r="W44" s="4"/>
      <c r="X44" s="22">
        <f t="shared" ref="X44:X53" si="26">+P44-T44</f>
        <v>-80215.260000000009</v>
      </c>
      <c r="Y44" s="4"/>
      <c r="Z44" s="31">
        <f t="shared" ref="Z44:Z53" si="27">IF(T44=0,0,X44/T44)</f>
        <v>-0.1436756697097725</v>
      </c>
    </row>
    <row r="45" spans="1:26" s="27" customFormat="1" outlineLevel="1" collapsed="1" x14ac:dyDescent="0.25">
      <c r="A45" s="25"/>
      <c r="B45" s="13" t="str">
        <f>CONCATENATE("     ","*Benefits                                         ")</f>
        <v xml:space="preserve">     *Benefits                                         </v>
      </c>
      <c r="C45" s="13"/>
      <c r="D45" s="1">
        <f>SUM(OSRRefD22_0x_0)</f>
        <v>6736.43</v>
      </c>
      <c r="E45" s="1"/>
      <c r="F45" s="5">
        <f t="shared" si="20"/>
        <v>0.40733162211761426</v>
      </c>
      <c r="G45" s="1"/>
      <c r="H45" s="1">
        <f>SUM(OSRRefH22_0x_0)</f>
        <v>9140.0399999999991</v>
      </c>
      <c r="I45" s="1"/>
      <c r="J45" s="5">
        <f t="shared" si="21"/>
        <v>6.5053160797542572E-2</v>
      </c>
      <c r="K45" s="1"/>
      <c r="L45" s="1">
        <f t="shared" si="22"/>
        <v>-2403.6099999999988</v>
      </c>
      <c r="M45" s="1"/>
      <c r="N45" s="5">
        <f t="shared" si="23"/>
        <v>-0.26297587319092686</v>
      </c>
      <c r="O45" s="13"/>
      <c r="P45" s="1">
        <f>SUM(OSRRefP22_0x_0)</f>
        <v>89841.48000000001</v>
      </c>
      <c r="Q45" s="1"/>
      <c r="R45" s="5">
        <f t="shared" si="24"/>
        <v>0.17672396462588996</v>
      </c>
      <c r="S45" s="1"/>
      <c r="T45" s="1">
        <f>SUM(OSRRefT22_0x_0)</f>
        <v>81464.549999999988</v>
      </c>
      <c r="U45" s="1"/>
      <c r="V45" s="5">
        <f t="shared" si="25"/>
        <v>9.9831937308358737E-2</v>
      </c>
      <c r="W45" s="1"/>
      <c r="X45" s="1">
        <f t="shared" si="26"/>
        <v>8376.9300000000221</v>
      </c>
      <c r="Y45" s="1"/>
      <c r="Z45" s="5">
        <f t="shared" si="27"/>
        <v>0.10282914470159135</v>
      </c>
    </row>
    <row r="46" spans="1:26" s="24" customFormat="1" hidden="1" outlineLevel="2" x14ac:dyDescent="0.25">
      <c r="A46" s="26"/>
      <c r="B46" s="11" t="str">
        <f>CONCATENATE("          ", "6111", " - ", "F.I.C.A.")</f>
        <v xml:space="preserve">          6111 - F.I.C.A.</v>
      </c>
      <c r="C46" s="11"/>
      <c r="D46" s="6">
        <v>870.7</v>
      </c>
      <c r="E46" s="2"/>
      <c r="F46" s="7">
        <f t="shared" si="20"/>
        <v>5.2648605177788049E-2</v>
      </c>
      <c r="G46" s="2"/>
      <c r="H46" s="6">
        <v>2294.4499999999998</v>
      </c>
      <c r="I46" s="2"/>
      <c r="J46" s="7">
        <f t="shared" si="21"/>
        <v>1.6330478290239602E-2</v>
      </c>
      <c r="K46" s="2"/>
      <c r="L46" s="6">
        <f t="shared" si="22"/>
        <v>-1423.7499999999998</v>
      </c>
      <c r="M46" s="2"/>
      <c r="N46" s="7">
        <f t="shared" si="23"/>
        <v>-0.62051907864629863</v>
      </c>
      <c r="O46" s="11"/>
      <c r="P46" s="6">
        <v>14023.03</v>
      </c>
      <c r="Q46" s="2"/>
      <c r="R46" s="7">
        <f t="shared" si="24"/>
        <v>2.7584201169301683E-2</v>
      </c>
      <c r="S46" s="2"/>
      <c r="T46" s="6">
        <v>14512.46</v>
      </c>
      <c r="U46" s="2"/>
      <c r="V46" s="7">
        <f t="shared" si="25"/>
        <v>1.7784508683962089E-2</v>
      </c>
      <c r="W46" s="2"/>
      <c r="X46" s="6">
        <f t="shared" si="26"/>
        <v>-489.42999999999847</v>
      </c>
      <c r="Y46" s="2"/>
      <c r="Z46" s="7">
        <f t="shared" si="27"/>
        <v>-3.3724813022740358E-2</v>
      </c>
    </row>
    <row r="47" spans="1:26" s="24" customFormat="1" hidden="1" outlineLevel="2" x14ac:dyDescent="0.25">
      <c r="A47" s="26"/>
      <c r="B47" s="11" t="str">
        <f>CONCATENATE("          ", "6112", " - ", "COMPENSATION INSURANCE")</f>
        <v xml:space="preserve">          6112 - COMPENSATION INSURANCE</v>
      </c>
      <c r="C47" s="11"/>
      <c r="D47" s="6">
        <v>324.37</v>
      </c>
      <c r="E47" s="2"/>
      <c r="F47" s="7">
        <f t="shared" si="20"/>
        <v>1.9613676423014939E-2</v>
      </c>
      <c r="G47" s="2"/>
      <c r="H47" s="6">
        <v>152.41</v>
      </c>
      <c r="I47" s="2"/>
      <c r="J47" s="7">
        <f t="shared" si="21"/>
        <v>1.084760267696144E-3</v>
      </c>
      <c r="K47" s="2"/>
      <c r="L47" s="6">
        <f t="shared" si="22"/>
        <v>171.96</v>
      </c>
      <c r="M47" s="2"/>
      <c r="N47" s="7">
        <f t="shared" si="23"/>
        <v>1.1282724230693524</v>
      </c>
      <c r="O47" s="11"/>
      <c r="P47" s="6">
        <v>2440.85</v>
      </c>
      <c r="Q47" s="2"/>
      <c r="R47" s="7">
        <f t="shared" si="24"/>
        <v>4.8013088058779024E-3</v>
      </c>
      <c r="S47" s="2"/>
      <c r="T47" s="6">
        <v>1991.96</v>
      </c>
      <c r="U47" s="2"/>
      <c r="V47" s="7">
        <f t="shared" si="25"/>
        <v>2.4410768345342641E-3</v>
      </c>
      <c r="W47" s="2"/>
      <c r="X47" s="6">
        <f t="shared" si="26"/>
        <v>448.88999999999987</v>
      </c>
      <c r="Y47" s="2"/>
      <c r="Z47" s="7">
        <f t="shared" si="27"/>
        <v>0.22535091066085658</v>
      </c>
    </row>
    <row r="48" spans="1:26" s="24" customFormat="1" hidden="1" outlineLevel="2" x14ac:dyDescent="0.25">
      <c r="A48" s="26"/>
      <c r="B48" s="11" t="str">
        <f>CONCATENATE("          ", "6113", " - ", "GROUP INSURANCE")</f>
        <v xml:space="preserve">          6113 - GROUP INSURANCE</v>
      </c>
      <c r="C48" s="11"/>
      <c r="D48" s="6">
        <v>2724.48</v>
      </c>
      <c r="E48" s="2"/>
      <c r="F48" s="7">
        <f t="shared" si="20"/>
        <v>0.16474109548039506</v>
      </c>
      <c r="G48" s="2"/>
      <c r="H48" s="6">
        <v>2998.29</v>
      </c>
      <c r="I48" s="2"/>
      <c r="J48" s="7">
        <f t="shared" si="21"/>
        <v>2.1339976793062605E-2</v>
      </c>
      <c r="K48" s="2"/>
      <c r="L48" s="6">
        <f t="shared" si="22"/>
        <v>-273.80999999999995</v>
      </c>
      <c r="M48" s="2"/>
      <c r="N48" s="7">
        <f t="shared" si="23"/>
        <v>-9.1322053570535189E-2</v>
      </c>
      <c r="O48" s="11"/>
      <c r="P48" s="6">
        <v>32791.75</v>
      </c>
      <c r="Q48" s="2"/>
      <c r="R48" s="7">
        <f t="shared" si="24"/>
        <v>6.4503479539974484E-2</v>
      </c>
      <c r="S48" s="2"/>
      <c r="T48" s="6">
        <v>28680.95</v>
      </c>
      <c r="U48" s="2"/>
      <c r="V48" s="7">
        <f t="shared" si="25"/>
        <v>3.5147494245585005E-2</v>
      </c>
      <c r="W48" s="2"/>
      <c r="X48" s="6">
        <f t="shared" si="26"/>
        <v>4110.7999999999993</v>
      </c>
      <c r="Y48" s="2"/>
      <c r="Z48" s="7">
        <f t="shared" si="27"/>
        <v>0.14332858569886978</v>
      </c>
    </row>
    <row r="49" spans="1:26" s="24" customFormat="1" hidden="1" outlineLevel="2" x14ac:dyDescent="0.25">
      <c r="A49" s="26"/>
      <c r="B49" s="11" t="str">
        <f>CONCATENATE("          ", "6114", " - ", "STATE UNEMPLOYMENT INSURANCE")</f>
        <v xml:space="preserve">          6114 - STATE UNEMPLOYMENT INSURANCE</v>
      </c>
      <c r="C49" s="11"/>
      <c r="D49" s="6">
        <v>44.39</v>
      </c>
      <c r="E49" s="2"/>
      <c r="F49" s="7">
        <f t="shared" si="20"/>
        <v>2.6841295323785591E-3</v>
      </c>
      <c r="G49" s="2"/>
      <c r="H49" s="6">
        <v>45.86</v>
      </c>
      <c r="I49" s="2"/>
      <c r="J49" s="7">
        <f t="shared" si="21"/>
        <v>3.2640316171212629E-4</v>
      </c>
      <c r="K49" s="2"/>
      <c r="L49" s="6">
        <f t="shared" si="22"/>
        <v>-1.4699999999999989</v>
      </c>
      <c r="M49" s="2"/>
      <c r="N49" s="7">
        <f t="shared" si="23"/>
        <v>-3.2054077627562121E-2</v>
      </c>
      <c r="O49" s="11"/>
      <c r="P49" s="6">
        <v>528.47</v>
      </c>
      <c r="Q49" s="2"/>
      <c r="R49" s="7">
        <f t="shared" si="24"/>
        <v>1.0395344509667925E-3</v>
      </c>
      <c r="S49" s="2"/>
      <c r="T49" s="6">
        <v>529.38</v>
      </c>
      <c r="U49" s="2"/>
      <c r="V49" s="7">
        <f t="shared" si="25"/>
        <v>6.4873654825686701E-4</v>
      </c>
      <c r="W49" s="2"/>
      <c r="X49" s="6">
        <f t="shared" si="26"/>
        <v>-0.90999999999996817</v>
      </c>
      <c r="Y49" s="2"/>
      <c r="Z49" s="7">
        <f t="shared" si="27"/>
        <v>-1.7189920284105334E-3</v>
      </c>
    </row>
    <row r="50" spans="1:26" s="24" customFormat="1" hidden="1" outlineLevel="2" x14ac:dyDescent="0.25">
      <c r="A50" s="26"/>
      <c r="B50" s="11" t="str">
        <f>CONCATENATE("          ", "6115", " - ", "P.E.R.S.")</f>
        <v xml:space="preserve">          6115 - P.E.R.S.</v>
      </c>
      <c r="C50" s="11"/>
      <c r="D50" s="6">
        <v>1166.77</v>
      </c>
      <c r="E50" s="2"/>
      <c r="F50" s="7">
        <f t="shared" si="20"/>
        <v>7.0551065881805167E-2</v>
      </c>
      <c r="G50" s="2"/>
      <c r="H50" s="6">
        <v>1050.3599999999999</v>
      </c>
      <c r="I50" s="2"/>
      <c r="J50" s="7">
        <f t="shared" si="21"/>
        <v>7.4758138887036406E-3</v>
      </c>
      <c r="K50" s="2"/>
      <c r="L50" s="6">
        <f t="shared" si="22"/>
        <v>116.41000000000008</v>
      </c>
      <c r="M50" s="2"/>
      <c r="N50" s="7">
        <f t="shared" si="23"/>
        <v>0.11082866826611837</v>
      </c>
      <c r="O50" s="11"/>
      <c r="P50" s="6">
        <v>14386.65</v>
      </c>
      <c r="Q50" s="2"/>
      <c r="R50" s="7">
        <f t="shared" si="24"/>
        <v>2.8299465076544371E-2</v>
      </c>
      <c r="S50" s="2"/>
      <c r="T50" s="6">
        <v>13421.77</v>
      </c>
      <c r="U50" s="2"/>
      <c r="V50" s="7">
        <f t="shared" si="25"/>
        <v>1.6447906496840775E-2</v>
      </c>
      <c r="W50" s="2"/>
      <c r="X50" s="6">
        <f t="shared" si="26"/>
        <v>964.8799999999992</v>
      </c>
      <c r="Y50" s="2"/>
      <c r="Z50" s="7">
        <f t="shared" si="27"/>
        <v>7.1889177060849588E-2</v>
      </c>
    </row>
    <row r="51" spans="1:26" s="24" customFormat="1" hidden="1" outlineLevel="2" x14ac:dyDescent="0.25">
      <c r="A51" s="26"/>
      <c r="B51" s="11" t="str">
        <f>CONCATENATE("          ", "6118", " - ", "VACATION")</f>
        <v xml:space="preserve">          6118 - VACATION</v>
      </c>
      <c r="C51" s="11"/>
      <c r="D51" s="6">
        <v>1039.18</v>
      </c>
      <c r="E51" s="2"/>
      <c r="F51" s="7">
        <f t="shared" si="20"/>
        <v>6.2836083069546092E-2</v>
      </c>
      <c r="G51" s="2"/>
      <c r="H51" s="6">
        <v>1510.11</v>
      </c>
      <c r="I51" s="2"/>
      <c r="J51" s="7">
        <f t="shared" si="21"/>
        <v>1.0748030495706476E-2</v>
      </c>
      <c r="K51" s="2"/>
      <c r="L51" s="6">
        <f t="shared" si="22"/>
        <v>-470.92999999999984</v>
      </c>
      <c r="M51" s="2"/>
      <c r="N51" s="7">
        <f t="shared" si="23"/>
        <v>-0.3118514545298024</v>
      </c>
      <c r="O51" s="11"/>
      <c r="P51" s="6">
        <v>14492.92</v>
      </c>
      <c r="Q51" s="2"/>
      <c r="R51" s="7">
        <f t="shared" si="24"/>
        <v>2.8508504995753109E-2</v>
      </c>
      <c r="S51" s="2"/>
      <c r="T51" s="6">
        <v>11825.49</v>
      </c>
      <c r="U51" s="2"/>
      <c r="V51" s="7">
        <f t="shared" si="25"/>
        <v>1.4491721568714529E-2</v>
      </c>
      <c r="W51" s="2"/>
      <c r="X51" s="6">
        <f t="shared" si="26"/>
        <v>2667.4300000000003</v>
      </c>
      <c r="Y51" s="2"/>
      <c r="Z51" s="7">
        <f t="shared" si="27"/>
        <v>0.22556612876083784</v>
      </c>
    </row>
    <row r="52" spans="1:26" s="24" customFormat="1" hidden="1" outlineLevel="2" x14ac:dyDescent="0.25">
      <c r="A52" s="26"/>
      <c r="B52" s="11" t="str">
        <f>CONCATENATE("          ", "6119", " - ", "SICK LEAVE")</f>
        <v xml:space="preserve">          6119 - SICK LEAVE</v>
      </c>
      <c r="C52" s="11"/>
      <c r="D52" s="6">
        <v>526.54</v>
      </c>
      <c r="E52" s="2"/>
      <c r="F52" s="7">
        <f t="shared" si="20"/>
        <v>3.1838287091205369E-2</v>
      </c>
      <c r="G52" s="2"/>
      <c r="H52" s="6">
        <v>790.5</v>
      </c>
      <c r="I52" s="2"/>
      <c r="J52" s="7">
        <f t="shared" si="21"/>
        <v>5.626290870768335E-3</v>
      </c>
      <c r="K52" s="2"/>
      <c r="L52" s="6">
        <f t="shared" si="22"/>
        <v>-263.96000000000004</v>
      </c>
      <c r="M52" s="2"/>
      <c r="N52" s="7">
        <f t="shared" si="23"/>
        <v>-0.33391524351676161</v>
      </c>
      <c r="O52" s="11"/>
      <c r="P52" s="6">
        <v>8695.2999999999993</v>
      </c>
      <c r="Q52" s="2"/>
      <c r="R52" s="7">
        <f t="shared" si="24"/>
        <v>1.7104213884405074E-2</v>
      </c>
      <c r="S52" s="2"/>
      <c r="T52" s="6">
        <v>7301.09</v>
      </c>
      <c r="U52" s="2"/>
      <c r="V52" s="7">
        <f t="shared" si="25"/>
        <v>8.9472286922678019E-3</v>
      </c>
      <c r="W52" s="2"/>
      <c r="X52" s="6">
        <f t="shared" si="26"/>
        <v>1394.2099999999991</v>
      </c>
      <c r="Y52" s="2"/>
      <c r="Z52" s="7">
        <f t="shared" si="27"/>
        <v>0.19095915815309755</v>
      </c>
    </row>
    <row r="53" spans="1:26" s="24" customFormat="1" hidden="1" outlineLevel="2" x14ac:dyDescent="0.25">
      <c r="A53" s="26"/>
      <c r="B53" s="11" t="str">
        <f>CONCATENATE("          ", "6156", " - ", "EMPLOYEE MEALS")</f>
        <v xml:space="preserve">          6156 - EMPLOYEE MEALS</v>
      </c>
      <c r="C53" s="11"/>
      <c r="D53" s="6">
        <v>40</v>
      </c>
      <c r="E53" s="2"/>
      <c r="F53" s="7">
        <f t="shared" si="20"/>
        <v>2.4186794614810174E-3</v>
      </c>
      <c r="G53" s="2"/>
      <c r="H53" s="6">
        <v>298.06</v>
      </c>
      <c r="I53" s="2"/>
      <c r="J53" s="7">
        <f t="shared" si="21"/>
        <v>2.1214070296536494E-3</v>
      </c>
      <c r="K53" s="2"/>
      <c r="L53" s="6">
        <f t="shared" si="22"/>
        <v>-258.06</v>
      </c>
      <c r="M53" s="2"/>
      <c r="N53" s="7">
        <f t="shared" si="23"/>
        <v>-0.86579883244984235</v>
      </c>
      <c r="O53" s="11"/>
      <c r="P53" s="6">
        <v>2482.5100000000002</v>
      </c>
      <c r="Q53" s="2"/>
      <c r="R53" s="7">
        <f t="shared" si="24"/>
        <v>4.8832567030665354E-3</v>
      </c>
      <c r="S53" s="2"/>
      <c r="T53" s="6">
        <v>3201.45</v>
      </c>
      <c r="U53" s="2"/>
      <c r="V53" s="7">
        <f t="shared" si="25"/>
        <v>3.9232642381974133E-3</v>
      </c>
      <c r="W53" s="2"/>
      <c r="X53" s="6">
        <f t="shared" si="26"/>
        <v>-718.9399999999996</v>
      </c>
      <c r="Y53" s="2"/>
      <c r="Z53" s="7">
        <f t="shared" si="27"/>
        <v>-0.22456699308125994</v>
      </c>
    </row>
    <row r="54" spans="1:26" s="27" customFormat="1" outlineLevel="1" collapsed="1" x14ac:dyDescent="0.25">
      <c r="A54" s="25"/>
      <c r="B54" s="13" t="str">
        <f>CONCATENATE("     ","*Payroll                                          ")</f>
        <v xml:space="preserve">     *Payroll                                          </v>
      </c>
      <c r="C54" s="13"/>
      <c r="D54" s="1">
        <f>SUM(OSRRefD22_1x_0)</f>
        <v>8890.02</v>
      </c>
      <c r="E54" s="1"/>
      <c r="F54" s="5">
        <f t="shared" ref="F54:F60" si="28">IF(D$12=0,0,D54/D$12)</f>
        <v>0.53755271965388685</v>
      </c>
      <c r="G54" s="1"/>
      <c r="H54" s="1">
        <f>SUM(OSRRefH22_1x_0)</f>
        <v>37569.040000000001</v>
      </c>
      <c r="I54" s="1"/>
      <c r="J54" s="5">
        <f t="shared" ref="J54:J60" si="29">IF(H$12=0,0,H54/H$12)</f>
        <v>0.2673932280525369</v>
      </c>
      <c r="K54" s="1"/>
      <c r="L54" s="1">
        <f t="shared" ref="L54:L60" si="30">+D54-H54</f>
        <v>-28679.02</v>
      </c>
      <c r="M54" s="1"/>
      <c r="N54" s="5">
        <f t="shared" ref="N54:N60" si="31">IF(H54=0,0,L54/H54)</f>
        <v>-0.76336845445079249</v>
      </c>
      <c r="O54" s="13"/>
      <c r="P54" s="1">
        <f>SUM(OSRRefP22_1x_0)</f>
        <v>178878.8</v>
      </c>
      <c r="Q54" s="1"/>
      <c r="R54" s="5">
        <f t="shared" ref="R54:R60" si="32">IF(P$12=0,0,P54/P$12)</f>
        <v>0.35186609485419923</v>
      </c>
      <c r="S54" s="1"/>
      <c r="T54" s="1">
        <f>SUM(OSRRefT22_1x_0)</f>
        <v>209811.55</v>
      </c>
      <c r="U54" s="1"/>
      <c r="V54" s="5">
        <f t="shared" ref="V54:V60" si="33">IF(T$12=0,0,T54/T$12)</f>
        <v>0.25711666615932421</v>
      </c>
      <c r="W54" s="1"/>
      <c r="X54" s="1">
        <f t="shared" ref="X54:X60" si="34">+P54-T54</f>
        <v>-30932.75</v>
      </c>
      <c r="Y54" s="1"/>
      <c r="Z54" s="5">
        <f t="shared" ref="Z54:Z60" si="35">IF(T54=0,0,X54/T54)</f>
        <v>-0.14743111139496373</v>
      </c>
    </row>
    <row r="55" spans="1:26" s="24" customFormat="1" hidden="1" outlineLevel="2" x14ac:dyDescent="0.25">
      <c r="A55" s="26"/>
      <c r="B55" s="11" t="str">
        <f>CONCATENATE("          ", "6002", " - ", "STAFF SALARIES")</f>
        <v xml:space="preserve">          6002 - STAFF SALARIES</v>
      </c>
      <c r="C55" s="11"/>
      <c r="D55" s="6">
        <v>8890.02</v>
      </c>
      <c r="E55" s="2"/>
      <c r="F55" s="7">
        <f t="shared" si="28"/>
        <v>0.53755271965388685</v>
      </c>
      <c r="G55" s="2"/>
      <c r="H55" s="6">
        <v>13277.19</v>
      </c>
      <c r="I55" s="2"/>
      <c r="J55" s="7">
        <f t="shared" si="29"/>
        <v>9.4498839831064677E-2</v>
      </c>
      <c r="K55" s="2"/>
      <c r="L55" s="6">
        <f t="shared" si="30"/>
        <v>-4387.17</v>
      </c>
      <c r="M55" s="2"/>
      <c r="N55" s="7">
        <f t="shared" si="31"/>
        <v>-0.33042910435114659</v>
      </c>
      <c r="O55" s="11"/>
      <c r="P55" s="6">
        <v>122217.64</v>
      </c>
      <c r="Q55" s="2"/>
      <c r="R55" s="7">
        <f t="shared" si="32"/>
        <v>0.24040995192888354</v>
      </c>
      <c r="S55" s="2"/>
      <c r="T55" s="6">
        <v>124221.42</v>
      </c>
      <c r="U55" s="2"/>
      <c r="V55" s="7">
        <f t="shared" si="33"/>
        <v>0.15222897584035389</v>
      </c>
      <c r="W55" s="2"/>
      <c r="X55" s="6">
        <f t="shared" si="34"/>
        <v>-2003.7799999999988</v>
      </c>
      <c r="Y55" s="2"/>
      <c r="Z55" s="7">
        <f t="shared" si="35"/>
        <v>-1.6130712400486157E-2</v>
      </c>
    </row>
    <row r="56" spans="1:26" s="24" customFormat="1" hidden="1" outlineLevel="2" x14ac:dyDescent="0.25">
      <c r="A56" s="26"/>
      <c r="B56" s="11" t="str">
        <f>CONCATENATE("          ", "6004", " - ", "STAFF HOURLY")</f>
        <v xml:space="preserve">          6004 - STAFF HOURLY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491.67</v>
      </c>
      <c r="Q56" s="2"/>
      <c r="R56" s="7">
        <f t="shared" si="32"/>
        <v>9.6714648609541294E-4</v>
      </c>
      <c r="S56" s="2"/>
      <c r="T56" s="6">
        <v>142.5</v>
      </c>
      <c r="U56" s="2"/>
      <c r="V56" s="7">
        <f t="shared" si="33"/>
        <v>1.7462873196305781E-4</v>
      </c>
      <c r="W56" s="2"/>
      <c r="X56" s="6">
        <f t="shared" si="34"/>
        <v>349.17</v>
      </c>
      <c r="Y56" s="2"/>
      <c r="Z56" s="7">
        <f t="shared" si="35"/>
        <v>2.4503157894736844</v>
      </c>
    </row>
    <row r="57" spans="1:26" s="24" customFormat="1" hidden="1" outlineLevel="2" x14ac:dyDescent="0.25">
      <c r="A57" s="26"/>
      <c r="B57" s="11" t="str">
        <f>CONCATENATE("          ", "6005", " - ", "TEMPORARY WAGES-HOURLY")</f>
        <v xml:space="preserve">          6005 - TEMPORARY WAGES-HOURLY</v>
      </c>
      <c r="C57" s="11"/>
      <c r="D57" s="6"/>
      <c r="E57" s="2"/>
      <c r="F57" s="7">
        <f t="shared" si="28"/>
        <v>0</v>
      </c>
      <c r="G57" s="2"/>
      <c r="H57" s="6">
        <v>2346.5</v>
      </c>
      <c r="I57" s="2"/>
      <c r="J57" s="7">
        <f t="shared" si="29"/>
        <v>1.670093804966211E-2</v>
      </c>
      <c r="K57" s="2"/>
      <c r="L57" s="6">
        <f t="shared" si="30"/>
        <v>-2346.5</v>
      </c>
      <c r="M57" s="2"/>
      <c r="N57" s="7">
        <f t="shared" si="31"/>
        <v>-1</v>
      </c>
      <c r="O57" s="11"/>
      <c r="P57" s="6">
        <v>18251.969999999998</v>
      </c>
      <c r="Q57" s="2"/>
      <c r="R57" s="7">
        <f t="shared" si="32"/>
        <v>3.590279791286613E-2</v>
      </c>
      <c r="S57" s="2"/>
      <c r="T57" s="6">
        <v>19052.849999999999</v>
      </c>
      <c r="U57" s="2"/>
      <c r="V57" s="7">
        <f t="shared" si="33"/>
        <v>2.334859674233225E-2</v>
      </c>
      <c r="W57" s="2"/>
      <c r="X57" s="6">
        <f t="shared" si="34"/>
        <v>-800.88000000000102</v>
      </c>
      <c r="Y57" s="2"/>
      <c r="Z57" s="7">
        <f t="shared" si="35"/>
        <v>-4.2034656232532198E-2</v>
      </c>
    </row>
    <row r="58" spans="1:26" s="24" customFormat="1" hidden="1" outlineLevel="2" x14ac:dyDescent="0.25">
      <c r="A58" s="26"/>
      <c r="B58" s="11" t="str">
        <f>CONCATENATE("          ", "6006", " - ", "TEMPORARY PART TIME")</f>
        <v xml:space="preserve">          6006 - TEMPORARY PART TIME</v>
      </c>
      <c r="C58" s="11"/>
      <c r="D58" s="6"/>
      <c r="E58" s="2"/>
      <c r="F58" s="7">
        <f t="shared" si="28"/>
        <v>0</v>
      </c>
      <c r="G58" s="2"/>
      <c r="H58" s="6">
        <v>1376.81</v>
      </c>
      <c r="I58" s="2"/>
      <c r="J58" s="7">
        <f t="shared" si="29"/>
        <v>9.799283407694561E-3</v>
      </c>
      <c r="K58" s="2"/>
      <c r="L58" s="6">
        <f t="shared" si="30"/>
        <v>-1376.81</v>
      </c>
      <c r="M58" s="2"/>
      <c r="N58" s="7">
        <f t="shared" si="31"/>
        <v>-1</v>
      </c>
      <c r="O58" s="11"/>
      <c r="P58" s="6">
        <v>2571.56</v>
      </c>
      <c r="Q58" s="2"/>
      <c r="R58" s="7">
        <f t="shared" si="32"/>
        <v>5.0584237756696971E-3</v>
      </c>
      <c r="S58" s="2"/>
      <c r="T58" s="6">
        <v>10409.209999999999</v>
      </c>
      <c r="U58" s="2"/>
      <c r="V58" s="7">
        <f t="shared" si="33"/>
        <v>1.2756120302015304E-2</v>
      </c>
      <c r="W58" s="2"/>
      <c r="X58" s="6">
        <f t="shared" si="34"/>
        <v>-7837.65</v>
      </c>
      <c r="Y58" s="2"/>
      <c r="Z58" s="7">
        <f t="shared" si="35"/>
        <v>-0.75295339415767382</v>
      </c>
    </row>
    <row r="59" spans="1:26" s="24" customFormat="1" hidden="1" outlineLevel="2" x14ac:dyDescent="0.25">
      <c r="A59" s="26"/>
      <c r="B59" s="11" t="str">
        <f>CONCATENATE("          ", "6007", " - ", "STUDENT HOURLY")</f>
        <v xml:space="preserve">          6007 - STUDENT HOURLY</v>
      </c>
      <c r="C59" s="11"/>
      <c r="D59" s="6"/>
      <c r="E59" s="2"/>
      <c r="F59" s="7">
        <f t="shared" si="28"/>
        <v>0</v>
      </c>
      <c r="G59" s="2"/>
      <c r="H59" s="6">
        <v>19485.54</v>
      </c>
      <c r="I59" s="2"/>
      <c r="J59" s="7">
        <f t="shared" si="29"/>
        <v>0.13868604151042532</v>
      </c>
      <c r="K59" s="2"/>
      <c r="L59" s="6">
        <f t="shared" si="30"/>
        <v>-19485.54</v>
      </c>
      <c r="M59" s="2"/>
      <c r="N59" s="7">
        <f t="shared" si="31"/>
        <v>-1</v>
      </c>
      <c r="O59" s="11"/>
      <c r="P59" s="6">
        <v>35345.96</v>
      </c>
      <c r="Q59" s="2"/>
      <c r="R59" s="7">
        <f t="shared" si="32"/>
        <v>6.9527774750684446E-2</v>
      </c>
      <c r="S59" s="2"/>
      <c r="T59" s="6">
        <v>54266.57</v>
      </c>
      <c r="U59" s="2"/>
      <c r="V59" s="7">
        <f t="shared" si="33"/>
        <v>6.6501770576031682E-2</v>
      </c>
      <c r="W59" s="2"/>
      <c r="X59" s="6">
        <f t="shared" si="34"/>
        <v>-18920.61</v>
      </c>
      <c r="Y59" s="2"/>
      <c r="Z59" s="7">
        <f t="shared" si="35"/>
        <v>-0.34866051051319441</v>
      </c>
    </row>
    <row r="60" spans="1:26" s="24" customFormat="1" hidden="1" outlineLevel="2" x14ac:dyDescent="0.25">
      <c r="A60" s="26"/>
      <c r="B60" s="11" t="str">
        <f>CONCATENATE("          ", "6008", " - ", "STUDENT HOURLY-FICA EXEMPT")</f>
        <v xml:space="preserve">          6008 - STUDENT HOURLY-FICA EXEMPT</v>
      </c>
      <c r="C60" s="11"/>
      <c r="D60" s="6"/>
      <c r="E60" s="2"/>
      <c r="F60" s="7">
        <f t="shared" si="28"/>
        <v>0</v>
      </c>
      <c r="G60" s="2"/>
      <c r="H60" s="6">
        <v>1083</v>
      </c>
      <c r="I60" s="2"/>
      <c r="J60" s="7">
        <f t="shared" si="29"/>
        <v>7.7081252536902048E-3</v>
      </c>
      <c r="K60" s="2"/>
      <c r="L60" s="6">
        <f t="shared" si="30"/>
        <v>-1083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1719</v>
      </c>
      <c r="U60" s="2"/>
      <c r="V60" s="7">
        <f t="shared" si="33"/>
        <v>2.106573966628045E-3</v>
      </c>
      <c r="W60" s="2"/>
      <c r="X60" s="6">
        <f t="shared" si="34"/>
        <v>-1719</v>
      </c>
      <c r="Y60" s="2"/>
      <c r="Z60" s="7">
        <f t="shared" si="35"/>
        <v>-1</v>
      </c>
    </row>
    <row r="61" spans="1:26" s="27" customFormat="1" outlineLevel="1" collapsed="1" x14ac:dyDescent="0.25">
      <c r="A61" s="25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0</v>
      </c>
      <c r="E61" s="1"/>
      <c r="F61" s="5">
        <f t="shared" ref="F61:F71" si="36">IF(D$12=0,0,D61/D$12)</f>
        <v>0</v>
      </c>
      <c r="G61" s="1"/>
      <c r="H61" s="1">
        <f>SUM(OSRRefH22_2x_0)</f>
        <v>996.58</v>
      </c>
      <c r="I61" s="1"/>
      <c r="J61" s="5">
        <f t="shared" ref="J61:J71" si="37">IF(H$12=0,0,H61/H$12)</f>
        <v>7.093041057546246E-3</v>
      </c>
      <c r="K61" s="1"/>
      <c r="L61" s="1">
        <f t="shared" ref="L61:L71" si="38">+D61-H61</f>
        <v>-996.58</v>
      </c>
      <c r="M61" s="1"/>
      <c r="N61" s="5">
        <f t="shared" ref="N61:N71" si="39">IF(H61=0,0,L61/H61)</f>
        <v>-1</v>
      </c>
      <c r="O61" s="13"/>
      <c r="P61" s="1">
        <f>SUM(OSRRefP22_2x_0)</f>
        <v>1915.77</v>
      </c>
      <c r="Q61" s="1"/>
      <c r="R61" s="5">
        <f t="shared" ref="R61:R71" si="40">IF(P$12=0,0,P61/P$12)</f>
        <v>3.7684427027620338E-3</v>
      </c>
      <c r="S61" s="1"/>
      <c r="T61" s="1">
        <f>SUM(OSRRefT22_2x_0)</f>
        <v>5632.34</v>
      </c>
      <c r="U61" s="1"/>
      <c r="V61" s="5">
        <f t="shared" ref="V61:V71" si="41">IF(T$12=0,0,T61/T$12)</f>
        <v>6.9022343311214672E-3</v>
      </c>
      <c r="W61" s="1"/>
      <c r="X61" s="1">
        <f t="shared" ref="X61:X71" si="42">+P61-T61</f>
        <v>-3716.57</v>
      </c>
      <c r="Y61" s="1"/>
      <c r="Z61" s="5">
        <f t="shared" ref="Z61:Z71" si="43">IF(T61=0,0,X61/T61)</f>
        <v>-0.65986250830028015</v>
      </c>
    </row>
    <row r="62" spans="1:26" s="24" customFormat="1" hidden="1" outlineLevel="2" x14ac:dyDescent="0.25">
      <c r="A62" s="26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36"/>
        <v>0</v>
      </c>
      <c r="G62" s="2"/>
      <c r="H62" s="6">
        <v>996.58</v>
      </c>
      <c r="I62" s="2"/>
      <c r="J62" s="7">
        <f t="shared" si="37"/>
        <v>7.093041057546246E-3</v>
      </c>
      <c r="K62" s="2"/>
      <c r="L62" s="6">
        <f t="shared" si="38"/>
        <v>-996.58</v>
      </c>
      <c r="M62" s="2"/>
      <c r="N62" s="7">
        <f t="shared" si="39"/>
        <v>-1</v>
      </c>
      <c r="O62" s="11"/>
      <c r="P62" s="6">
        <v>1915.77</v>
      </c>
      <c r="Q62" s="2"/>
      <c r="R62" s="7">
        <f t="shared" si="40"/>
        <v>3.7684427027620338E-3</v>
      </c>
      <c r="S62" s="2"/>
      <c r="T62" s="6">
        <v>5632.34</v>
      </c>
      <c r="U62" s="2"/>
      <c r="V62" s="7">
        <f t="shared" si="41"/>
        <v>6.9022343311214672E-3</v>
      </c>
      <c r="W62" s="2"/>
      <c r="X62" s="6">
        <f t="shared" si="42"/>
        <v>-3716.57</v>
      </c>
      <c r="Y62" s="2"/>
      <c r="Z62" s="7">
        <f t="shared" si="43"/>
        <v>-0.65986250830028015</v>
      </c>
    </row>
    <row r="63" spans="1:26" s="27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169.88</v>
      </c>
      <c r="E63" s="1"/>
      <c r="F63" s="5">
        <f t="shared" si="36"/>
        <v>1.0272131672909879E-2</v>
      </c>
      <c r="G63" s="1"/>
      <c r="H63" s="1">
        <f>SUM(OSRRefH22_3x_0)</f>
        <v>0</v>
      </c>
      <c r="I63" s="1"/>
      <c r="J63" s="5">
        <f t="shared" si="37"/>
        <v>0</v>
      </c>
      <c r="K63" s="1"/>
      <c r="L63" s="1">
        <f t="shared" si="38"/>
        <v>169.88</v>
      </c>
      <c r="M63" s="1"/>
      <c r="N63" s="5">
        <f t="shared" si="39"/>
        <v>0</v>
      </c>
      <c r="O63" s="13"/>
      <c r="P63" s="1">
        <f>SUM(OSRRefP22_3x_0)</f>
        <v>1019.28</v>
      </c>
      <c r="Q63" s="1"/>
      <c r="R63" s="5">
        <f t="shared" si="40"/>
        <v>2.0049892617961893E-3</v>
      </c>
      <c r="S63" s="1"/>
      <c r="T63" s="1">
        <f>SUM(OSRRefT22_3x_0)</f>
        <v>0</v>
      </c>
      <c r="U63" s="1"/>
      <c r="V63" s="5">
        <f t="shared" si="41"/>
        <v>0</v>
      </c>
      <c r="W63" s="1"/>
      <c r="X63" s="1">
        <f t="shared" si="42"/>
        <v>1019.28</v>
      </c>
      <c r="Y63" s="1"/>
      <c r="Z63" s="5">
        <f t="shared" si="43"/>
        <v>0</v>
      </c>
    </row>
    <row r="64" spans="1:26" s="24" customFormat="1" hidden="1" outlineLevel="2" x14ac:dyDescent="0.25">
      <c r="A64" s="26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169.88</v>
      </c>
      <c r="E64" s="2"/>
      <c r="F64" s="7">
        <f t="shared" si="36"/>
        <v>1.0272131672909879E-2</v>
      </c>
      <c r="G64" s="2"/>
      <c r="H64" s="6"/>
      <c r="I64" s="2"/>
      <c r="J64" s="7">
        <f t="shared" si="37"/>
        <v>0</v>
      </c>
      <c r="K64" s="2"/>
      <c r="L64" s="6">
        <f t="shared" si="38"/>
        <v>169.88</v>
      </c>
      <c r="M64" s="2"/>
      <c r="N64" s="7">
        <f t="shared" si="39"/>
        <v>0</v>
      </c>
      <c r="O64" s="11"/>
      <c r="P64" s="6">
        <v>1019.28</v>
      </c>
      <c r="Q64" s="2"/>
      <c r="R64" s="7">
        <f t="shared" si="40"/>
        <v>2.0049892617961893E-3</v>
      </c>
      <c r="S64" s="2"/>
      <c r="T64" s="6"/>
      <c r="U64" s="2"/>
      <c r="V64" s="7">
        <f t="shared" si="41"/>
        <v>0</v>
      </c>
      <c r="W64" s="2"/>
      <c r="X64" s="6">
        <f t="shared" si="42"/>
        <v>1019.28</v>
      </c>
      <c r="Y64" s="2"/>
      <c r="Z64" s="7">
        <f t="shared" si="43"/>
        <v>0</v>
      </c>
    </row>
    <row r="65" spans="1:26" s="27" customFormat="1" outlineLevel="1" collapsed="1" x14ac:dyDescent="0.25">
      <c r="A65" s="25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0</v>
      </c>
      <c r="E65" s="1"/>
      <c r="F65" s="5">
        <f t="shared" si="36"/>
        <v>0</v>
      </c>
      <c r="G65" s="1"/>
      <c r="H65" s="1">
        <f>SUM(OSRRefH22_4x_0)</f>
        <v>2082.92</v>
      </c>
      <c r="I65" s="1"/>
      <c r="J65" s="5">
        <f t="shared" si="37"/>
        <v>1.4824938368805541E-2</v>
      </c>
      <c r="K65" s="1"/>
      <c r="L65" s="1">
        <f t="shared" si="38"/>
        <v>-2082.92</v>
      </c>
      <c r="M65" s="1"/>
      <c r="N65" s="5">
        <f t="shared" si="39"/>
        <v>-1</v>
      </c>
      <c r="O65" s="13"/>
      <c r="P65" s="1">
        <f>SUM(OSRRefP22_4x_0)</f>
        <v>1281.19</v>
      </c>
      <c r="Q65" s="1"/>
      <c r="R65" s="5">
        <f t="shared" si="40"/>
        <v>2.5201830628685542E-3</v>
      </c>
      <c r="S65" s="1"/>
      <c r="T65" s="1">
        <f>SUM(OSRRefT22_4x_0)</f>
        <v>8648.1299999999992</v>
      </c>
      <c r="U65" s="1"/>
      <c r="V65" s="5">
        <f t="shared" si="41"/>
        <v>1.0597978777204765E-2</v>
      </c>
      <c r="W65" s="1"/>
      <c r="X65" s="1">
        <f t="shared" si="42"/>
        <v>-7366.9399999999987</v>
      </c>
      <c r="Y65" s="1"/>
      <c r="Z65" s="5">
        <f t="shared" si="43"/>
        <v>-0.85185352209090281</v>
      </c>
    </row>
    <row r="66" spans="1:26" s="24" customFormat="1" hidden="1" outlineLevel="2" x14ac:dyDescent="0.25">
      <c r="A66" s="26"/>
      <c r="B66" s="11" t="str">
        <f>CONCATENATE("          ", "6382", " - ", "DISCOUNTS/MARK DOWNS")</f>
        <v xml:space="preserve">          6382 - DISCOUNTS/MARK DOWNS</v>
      </c>
      <c r="C66" s="11"/>
      <c r="D66" s="6"/>
      <c r="E66" s="2"/>
      <c r="F66" s="7">
        <f t="shared" si="36"/>
        <v>0</v>
      </c>
      <c r="G66" s="2"/>
      <c r="H66" s="6">
        <v>2082.92</v>
      </c>
      <c r="I66" s="2"/>
      <c r="J66" s="7">
        <f t="shared" si="37"/>
        <v>1.4824938368805541E-2</v>
      </c>
      <c r="K66" s="2"/>
      <c r="L66" s="6">
        <f t="shared" si="38"/>
        <v>-2082.92</v>
      </c>
      <c r="M66" s="2"/>
      <c r="N66" s="7">
        <f t="shared" si="39"/>
        <v>-1</v>
      </c>
      <c r="O66" s="11"/>
      <c r="P66" s="6">
        <v>1281.19</v>
      </c>
      <c r="Q66" s="2"/>
      <c r="R66" s="7">
        <f t="shared" si="40"/>
        <v>2.5201830628685542E-3</v>
      </c>
      <c r="S66" s="2"/>
      <c r="T66" s="6">
        <v>8648.1299999999992</v>
      </c>
      <c r="U66" s="2"/>
      <c r="V66" s="7">
        <f t="shared" si="41"/>
        <v>1.0597978777204765E-2</v>
      </c>
      <c r="W66" s="2"/>
      <c r="X66" s="6">
        <f t="shared" si="42"/>
        <v>-7366.9399999999987</v>
      </c>
      <c r="Y66" s="2"/>
      <c r="Z66" s="7">
        <f t="shared" si="43"/>
        <v>-0.85185352209090281</v>
      </c>
    </row>
    <row r="67" spans="1:26" s="27" customFormat="1" outlineLevel="1" collapsed="1" x14ac:dyDescent="0.25">
      <c r="A67" s="25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SUM(OSRRefD22_5x_0)</f>
        <v>1205.6400000000001</v>
      </c>
      <c r="E67" s="1"/>
      <c r="F67" s="5">
        <f t="shared" si="36"/>
        <v>7.2901417648499348E-2</v>
      </c>
      <c r="G67" s="1"/>
      <c r="H67" s="1">
        <f>SUM(OSRRefH22_5x_0)</f>
        <v>3171.9</v>
      </c>
      <c r="I67" s="1"/>
      <c r="J67" s="5">
        <f t="shared" si="37"/>
        <v>2.2575625569879926E-2</v>
      </c>
      <c r="K67" s="1"/>
      <c r="L67" s="1">
        <f t="shared" si="38"/>
        <v>-1966.26</v>
      </c>
      <c r="M67" s="1"/>
      <c r="N67" s="5">
        <f t="shared" si="39"/>
        <v>-0.61989974463255459</v>
      </c>
      <c r="O67" s="13"/>
      <c r="P67" s="1">
        <f>SUM(OSRRefP22_5x_0)</f>
        <v>16081.710000000001</v>
      </c>
      <c r="Q67" s="1"/>
      <c r="R67" s="5">
        <f t="shared" si="40"/>
        <v>3.1633757025861783E-2</v>
      </c>
      <c r="S67" s="1"/>
      <c r="T67" s="1">
        <f>SUM(OSRRefT22_5x_0)</f>
        <v>35383.21</v>
      </c>
      <c r="U67" s="1"/>
      <c r="V67" s="5">
        <f t="shared" si="41"/>
        <v>4.3360877860228679E-2</v>
      </c>
      <c r="W67" s="1"/>
      <c r="X67" s="1">
        <f t="shared" si="42"/>
        <v>-19301.5</v>
      </c>
      <c r="Y67" s="1"/>
      <c r="Z67" s="5">
        <f t="shared" si="43"/>
        <v>-0.54549883970391611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6">
        <v>1205.6400000000001</v>
      </c>
      <c r="E68" s="2"/>
      <c r="F68" s="7">
        <f t="shared" si="36"/>
        <v>7.2901417648499348E-2</v>
      </c>
      <c r="G68" s="2"/>
      <c r="H68" s="6">
        <v>3171.9</v>
      </c>
      <c r="I68" s="2"/>
      <c r="J68" s="7">
        <f t="shared" si="37"/>
        <v>2.2575625569879926E-2</v>
      </c>
      <c r="K68" s="2"/>
      <c r="L68" s="6">
        <f t="shared" si="38"/>
        <v>-1966.26</v>
      </c>
      <c r="M68" s="2"/>
      <c r="N68" s="7">
        <f t="shared" si="39"/>
        <v>-0.61989974463255459</v>
      </c>
      <c r="O68" s="11"/>
      <c r="P68" s="6">
        <v>16081.710000000001</v>
      </c>
      <c r="Q68" s="2"/>
      <c r="R68" s="7">
        <f t="shared" si="40"/>
        <v>3.1633757025861783E-2</v>
      </c>
      <c r="S68" s="2"/>
      <c r="T68" s="6">
        <v>35383.21</v>
      </c>
      <c r="U68" s="2"/>
      <c r="V68" s="7">
        <f t="shared" si="41"/>
        <v>4.3360877860228679E-2</v>
      </c>
      <c r="W68" s="2"/>
      <c r="X68" s="6">
        <f t="shared" si="42"/>
        <v>-19301.5</v>
      </c>
      <c r="Y68" s="2"/>
      <c r="Z68" s="7">
        <f t="shared" si="43"/>
        <v>-0.54549883970391611</v>
      </c>
    </row>
    <row r="69" spans="1:26" s="27" customFormat="1" outlineLevel="1" collapsed="1" x14ac:dyDescent="0.25">
      <c r="A69" s="25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SUM(OSRRefD22_6x_0)</f>
        <v>4988.5300000000007</v>
      </c>
      <c r="E69" s="1"/>
      <c r="F69" s="5">
        <f t="shared" si="36"/>
        <v>0.30164137634954752</v>
      </c>
      <c r="G69" s="1"/>
      <c r="H69" s="1">
        <f>SUM(OSRRefH22_6x_0)</f>
        <v>1192.5300000000002</v>
      </c>
      <c r="I69" s="1"/>
      <c r="J69" s="5">
        <f t="shared" si="37"/>
        <v>8.4876921595412567E-3</v>
      </c>
      <c r="K69" s="1"/>
      <c r="L69" s="1">
        <f t="shared" si="38"/>
        <v>3796.0000000000005</v>
      </c>
      <c r="M69" s="1"/>
      <c r="N69" s="5">
        <f t="shared" si="39"/>
        <v>3.1831484323245536</v>
      </c>
      <c r="O69" s="13"/>
      <c r="P69" s="1">
        <f>SUM(OSRRefP22_6x_0)</f>
        <v>-12260.989999999998</v>
      </c>
      <c r="Q69" s="1"/>
      <c r="R69" s="5">
        <f t="shared" si="40"/>
        <v>-2.4118155255661307E-2</v>
      </c>
      <c r="S69" s="1"/>
      <c r="T69" s="1">
        <f>SUM(OSRRefT22_6x_0)</f>
        <v>-31506.219999999994</v>
      </c>
      <c r="U69" s="1"/>
      <c r="V69" s="5">
        <f t="shared" si="41"/>
        <v>-3.8609763140695655E-2</v>
      </c>
      <c r="W69" s="1"/>
      <c r="X69" s="1">
        <f t="shared" si="42"/>
        <v>19245.229999999996</v>
      </c>
      <c r="Y69" s="1"/>
      <c r="Z69" s="5">
        <f t="shared" si="43"/>
        <v>-0.61083906606378036</v>
      </c>
    </row>
    <row r="70" spans="1:26" s="24" customFormat="1" hidden="1" outlineLevel="2" x14ac:dyDescent="0.25">
      <c r="A70" s="26"/>
      <c r="B70" s="11" t="str">
        <f>CONCATENATE("          ", "6305", " - ", "FREIGHT OUT")</f>
        <v xml:space="preserve">          6305 - FREIGHT OUT</v>
      </c>
      <c r="C70" s="11"/>
      <c r="D70" s="6">
        <v>6492.31</v>
      </c>
      <c r="E70" s="2"/>
      <c r="F70" s="7">
        <f t="shared" si="36"/>
        <v>0.39257042136419562</v>
      </c>
      <c r="G70" s="2"/>
      <c r="H70" s="6">
        <v>3517.59</v>
      </c>
      <c r="I70" s="2"/>
      <c r="J70" s="7">
        <f t="shared" si="37"/>
        <v>2.5036033528280821E-2</v>
      </c>
      <c r="K70" s="2"/>
      <c r="L70" s="6">
        <f t="shared" si="38"/>
        <v>2974.7200000000003</v>
      </c>
      <c r="M70" s="2"/>
      <c r="N70" s="7">
        <f t="shared" si="39"/>
        <v>0.84566990467905589</v>
      </c>
      <c r="O70" s="11"/>
      <c r="P70" s="6">
        <v>45919.03</v>
      </c>
      <c r="Q70" s="2"/>
      <c r="R70" s="7">
        <f t="shared" si="40"/>
        <v>9.0325682895864803E-2</v>
      </c>
      <c r="S70" s="2"/>
      <c r="T70" s="6">
        <v>42632.060000000005</v>
      </c>
      <c r="U70" s="2"/>
      <c r="V70" s="7">
        <f t="shared" si="41"/>
        <v>5.2244088272091226E-2</v>
      </c>
      <c r="W70" s="2"/>
      <c r="X70" s="6">
        <f t="shared" si="42"/>
        <v>3286.9699999999939</v>
      </c>
      <c r="Y70" s="2"/>
      <c r="Z70" s="7">
        <f t="shared" si="43"/>
        <v>7.7100895429402044E-2</v>
      </c>
    </row>
    <row r="71" spans="1:26" s="24" customFormat="1" hidden="1" outlineLevel="2" x14ac:dyDescent="0.25">
      <c r="A71" s="26"/>
      <c r="B71" s="11" t="str">
        <f>CONCATENATE("          ", "6307", " - ", "POSTAGE")</f>
        <v xml:space="preserve">          6307 - POSTAGE</v>
      </c>
      <c r="C71" s="11"/>
      <c r="D71" s="6">
        <v>-1503.78</v>
      </c>
      <c r="E71" s="2"/>
      <c r="F71" s="7">
        <f t="shared" si="36"/>
        <v>-9.0929045014648102E-2</v>
      </c>
      <c r="G71" s="2"/>
      <c r="H71" s="6">
        <v>-2325.06</v>
      </c>
      <c r="I71" s="2"/>
      <c r="J71" s="7">
        <f t="shared" si="37"/>
        <v>-1.6548341368739564E-2</v>
      </c>
      <c r="K71" s="2"/>
      <c r="L71" s="6">
        <f t="shared" si="38"/>
        <v>821.28</v>
      </c>
      <c r="M71" s="2"/>
      <c r="N71" s="7">
        <f t="shared" si="39"/>
        <v>-0.3532295940749916</v>
      </c>
      <c r="O71" s="11"/>
      <c r="P71" s="6">
        <v>-58180.02</v>
      </c>
      <c r="Q71" s="2"/>
      <c r="R71" s="7">
        <f t="shared" si="40"/>
        <v>-0.1144438381515261</v>
      </c>
      <c r="S71" s="2"/>
      <c r="T71" s="6">
        <v>-74138.28</v>
      </c>
      <c r="U71" s="2"/>
      <c r="V71" s="7">
        <f t="shared" si="41"/>
        <v>-9.0853851412786873E-2</v>
      </c>
      <c r="W71" s="2"/>
      <c r="X71" s="6">
        <f t="shared" si="42"/>
        <v>15958.260000000002</v>
      </c>
      <c r="Y71" s="2"/>
      <c r="Z71" s="7">
        <f t="shared" si="43"/>
        <v>-0.215249935660768</v>
      </c>
    </row>
    <row r="72" spans="1:26" s="27" customFormat="1" outlineLevel="1" collapsed="1" x14ac:dyDescent="0.25">
      <c r="A72" s="25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SUM(OSRRefD22_7x_0)</f>
        <v>0</v>
      </c>
      <c r="E72" s="1"/>
      <c r="F72" s="5">
        <f t="shared" ref="F72:F78" si="44">IF(D$12=0,0,D72/D$12)</f>
        <v>0</v>
      </c>
      <c r="G72" s="1"/>
      <c r="H72" s="1">
        <f>SUM(OSRRefH22_7x_0)</f>
        <v>0</v>
      </c>
      <c r="I72" s="1"/>
      <c r="J72" s="5">
        <f t="shared" ref="J72:J78" si="45">IF(H$12=0,0,H72/H$12)</f>
        <v>0</v>
      </c>
      <c r="K72" s="1"/>
      <c r="L72" s="1">
        <f t="shared" ref="L72:L78" si="46">+D72-H72</f>
        <v>0</v>
      </c>
      <c r="M72" s="1"/>
      <c r="N72" s="5">
        <f t="shared" ref="N72:N78" si="47">IF(H72=0,0,L72/H72)</f>
        <v>0</v>
      </c>
      <c r="O72" s="13"/>
      <c r="P72" s="1">
        <f>SUM(OSRRefP22_7x_0)</f>
        <v>155.16999999999999</v>
      </c>
      <c r="Q72" s="1"/>
      <c r="R72" s="5">
        <f t="shared" ref="R72:R78" si="48">IF(P$12=0,0,P72/P$12)</f>
        <v>3.052293616601078E-4</v>
      </c>
      <c r="S72" s="1"/>
      <c r="T72" s="1">
        <f>SUM(OSRRefT22_7x_0)</f>
        <v>291.33</v>
      </c>
      <c r="U72" s="1"/>
      <c r="V72" s="5">
        <f t="shared" ref="V72:V78" si="49">IF(T$12=0,0,T72/T$12)</f>
        <v>3.570146560196325E-4</v>
      </c>
      <c r="W72" s="1"/>
      <c r="X72" s="1">
        <f t="shared" ref="X72:X78" si="50">+P72-T72</f>
        <v>-136.16</v>
      </c>
      <c r="Y72" s="1"/>
      <c r="Z72" s="5">
        <f t="shared" ref="Z72:Z78" si="51">IF(T72=0,0,X72/T72)</f>
        <v>-0.46737376857858787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155.16999999999999</v>
      </c>
      <c r="Q73" s="2"/>
      <c r="R73" s="7">
        <f t="shared" si="48"/>
        <v>3.052293616601078E-4</v>
      </c>
      <c r="S73" s="2"/>
      <c r="T73" s="6">
        <v>291.33</v>
      </c>
      <c r="U73" s="2"/>
      <c r="V73" s="7">
        <f t="shared" si="49"/>
        <v>3.570146560196325E-4</v>
      </c>
      <c r="W73" s="2"/>
      <c r="X73" s="6">
        <f t="shared" si="50"/>
        <v>-136.16</v>
      </c>
      <c r="Y73" s="2"/>
      <c r="Z73" s="7">
        <f t="shared" si="51"/>
        <v>-0.46737376857858787</v>
      </c>
    </row>
    <row r="74" spans="1:26" s="27" customFormat="1" outlineLevel="1" collapsed="1" x14ac:dyDescent="0.25">
      <c r="A74" s="25"/>
      <c r="B74" s="13" t="str">
        <f>CONCATENATE("     ","Inventory Adjustment                              ")</f>
        <v xml:space="preserve">     Inventory Adjustment                              </v>
      </c>
      <c r="C74" s="13"/>
      <c r="D74" s="1">
        <f>SUM(OSRRefD22_8x_0)</f>
        <v>100</v>
      </c>
      <c r="E74" s="1"/>
      <c r="F74" s="5">
        <f t="shared" si="44"/>
        <v>6.0466986537025431E-3</v>
      </c>
      <c r="G74" s="1"/>
      <c r="H74" s="1">
        <f>SUM(OSRRefH22_8x_0)</f>
        <v>100</v>
      </c>
      <c r="I74" s="1"/>
      <c r="J74" s="5">
        <f t="shared" si="45"/>
        <v>7.1173825057157939E-4</v>
      </c>
      <c r="K74" s="1"/>
      <c r="L74" s="1">
        <f t="shared" si="46"/>
        <v>0</v>
      </c>
      <c r="M74" s="1"/>
      <c r="N74" s="5">
        <f t="shared" si="47"/>
        <v>0</v>
      </c>
      <c r="O74" s="13"/>
      <c r="P74" s="1">
        <f>SUM(OSRRefP22_8x_0)</f>
        <v>1000</v>
      </c>
      <c r="Q74" s="1"/>
      <c r="R74" s="5">
        <f t="shared" si="48"/>
        <v>1.9670642628092276E-3</v>
      </c>
      <c r="S74" s="1"/>
      <c r="T74" s="1">
        <f>SUM(OSRRefT22_8x_0)</f>
        <v>1100</v>
      </c>
      <c r="U74" s="1"/>
      <c r="V74" s="5">
        <f t="shared" si="49"/>
        <v>1.3480112642762357E-3</v>
      </c>
      <c r="W74" s="1"/>
      <c r="X74" s="1">
        <f t="shared" si="50"/>
        <v>-100</v>
      </c>
      <c r="Y74" s="1"/>
      <c r="Z74" s="5">
        <f t="shared" si="51"/>
        <v>-9.0909090909090912E-2</v>
      </c>
    </row>
    <row r="75" spans="1:26" s="24" customFormat="1" hidden="1" outlineLevel="2" x14ac:dyDescent="0.25">
      <c r="A75" s="26"/>
      <c r="B75" s="11" t="str">
        <f>CONCATENATE("          ", "6408", " - ", "INVENTORY ADJUSTMENT")</f>
        <v xml:space="preserve">          6408 - INVENTORY ADJUSTMENT</v>
      </c>
      <c r="C75" s="11"/>
      <c r="D75" s="6">
        <v>100</v>
      </c>
      <c r="E75" s="2"/>
      <c r="F75" s="7">
        <f t="shared" si="44"/>
        <v>6.0466986537025431E-3</v>
      </c>
      <c r="G75" s="2"/>
      <c r="H75" s="6">
        <v>100</v>
      </c>
      <c r="I75" s="2"/>
      <c r="J75" s="7">
        <f t="shared" si="45"/>
        <v>7.1173825057157939E-4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1000</v>
      </c>
      <c r="Q75" s="2"/>
      <c r="R75" s="7">
        <f t="shared" si="48"/>
        <v>1.9670642628092276E-3</v>
      </c>
      <c r="S75" s="2"/>
      <c r="T75" s="6">
        <v>1100</v>
      </c>
      <c r="U75" s="2"/>
      <c r="V75" s="7">
        <f t="shared" si="49"/>
        <v>1.3480112642762357E-3</v>
      </c>
      <c r="W75" s="2"/>
      <c r="X75" s="6">
        <f t="shared" si="50"/>
        <v>-100</v>
      </c>
      <c r="Y75" s="2"/>
      <c r="Z75" s="7">
        <f t="shared" si="51"/>
        <v>-9.0909090909090912E-2</v>
      </c>
    </row>
    <row r="76" spans="1:26" s="27" customFormat="1" outlineLevel="1" collapsed="1" x14ac:dyDescent="0.25">
      <c r="A76" s="25"/>
      <c r="B76" s="13" t="str">
        <f>CONCATENATE("     ","Repair and Maintenance                            ")</f>
        <v xml:space="preserve">     Repair and Maintenance                            </v>
      </c>
      <c r="C76" s="13"/>
      <c r="D76" s="1">
        <f>SUM(OSRRefD22_9x_0)</f>
        <v>353.37</v>
      </c>
      <c r="E76" s="1"/>
      <c r="F76" s="5">
        <f t="shared" si="44"/>
        <v>2.1367219032588678E-2</v>
      </c>
      <c r="G76" s="1"/>
      <c r="H76" s="1">
        <f>SUM(OSRRefH22_9x_0)</f>
        <v>5241.05</v>
      </c>
      <c r="I76" s="1"/>
      <c r="J76" s="5">
        <f t="shared" si="45"/>
        <v>3.7302557581581762E-2</v>
      </c>
      <c r="K76" s="1"/>
      <c r="L76" s="1">
        <f t="shared" si="46"/>
        <v>-4887.68</v>
      </c>
      <c r="M76" s="1"/>
      <c r="N76" s="5">
        <f t="shared" si="47"/>
        <v>-0.9325764875358945</v>
      </c>
      <c r="O76" s="13"/>
      <c r="P76" s="1">
        <f>SUM(OSRRefP22_9x_0)</f>
        <v>66267.679999999993</v>
      </c>
      <c r="Q76" s="1"/>
      <c r="R76" s="5">
        <f t="shared" si="48"/>
        <v>0.13035278510727777</v>
      </c>
      <c r="S76" s="1"/>
      <c r="T76" s="1">
        <f>SUM(OSRRefT22_9x_0)</f>
        <v>70455.839999999997</v>
      </c>
      <c r="U76" s="1"/>
      <c r="V76" s="5">
        <f t="shared" si="49"/>
        <v>8.6341150867312894E-2</v>
      </c>
      <c r="W76" s="1"/>
      <c r="X76" s="1">
        <f t="shared" si="50"/>
        <v>-4188.1600000000035</v>
      </c>
      <c r="Y76" s="1"/>
      <c r="Z76" s="5">
        <f t="shared" si="51"/>
        <v>-5.9443759381763155E-2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6">
        <v>353.37</v>
      </c>
      <c r="E77" s="2"/>
      <c r="F77" s="7">
        <f t="shared" si="44"/>
        <v>2.1367219032588678E-2</v>
      </c>
      <c r="G77" s="2"/>
      <c r="H77" s="6">
        <v>4500.3900000000003</v>
      </c>
      <c r="I77" s="2"/>
      <c r="J77" s="7">
        <f t="shared" si="45"/>
        <v>3.20309970548983E-2</v>
      </c>
      <c r="K77" s="2"/>
      <c r="L77" s="6">
        <f t="shared" si="46"/>
        <v>-4147.0200000000004</v>
      </c>
      <c r="M77" s="2"/>
      <c r="N77" s="7">
        <f t="shared" si="47"/>
        <v>-0.92148013838800635</v>
      </c>
      <c r="O77" s="11"/>
      <c r="P77" s="6">
        <v>64865.919999999998</v>
      </c>
      <c r="Q77" s="2"/>
      <c r="R77" s="7">
        <f t="shared" si="48"/>
        <v>0.12759543310624233</v>
      </c>
      <c r="S77" s="2"/>
      <c r="T77" s="6">
        <v>69566.64</v>
      </c>
      <c r="U77" s="2"/>
      <c r="V77" s="7">
        <f t="shared" si="49"/>
        <v>8.5251467579863419E-2</v>
      </c>
      <c r="W77" s="2"/>
      <c r="X77" s="6">
        <f t="shared" si="50"/>
        <v>-4700.7200000000012</v>
      </c>
      <c r="Y77" s="2"/>
      <c r="Z77" s="7">
        <f t="shared" si="51"/>
        <v>-6.7571468163476076E-2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6"/>
      <c r="E78" s="2"/>
      <c r="F78" s="7">
        <f t="shared" si="44"/>
        <v>0</v>
      </c>
      <c r="G78" s="2"/>
      <c r="H78" s="6">
        <v>740.66</v>
      </c>
      <c r="I78" s="2"/>
      <c r="J78" s="7">
        <f t="shared" si="45"/>
        <v>5.2715605266834597E-3</v>
      </c>
      <c r="K78" s="2"/>
      <c r="L78" s="6">
        <f t="shared" si="46"/>
        <v>-740.66</v>
      </c>
      <c r="M78" s="2"/>
      <c r="N78" s="7">
        <f t="shared" si="47"/>
        <v>-1</v>
      </c>
      <c r="O78" s="11"/>
      <c r="P78" s="6">
        <v>1401.76</v>
      </c>
      <c r="Q78" s="2"/>
      <c r="R78" s="7">
        <f t="shared" si="48"/>
        <v>2.7573520010354628E-3</v>
      </c>
      <c r="S78" s="2"/>
      <c r="T78" s="6">
        <v>889.2</v>
      </c>
      <c r="U78" s="2"/>
      <c r="V78" s="7">
        <f t="shared" si="49"/>
        <v>1.0896832874494808E-3</v>
      </c>
      <c r="W78" s="2"/>
      <c r="X78" s="6">
        <f t="shared" si="50"/>
        <v>512.55999999999995</v>
      </c>
      <c r="Y78" s="2"/>
      <c r="Z78" s="7">
        <f t="shared" si="51"/>
        <v>0.57642825011246057</v>
      </c>
    </row>
    <row r="79" spans="1:26" s="27" customFormat="1" outlineLevel="1" collapsed="1" x14ac:dyDescent="0.25">
      <c r="A79" s="25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SUM(OSRRefD22_10x_0)</f>
        <v>0</v>
      </c>
      <c r="E79" s="1"/>
      <c r="F79" s="5">
        <f t="shared" ref="F79:F86" si="52">IF(D$12=0,0,D79/D$12)</f>
        <v>0</v>
      </c>
      <c r="G79" s="1"/>
      <c r="H79" s="1">
        <f>SUM(OSRRefH22_10x_0)</f>
        <v>7411.82</v>
      </c>
      <c r="I79" s="1"/>
      <c r="J79" s="5">
        <f t="shared" ref="J79:J86" si="53">IF(H$12=0,0,H79/H$12)</f>
        <v>5.2752758003514429E-2</v>
      </c>
      <c r="K79" s="1"/>
      <c r="L79" s="1">
        <f t="shared" ref="L79:L86" si="54">+D79-H79</f>
        <v>-7411.82</v>
      </c>
      <c r="M79" s="1"/>
      <c r="N79" s="5">
        <f t="shared" ref="N79:N86" si="55">IF(H79=0,0,L79/H79)</f>
        <v>-1</v>
      </c>
      <c r="O79" s="13"/>
      <c r="P79" s="1">
        <f>SUM(OSRRefP22_10x_0)</f>
        <v>82607.740000000005</v>
      </c>
      <c r="Q79" s="1"/>
      <c r="R79" s="5">
        <f t="shared" ref="R79:R86" si="56">IF(P$12=0,0,P79/P$12)</f>
        <v>0.16249473318543634</v>
      </c>
      <c r="S79" s="1"/>
      <c r="T79" s="1">
        <f>SUM(OSRRefT22_10x_0)</f>
        <v>110250.73</v>
      </c>
      <c r="U79" s="1"/>
      <c r="V79" s="5">
        <f t="shared" ref="V79:V86" si="57">IF(T$12=0,0,T79/T$12)</f>
        <v>0.13510838721334356</v>
      </c>
      <c r="W79" s="1"/>
      <c r="X79" s="1">
        <f t="shared" ref="X79:X86" si="58">+P79-T79</f>
        <v>-27642.989999999991</v>
      </c>
      <c r="Y79" s="1"/>
      <c r="Z79" s="5">
        <f t="shared" ref="Z79:Z86" si="59">IF(T79=0,0,X79/T79)</f>
        <v>-0.25072840787539447</v>
      </c>
    </row>
    <row r="80" spans="1:26" s="24" customFormat="1" hidden="1" outlineLevel="2" x14ac:dyDescent="0.25">
      <c r="A80" s="26"/>
      <c r="B80" s="11" t="str">
        <f>CONCATENATE("          ", "6259", " - ", "ROYALTY &amp; COMMISSIONS")</f>
        <v xml:space="preserve">          6259 - ROYALTY &amp; COMMISSIONS</v>
      </c>
      <c r="C80" s="11"/>
      <c r="D80" s="6"/>
      <c r="E80" s="2"/>
      <c r="F80" s="7">
        <f t="shared" si="52"/>
        <v>0</v>
      </c>
      <c r="G80" s="2"/>
      <c r="H80" s="6">
        <v>7411.82</v>
      </c>
      <c r="I80" s="2"/>
      <c r="J80" s="7">
        <f t="shared" si="53"/>
        <v>5.2752758003514429E-2</v>
      </c>
      <c r="K80" s="2"/>
      <c r="L80" s="6">
        <f t="shared" si="54"/>
        <v>-7411.82</v>
      </c>
      <c r="M80" s="2"/>
      <c r="N80" s="7">
        <f t="shared" si="55"/>
        <v>-1</v>
      </c>
      <c r="O80" s="11"/>
      <c r="P80" s="6">
        <v>82607.740000000005</v>
      </c>
      <c r="Q80" s="2"/>
      <c r="R80" s="7">
        <f t="shared" si="56"/>
        <v>0.16249473318543634</v>
      </c>
      <c r="S80" s="2"/>
      <c r="T80" s="6">
        <v>110250.73</v>
      </c>
      <c r="U80" s="2"/>
      <c r="V80" s="7">
        <f t="shared" si="57"/>
        <v>0.13510838721334356</v>
      </c>
      <c r="W80" s="2"/>
      <c r="X80" s="6">
        <f t="shared" si="58"/>
        <v>-27642.989999999991</v>
      </c>
      <c r="Y80" s="2"/>
      <c r="Z80" s="7">
        <f t="shared" si="59"/>
        <v>-0.25072840787539447</v>
      </c>
    </row>
    <row r="81" spans="1:26" s="27" customFormat="1" outlineLevel="1" collapsed="1" x14ac:dyDescent="0.25">
      <c r="A81" s="25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SUM(OSRRefD22_11x_0)</f>
        <v>396.32</v>
      </c>
      <c r="E81" s="1"/>
      <c r="F81" s="5">
        <f t="shared" si="52"/>
        <v>2.3964276104353918E-2</v>
      </c>
      <c r="G81" s="1"/>
      <c r="H81" s="1">
        <f>SUM(OSRRefH22_11x_0)</f>
        <v>6606.02</v>
      </c>
      <c r="I81" s="1"/>
      <c r="J81" s="5">
        <f t="shared" si="53"/>
        <v>4.7017571180408647E-2</v>
      </c>
      <c r="K81" s="1"/>
      <c r="L81" s="1">
        <f t="shared" si="54"/>
        <v>-6209.7000000000007</v>
      </c>
      <c r="M81" s="1"/>
      <c r="N81" s="5">
        <f t="shared" si="55"/>
        <v>-0.9400062367355837</v>
      </c>
      <c r="O81" s="13"/>
      <c r="P81" s="1">
        <f>SUM(OSRRefP22_11x_0)</f>
        <v>48993.490000000005</v>
      </c>
      <c r="Q81" s="1"/>
      <c r="R81" s="5">
        <f t="shared" si="56"/>
        <v>9.6373343289301264E-2</v>
      </c>
      <c r="S81" s="1"/>
      <c r="T81" s="1">
        <f>SUM(OSRRefT22_11x_0)</f>
        <v>63311.549999999996</v>
      </c>
      <c r="U81" s="1"/>
      <c r="V81" s="5">
        <f t="shared" si="57"/>
        <v>7.758607505344374E-2</v>
      </c>
      <c r="W81" s="1"/>
      <c r="X81" s="1">
        <f t="shared" si="58"/>
        <v>-14318.05999999999</v>
      </c>
      <c r="Y81" s="1"/>
      <c r="Z81" s="5">
        <f t="shared" si="59"/>
        <v>-0.22615241610732942</v>
      </c>
    </row>
    <row r="82" spans="1:26" s="24" customFormat="1" hidden="1" outlineLevel="2" x14ac:dyDescent="0.25">
      <c r="A82" s="26"/>
      <c r="B82" s="11" t="str">
        <f>CONCATENATE("          ", "6234", " - ", "EXPENDABLE SUPPLIES &amp; EQUIPMEN")</f>
        <v xml:space="preserve">          6234 - EXPENDABLE SUPPLIES &amp; EQUIPMEN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1017.27</v>
      </c>
      <c r="Q82" s="2"/>
      <c r="R82" s="7">
        <f t="shared" si="56"/>
        <v>2.0010354626279429E-3</v>
      </c>
      <c r="S82" s="2"/>
      <c r="T82" s="6">
        <v>856.68</v>
      </c>
      <c r="U82" s="2"/>
      <c r="V82" s="7">
        <f t="shared" si="57"/>
        <v>1.0498311726183324E-3</v>
      </c>
      <c r="W82" s="2"/>
      <c r="X82" s="6">
        <f t="shared" si="58"/>
        <v>160.59000000000003</v>
      </c>
      <c r="Y82" s="2"/>
      <c r="Z82" s="7">
        <f t="shared" si="59"/>
        <v>0.18745622636223566</v>
      </c>
    </row>
    <row r="83" spans="1:26" s="24" customFormat="1" hidden="1" outlineLevel="2" x14ac:dyDescent="0.25">
      <c r="A83" s="26"/>
      <c r="B83" s="11" t="str">
        <f>CONCATENATE("          ", "6241", " - ", "OFFICE EXPENSE")</f>
        <v xml:space="preserve">          6241 - OFFICE EXPENSE</v>
      </c>
      <c r="C83" s="11"/>
      <c r="D83" s="6"/>
      <c r="E83" s="2"/>
      <c r="F83" s="7">
        <f t="shared" si="52"/>
        <v>0</v>
      </c>
      <c r="G83" s="2"/>
      <c r="H83" s="6">
        <v>19.87</v>
      </c>
      <c r="I83" s="2"/>
      <c r="J83" s="7">
        <f t="shared" si="53"/>
        <v>1.4142239038857283E-4</v>
      </c>
      <c r="K83" s="2"/>
      <c r="L83" s="6">
        <f t="shared" si="54"/>
        <v>-19.87</v>
      </c>
      <c r="M83" s="2"/>
      <c r="N83" s="7">
        <f t="shared" si="55"/>
        <v>-1</v>
      </c>
      <c r="O83" s="11"/>
      <c r="P83" s="6">
        <v>1713.32</v>
      </c>
      <c r="Q83" s="2"/>
      <c r="R83" s="7">
        <f t="shared" si="56"/>
        <v>3.3702105427563054E-3</v>
      </c>
      <c r="S83" s="2"/>
      <c r="T83" s="6">
        <v>78.02</v>
      </c>
      <c r="U83" s="2"/>
      <c r="V83" s="7">
        <f t="shared" si="57"/>
        <v>9.5610762580756287E-5</v>
      </c>
      <c r="W83" s="2"/>
      <c r="X83" s="6">
        <f t="shared" si="58"/>
        <v>1635.3</v>
      </c>
      <c r="Y83" s="2"/>
      <c r="Z83" s="7">
        <f t="shared" si="59"/>
        <v>20.960010253781082</v>
      </c>
    </row>
    <row r="84" spans="1:26" s="24" customFormat="1" hidden="1" outlineLevel="2" x14ac:dyDescent="0.25">
      <c r="A84" s="26"/>
      <c r="B84" s="11" t="str">
        <f>CONCATENATE("          ", "6243", " - ", "PAPER SUPPLIES")</f>
        <v xml:space="preserve">          6243 - PAPER SUPPLIES</v>
      </c>
      <c r="C84" s="11"/>
      <c r="D84" s="6">
        <v>50.85</v>
      </c>
      <c r="E84" s="2"/>
      <c r="F84" s="7">
        <f t="shared" si="52"/>
        <v>3.0747462654077433E-3</v>
      </c>
      <c r="G84" s="2"/>
      <c r="H84" s="6">
        <v>3035.13</v>
      </c>
      <c r="I84" s="2"/>
      <c r="J84" s="7">
        <f t="shared" si="53"/>
        <v>2.1602181164573176E-2</v>
      </c>
      <c r="K84" s="2"/>
      <c r="L84" s="6">
        <f t="shared" si="54"/>
        <v>-2984.28</v>
      </c>
      <c r="M84" s="2"/>
      <c r="N84" s="7">
        <f t="shared" si="55"/>
        <v>-0.98324618714849121</v>
      </c>
      <c r="O84" s="11"/>
      <c r="P84" s="6">
        <v>17939.21</v>
      </c>
      <c r="Q84" s="2"/>
      <c r="R84" s="7">
        <f t="shared" si="56"/>
        <v>3.528757889402992E-2</v>
      </c>
      <c r="S84" s="2"/>
      <c r="T84" s="6">
        <v>34120.870000000003</v>
      </c>
      <c r="U84" s="2"/>
      <c r="V84" s="7">
        <f t="shared" si="57"/>
        <v>4.1813924642640991E-2</v>
      </c>
      <c r="W84" s="2"/>
      <c r="X84" s="6">
        <f t="shared" si="58"/>
        <v>-16181.660000000003</v>
      </c>
      <c r="Y84" s="2"/>
      <c r="Z84" s="7">
        <f t="shared" si="59"/>
        <v>-0.47424523466136714</v>
      </c>
    </row>
    <row r="85" spans="1:26" s="24" customFormat="1" hidden="1" outlineLevel="2" x14ac:dyDescent="0.25">
      <c r="A85" s="26"/>
      <c r="B85" s="11" t="str">
        <f>CONCATENATE("          ", "6245", " - ", "PRINTING")</f>
        <v xml:space="preserve">          6245 - PRINTING</v>
      </c>
      <c r="C85" s="11"/>
      <c r="D85" s="6">
        <v>66.150000000000006</v>
      </c>
      <c r="E85" s="2"/>
      <c r="F85" s="7">
        <f t="shared" si="52"/>
        <v>3.9998911594242327E-3</v>
      </c>
      <c r="G85" s="2"/>
      <c r="H85" s="6">
        <v>2620.69</v>
      </c>
      <c r="I85" s="2"/>
      <c r="J85" s="7">
        <f t="shared" si="53"/>
        <v>1.8652453158904323E-2</v>
      </c>
      <c r="K85" s="2"/>
      <c r="L85" s="6">
        <f t="shared" si="54"/>
        <v>-2554.54</v>
      </c>
      <c r="M85" s="2"/>
      <c r="N85" s="7">
        <f t="shared" si="55"/>
        <v>-0.97475855595282157</v>
      </c>
      <c r="O85" s="11"/>
      <c r="P85" s="6">
        <v>5894.17</v>
      </c>
      <c r="Q85" s="2"/>
      <c r="R85" s="7">
        <f t="shared" si="56"/>
        <v>1.1594211165922264E-2</v>
      </c>
      <c r="S85" s="2"/>
      <c r="T85" s="6">
        <v>11247.49</v>
      </c>
      <c r="U85" s="2"/>
      <c r="V85" s="7">
        <f t="shared" si="57"/>
        <v>1.3783402922576654E-2</v>
      </c>
      <c r="W85" s="2"/>
      <c r="X85" s="6">
        <f t="shared" si="58"/>
        <v>-5353.32</v>
      </c>
      <c r="Y85" s="2"/>
      <c r="Z85" s="7">
        <f t="shared" si="59"/>
        <v>-0.47595685793008036</v>
      </c>
    </row>
    <row r="86" spans="1:26" s="24" customFormat="1" hidden="1" outlineLevel="2" x14ac:dyDescent="0.25">
      <c r="A86" s="26"/>
      <c r="B86" s="11" t="str">
        <f>CONCATENATE("          ", "6247", " - ", "STORE SUPPLIES")</f>
        <v xml:space="preserve">          6247 - STORE SUPPLIES</v>
      </c>
      <c r="C86" s="11"/>
      <c r="D86" s="6">
        <v>279.32</v>
      </c>
      <c r="E86" s="2"/>
      <c r="F86" s="7">
        <f t="shared" si="52"/>
        <v>1.6889638679521944E-2</v>
      </c>
      <c r="G86" s="2"/>
      <c r="H86" s="6">
        <v>930.33</v>
      </c>
      <c r="I86" s="2"/>
      <c r="J86" s="7">
        <f t="shared" si="53"/>
        <v>6.6215144665425748E-3</v>
      </c>
      <c r="K86" s="2"/>
      <c r="L86" s="6">
        <f t="shared" si="54"/>
        <v>-651.01</v>
      </c>
      <c r="M86" s="2"/>
      <c r="N86" s="7">
        <f t="shared" si="55"/>
        <v>-0.69976244988337466</v>
      </c>
      <c r="O86" s="11"/>
      <c r="P86" s="6">
        <v>22429.52</v>
      </c>
      <c r="Q86" s="2"/>
      <c r="R86" s="7">
        <f t="shared" si="56"/>
        <v>4.4120307223964823E-2</v>
      </c>
      <c r="S86" s="2"/>
      <c r="T86" s="6">
        <v>17008.489999999998</v>
      </c>
      <c r="U86" s="2"/>
      <c r="V86" s="7">
        <f t="shared" si="57"/>
        <v>2.0843305553027009E-2</v>
      </c>
      <c r="W86" s="2"/>
      <c r="X86" s="6">
        <f t="shared" si="58"/>
        <v>5421.0300000000025</v>
      </c>
      <c r="Y86" s="2"/>
      <c r="Z86" s="7">
        <f t="shared" si="59"/>
        <v>0.31872494266098889</v>
      </c>
    </row>
    <row r="87" spans="1:26" s="27" customFormat="1" outlineLevel="1" collapsed="1" x14ac:dyDescent="0.25">
      <c r="A87" s="25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SUM(OSRRefD22_12x_0)</f>
        <v>187.6</v>
      </c>
      <c r="E87" s="1"/>
      <c r="F87" s="5">
        <f t="shared" ref="F87:F90" si="60">IF(D$12=0,0,D87/D$12)</f>
        <v>1.1343606674345971E-2</v>
      </c>
      <c r="G87" s="1"/>
      <c r="H87" s="1">
        <f>SUM(OSRRefH22_12x_0)</f>
        <v>252.6</v>
      </c>
      <c r="I87" s="1"/>
      <c r="J87" s="5">
        <f t="shared" ref="J87:J90" si="61">IF(H$12=0,0,H87/H$12)</f>
        <v>1.7978508209438094E-3</v>
      </c>
      <c r="K87" s="1"/>
      <c r="L87" s="1">
        <f t="shared" ref="L87:L90" si="62">+D87-H87</f>
        <v>-65</v>
      </c>
      <c r="M87" s="1"/>
      <c r="N87" s="5">
        <f t="shared" ref="N87:N90" si="63">IF(H87=0,0,L87/H87)</f>
        <v>-0.25732383214568488</v>
      </c>
      <c r="O87" s="13"/>
      <c r="P87" s="1">
        <f>SUM(OSRRefP22_12x_0)</f>
        <v>2213.6</v>
      </c>
      <c r="Q87" s="1"/>
      <c r="R87" s="5">
        <f t="shared" ref="R87:R90" si="64">IF(P$12=0,0,P87/P$12)</f>
        <v>4.3542934521545061E-3</v>
      </c>
      <c r="S87" s="1"/>
      <c r="T87" s="1">
        <f>SUM(OSRRefT22_12x_0)</f>
        <v>3464.88</v>
      </c>
      <c r="U87" s="1"/>
      <c r="V87" s="5">
        <f t="shared" ref="V87:V90" si="65">IF(T$12=0,0,T87/T$12)</f>
        <v>4.2460884266958578E-3</v>
      </c>
      <c r="W87" s="1"/>
      <c r="X87" s="1">
        <f t="shared" ref="X87:X90" si="66">+P87-T87</f>
        <v>-1251.2800000000002</v>
      </c>
      <c r="Y87" s="1"/>
      <c r="Z87" s="5">
        <f t="shared" ref="Z87:Z90" si="67">IF(T87=0,0,X87/T87)</f>
        <v>-0.3611322758652537</v>
      </c>
    </row>
    <row r="88" spans="1:26" s="24" customFormat="1" hidden="1" outlineLevel="2" x14ac:dyDescent="0.25">
      <c r="A88" s="26"/>
      <c r="B88" s="11" t="str">
        <f>CONCATENATE("          ", "6309", " - ", "TELEPHONE")</f>
        <v xml:space="preserve">          6309 - TELEPHONE</v>
      </c>
      <c r="C88" s="11"/>
      <c r="D88" s="6">
        <v>187.6</v>
      </c>
      <c r="E88" s="2"/>
      <c r="F88" s="7">
        <f t="shared" si="60"/>
        <v>1.1343606674345971E-2</v>
      </c>
      <c r="G88" s="2"/>
      <c r="H88" s="6">
        <v>252.6</v>
      </c>
      <c r="I88" s="2"/>
      <c r="J88" s="7">
        <f t="shared" si="61"/>
        <v>1.7978508209438094E-3</v>
      </c>
      <c r="K88" s="2"/>
      <c r="L88" s="6">
        <f t="shared" si="62"/>
        <v>-65</v>
      </c>
      <c r="M88" s="2"/>
      <c r="N88" s="7">
        <f t="shared" si="63"/>
        <v>-0.25732383214568488</v>
      </c>
      <c r="O88" s="11"/>
      <c r="P88" s="6">
        <v>2213.6</v>
      </c>
      <c r="Q88" s="2"/>
      <c r="R88" s="7">
        <f t="shared" si="64"/>
        <v>4.3542934521545061E-3</v>
      </c>
      <c r="S88" s="2"/>
      <c r="T88" s="6">
        <v>3464.88</v>
      </c>
      <c r="U88" s="2"/>
      <c r="V88" s="7">
        <f t="shared" si="65"/>
        <v>4.2460884266958578E-3</v>
      </c>
      <c r="W88" s="2"/>
      <c r="X88" s="6">
        <f t="shared" si="66"/>
        <v>-1251.2800000000002</v>
      </c>
      <c r="Y88" s="2"/>
      <c r="Z88" s="7">
        <f t="shared" si="67"/>
        <v>-0.3611322758652537</v>
      </c>
    </row>
    <row r="89" spans="1:26" s="27" customFormat="1" outlineLevel="1" collapsed="1" x14ac:dyDescent="0.25">
      <c r="A89" s="25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SUM(OSRRefD22_13x_0)</f>
        <v>0</v>
      </c>
      <c r="E89" s="1"/>
      <c r="F89" s="5">
        <f t="shared" si="60"/>
        <v>0</v>
      </c>
      <c r="G89" s="1"/>
      <c r="H89" s="1">
        <f>SUM(OSRRefH22_13x_0)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SUM(OSRRefP22_13x_0)</f>
        <v>97.71</v>
      </c>
      <c r="Q89" s="1"/>
      <c r="R89" s="5">
        <f t="shared" si="64"/>
        <v>1.922018491190896E-4</v>
      </c>
      <c r="S89" s="1"/>
      <c r="T89" s="1">
        <f>SUM(OSRRefT22_13x_0)</f>
        <v>0</v>
      </c>
      <c r="U89" s="1"/>
      <c r="V89" s="5">
        <f t="shared" si="65"/>
        <v>0</v>
      </c>
      <c r="W89" s="1"/>
      <c r="X89" s="1">
        <f t="shared" si="66"/>
        <v>97.71</v>
      </c>
      <c r="Y89" s="1"/>
      <c r="Z89" s="5">
        <f t="shared" si="67"/>
        <v>0</v>
      </c>
    </row>
    <row r="90" spans="1:26" s="24" customFormat="1" hidden="1" outlineLevel="2" x14ac:dyDescent="0.25">
      <c r="A90" s="26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>
        <v>97.71</v>
      </c>
      <c r="Q90" s="2"/>
      <c r="R90" s="7">
        <f t="shared" si="64"/>
        <v>1.922018491190896E-4</v>
      </c>
      <c r="S90" s="2"/>
      <c r="T90" s="6"/>
      <c r="U90" s="2"/>
      <c r="V90" s="7">
        <f t="shared" si="65"/>
        <v>0</v>
      </c>
      <c r="W90" s="2"/>
      <c r="X90" s="6">
        <f t="shared" si="66"/>
        <v>97.71</v>
      </c>
      <c r="Y90" s="2"/>
      <c r="Z90" s="7">
        <f t="shared" si="67"/>
        <v>0</v>
      </c>
    </row>
    <row r="91" spans="1:26" s="58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8" t="s">
        <v>0</v>
      </c>
      <c r="C92" s="10"/>
      <c r="D92" s="4">
        <f>SUM(OSRRefD25x_0)</f>
        <v>67980.639999999999</v>
      </c>
      <c r="E92" s="4"/>
      <c r="F92" s="12">
        <f t="shared" ref="F92:F98" si="68">IF(D$12=0,0,D92/D$12)</f>
        <v>4.1105844436583725</v>
      </c>
      <c r="G92" s="4"/>
      <c r="H92" s="4">
        <f>SUM(OSRRefH25x_0)</f>
        <v>83527.02</v>
      </c>
      <c r="I92" s="4"/>
      <c r="J92" s="12">
        <f t="shared" ref="J92:J98" si="69">IF(H$12=0,0,H92/H$12)</f>
        <v>0.59449375090257328</v>
      </c>
      <c r="K92" s="4"/>
      <c r="L92" s="4">
        <f t="shared" ref="L92:L98" si="70">+D92-H92</f>
        <v>-15546.380000000005</v>
      </c>
      <c r="M92" s="4"/>
      <c r="N92" s="12">
        <f t="shared" ref="N92:N98" si="71">IF(H92=0,0,L92/H92)</f>
        <v>-0.18612396323967986</v>
      </c>
      <c r="O92" s="10"/>
      <c r="P92" s="4">
        <f>SUM(OSRRefP25x_0)</f>
        <v>657981.55000000005</v>
      </c>
      <c r="Q92" s="4"/>
      <c r="R92" s="12">
        <f t="shared" ref="R92:R98" si="72">IF(P$12=0,0,P92/P$12)</f>
        <v>1.2942919925928229</v>
      </c>
      <c r="S92" s="4"/>
      <c r="T92" s="4">
        <f>SUM(OSRRefT25x_0)</f>
        <v>711927.24</v>
      </c>
      <c r="U92" s="4"/>
      <c r="V92" s="12">
        <f t="shared" ref="V92:V98" si="73">IF(T$12=0,0,T92/T$12)</f>
        <v>0.87244176260462825</v>
      </c>
      <c r="W92" s="4"/>
      <c r="X92" s="4">
        <f t="shared" ref="X92:X98" si="74">+P92-T92</f>
        <v>-53945.689999999944</v>
      </c>
      <c r="Y92" s="4"/>
      <c r="Z92" s="12">
        <f t="shared" ref="Z92:Z98" si="75">IF(T92=0,0,X92/T92)</f>
        <v>-7.5774161977563814E-2</v>
      </c>
    </row>
    <row r="93" spans="1:26" s="24" customFormat="1" hidden="1" outlineLevel="1" x14ac:dyDescent="0.25">
      <c r="A93" s="44"/>
      <c r="B93" s="11" t="str">
        <f>CONCATENATE("          ", "4098", " - ", "TAXABLE SALES-GRAD RENTALS")</f>
        <v xml:space="preserve">          4098 - TAXABLE SALES-GRAD RENTALS</v>
      </c>
      <c r="C93" s="11"/>
      <c r="D93" s="2">
        <f>-152</f>
        <v>-152</v>
      </c>
      <c r="E93" s="2"/>
      <c r="F93" s="19">
        <f t="shared" si="68"/>
        <v>-9.190981953627865E-3</v>
      </c>
      <c r="G93" s="2"/>
      <c r="H93" s="2">
        <f>--70358.28</f>
        <v>70358.28</v>
      </c>
      <c r="I93" s="2"/>
      <c r="J93" s="19">
        <f t="shared" si="69"/>
        <v>0.50076679120425338</v>
      </c>
      <c r="K93" s="2"/>
      <c r="L93" s="2">
        <f t="shared" si="70"/>
        <v>-70510.28</v>
      </c>
      <c r="M93" s="2"/>
      <c r="N93" s="19">
        <f t="shared" si="71"/>
        <v>-1.0021603711745086</v>
      </c>
      <c r="O93" s="11"/>
      <c r="P93" s="2">
        <f>--1946.85</f>
        <v>1946.85</v>
      </c>
      <c r="Q93" s="2"/>
      <c r="R93" s="19">
        <f t="shared" si="72"/>
        <v>3.8295790600501442E-3</v>
      </c>
      <c r="S93" s="2"/>
      <c r="T93" s="2">
        <f>--77432.28</f>
        <v>77432.28</v>
      </c>
      <c r="U93" s="2"/>
      <c r="V93" s="19">
        <f t="shared" si="73"/>
        <v>9.4890532416901346E-2</v>
      </c>
      <c r="W93" s="2"/>
      <c r="X93" s="2">
        <f t="shared" si="74"/>
        <v>-75485.429999999993</v>
      </c>
      <c r="Y93" s="2"/>
      <c r="Z93" s="19">
        <f t="shared" si="75"/>
        <v>-0.97485738505956421</v>
      </c>
    </row>
    <row r="94" spans="1:26" s="24" customFormat="1" hidden="1" outlineLevel="1" x14ac:dyDescent="0.25">
      <c r="A94" s="44"/>
      <c r="B94" s="11" t="str">
        <f>CONCATENATE("          ", "4197", " - ", "NON-TAXABLE SALES-RETURNED CHE")</f>
        <v xml:space="preserve">          4197 - NON-TAXABLE SALES-RETURNED CHE</v>
      </c>
      <c r="C94" s="11"/>
      <c r="D94" s="2">
        <f>0</f>
        <v>0</v>
      </c>
      <c r="E94" s="2"/>
      <c r="F94" s="19">
        <f t="shared" si="68"/>
        <v>0</v>
      </c>
      <c r="G94" s="2"/>
      <c r="H94" s="2">
        <f>0</f>
        <v>0</v>
      </c>
      <c r="I94" s="2"/>
      <c r="J94" s="19">
        <f t="shared" si="69"/>
        <v>0</v>
      </c>
      <c r="K94" s="2"/>
      <c r="L94" s="2">
        <f t="shared" si="70"/>
        <v>0</v>
      </c>
      <c r="M94" s="2"/>
      <c r="N94" s="19">
        <f t="shared" si="71"/>
        <v>0</v>
      </c>
      <c r="O94" s="11"/>
      <c r="P94" s="2">
        <f>--30</f>
        <v>30</v>
      </c>
      <c r="Q94" s="2"/>
      <c r="R94" s="19">
        <f t="shared" si="72"/>
        <v>5.9011927884276827E-5</v>
      </c>
      <c r="S94" s="2"/>
      <c r="T94" s="2">
        <f>--335</f>
        <v>335</v>
      </c>
      <c r="U94" s="2"/>
      <c r="V94" s="19">
        <f t="shared" si="73"/>
        <v>4.1053070321139909E-4</v>
      </c>
      <c r="W94" s="2"/>
      <c r="X94" s="2">
        <f t="shared" si="74"/>
        <v>-305</v>
      </c>
      <c r="Y94" s="2"/>
      <c r="Z94" s="19">
        <f t="shared" si="75"/>
        <v>-0.91044776119402981</v>
      </c>
    </row>
    <row r="95" spans="1:26" s="24" customFormat="1" hidden="1" outlineLevel="1" x14ac:dyDescent="0.25">
      <c r="A95" s="44"/>
      <c r="B95" s="11" t="str">
        <f>CONCATENATE("          ", "4198", " - ", "NON-TAXABLE SALES-GRAD RENTALS")</f>
        <v xml:space="preserve">          4198 - NON-TAXABLE SALES-GRAD RENTALS</v>
      </c>
      <c r="C95" s="11"/>
      <c r="D95" s="2">
        <f>-3469.7</f>
        <v>-3469.7</v>
      </c>
      <c r="E95" s="2"/>
      <c r="F95" s="19">
        <f t="shared" si="68"/>
        <v>-0.20980230318751714</v>
      </c>
      <c r="G95" s="2"/>
      <c r="H95" s="2">
        <f>--1245</f>
        <v>1245</v>
      </c>
      <c r="I95" s="2"/>
      <c r="J95" s="19">
        <f t="shared" si="69"/>
        <v>8.8611412196161633E-3</v>
      </c>
      <c r="K95" s="2"/>
      <c r="L95" s="2">
        <f t="shared" si="70"/>
        <v>-4714.7</v>
      </c>
      <c r="M95" s="2"/>
      <c r="N95" s="19">
        <f t="shared" si="71"/>
        <v>-3.7869076305220881</v>
      </c>
      <c r="O95" s="11"/>
      <c r="P95" s="2">
        <f>--163.76</f>
        <v>163.76</v>
      </c>
      <c r="Q95" s="2"/>
      <c r="R95" s="19">
        <f t="shared" si="72"/>
        <v>3.2212644367763906E-4</v>
      </c>
      <c r="S95" s="2"/>
      <c r="T95" s="2">
        <f>--385810.85</f>
        <v>385810.85</v>
      </c>
      <c r="U95" s="2"/>
      <c r="V95" s="19">
        <f t="shared" si="73"/>
        <v>0.47279761061817194</v>
      </c>
      <c r="W95" s="2"/>
      <c r="X95" s="2">
        <f t="shared" si="74"/>
        <v>-385647.08999999997</v>
      </c>
      <c r="Y95" s="2"/>
      <c r="Z95" s="19">
        <f t="shared" si="75"/>
        <v>-0.99957554330055776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--13269</f>
        <v>13269</v>
      </c>
      <c r="E96" s="2"/>
      <c r="F96" s="19">
        <f t="shared" si="68"/>
        <v>0.80233644435979046</v>
      </c>
      <c r="G96" s="2"/>
      <c r="H96" s="2">
        <f>--12793.74</f>
        <v>12793.74</v>
      </c>
      <c r="I96" s="2"/>
      <c r="J96" s="19">
        <f t="shared" si="69"/>
        <v>9.1057941258676375E-2</v>
      </c>
      <c r="K96" s="2"/>
      <c r="L96" s="2">
        <f t="shared" si="70"/>
        <v>475.26000000000022</v>
      </c>
      <c r="M96" s="2"/>
      <c r="N96" s="19">
        <f t="shared" si="71"/>
        <v>3.7147855122896062E-2</v>
      </c>
      <c r="O96" s="11"/>
      <c r="P96" s="2">
        <f>--144632.1</f>
        <v>144632.1</v>
      </c>
      <c r="Q96" s="2"/>
      <c r="R96" s="19">
        <f t="shared" si="72"/>
        <v>0.28450063516505048</v>
      </c>
      <c r="S96" s="2"/>
      <c r="T96" s="2">
        <f>--140018.36</f>
        <v>140018.35999999999</v>
      </c>
      <c r="U96" s="2"/>
      <c r="V96" s="19">
        <f t="shared" si="73"/>
        <v>0.17158756953225918</v>
      </c>
      <c r="W96" s="2"/>
      <c r="X96" s="2">
        <f t="shared" si="74"/>
        <v>4613.7400000000198</v>
      </c>
      <c r="Y96" s="2"/>
      <c r="Z96" s="19">
        <f t="shared" si="75"/>
        <v>3.2950964430664809E-2</v>
      </c>
    </row>
    <row r="97" spans="1:26" s="24" customFormat="1" hidden="1" outlineLevel="1" x14ac:dyDescent="0.25">
      <c r="A97" s="44"/>
      <c r="B97" s="11" t="str">
        <f>CONCATENATE("          ", "9160", " - ", "MISC. INCOME")</f>
        <v xml:space="preserve">          9160 - MISC. INCOME</v>
      </c>
      <c r="C97" s="11"/>
      <c r="D97" s="2">
        <f>0</f>
        <v>0</v>
      </c>
      <c r="E97" s="2"/>
      <c r="F97" s="19">
        <f t="shared" si="68"/>
        <v>0</v>
      </c>
      <c r="G97" s="2"/>
      <c r="H97" s="2">
        <f>-870</f>
        <v>-870</v>
      </c>
      <c r="I97" s="2"/>
      <c r="J97" s="19">
        <f t="shared" si="69"/>
        <v>-6.1921227799727405E-3</v>
      </c>
      <c r="K97" s="2"/>
      <c r="L97" s="2">
        <f t="shared" si="70"/>
        <v>870</v>
      </c>
      <c r="M97" s="2"/>
      <c r="N97" s="19">
        <f t="shared" si="71"/>
        <v>-1</v>
      </c>
      <c r="O97" s="11"/>
      <c r="P97" s="2">
        <f>--22475</f>
        <v>22475</v>
      </c>
      <c r="Q97" s="2"/>
      <c r="R97" s="19">
        <f t="shared" si="72"/>
        <v>4.4209769306637385E-2</v>
      </c>
      <c r="S97" s="2"/>
      <c r="T97" s="2">
        <f>--40000</f>
        <v>40000</v>
      </c>
      <c r="U97" s="2"/>
      <c r="V97" s="19">
        <f t="shared" si="73"/>
        <v>4.9018591428226753E-2</v>
      </c>
      <c r="W97" s="2"/>
      <c r="X97" s="2">
        <f t="shared" si="74"/>
        <v>-17525</v>
      </c>
      <c r="Y97" s="2"/>
      <c r="Z97" s="19">
        <f t="shared" si="75"/>
        <v>-0.43812499999999999</v>
      </c>
    </row>
    <row r="98" spans="1:26" s="24" customFormat="1" hidden="1" outlineLevel="1" x14ac:dyDescent="0.25">
      <c r="A98" s="44"/>
      <c r="B98" s="11" t="str">
        <f>CONCATENATE("          ", "9163", " - ", "MISC. INCOME")</f>
        <v xml:space="preserve">          9163 - MISC. INCOME</v>
      </c>
      <c r="C98" s="11"/>
      <c r="D98" s="2">
        <f>--58333.34</f>
        <v>58333.34</v>
      </c>
      <c r="E98" s="2"/>
      <c r="F98" s="19">
        <f t="shared" si="68"/>
        <v>3.527241284439727</v>
      </c>
      <c r="G98" s="2"/>
      <c r="H98" s="2">
        <f>0</f>
        <v>0</v>
      </c>
      <c r="I98" s="2"/>
      <c r="J98" s="19">
        <f t="shared" si="69"/>
        <v>0</v>
      </c>
      <c r="K98" s="2"/>
      <c r="L98" s="2">
        <f t="shared" si="70"/>
        <v>58333.34</v>
      </c>
      <c r="M98" s="2"/>
      <c r="N98" s="19">
        <f t="shared" si="71"/>
        <v>0</v>
      </c>
      <c r="O98" s="11"/>
      <c r="P98" s="2">
        <f>--488733.84</f>
        <v>488733.84</v>
      </c>
      <c r="Q98" s="2"/>
      <c r="R98" s="19">
        <f t="shared" si="72"/>
        <v>0.96137087068952298</v>
      </c>
      <c r="S98" s="2"/>
      <c r="T98" s="2">
        <f>--68330.75</f>
        <v>68330.75</v>
      </c>
      <c r="U98" s="2"/>
      <c r="V98" s="19">
        <f t="shared" si="73"/>
        <v>8.3736927905857628E-2</v>
      </c>
      <c r="W98" s="2"/>
      <c r="X98" s="2">
        <f t="shared" si="74"/>
        <v>420403.09</v>
      </c>
      <c r="Y98" s="2"/>
      <c r="Z98" s="19">
        <f t="shared" si="75"/>
        <v>6.152472934952419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1">
        <f>+D42-D44+D92</f>
        <v>56335.08</v>
      </c>
      <c r="E100" s="14"/>
      <c r="F100" s="20">
        <f>IF(D$12=0,0,D100/D$12)</f>
        <v>3.4064125239222509</v>
      </c>
      <c r="G100" s="14"/>
      <c r="H100" s="21">
        <f>+H42-H44+H92</f>
        <v>97500.859999999957</v>
      </c>
      <c r="I100" s="14"/>
      <c r="J100" s="20">
        <f>IF(H$12=0,0,H100/H$12)</f>
        <v>0.69395091525624453</v>
      </c>
      <c r="K100" s="16"/>
      <c r="L100" s="21">
        <f>+D100-H100</f>
        <v>-41165.779999999955</v>
      </c>
      <c r="M100" s="16"/>
      <c r="N100" s="20">
        <f>IF(H100=0,0,L100/H100)</f>
        <v>-0.42220940410166613</v>
      </c>
      <c r="O100" s="28"/>
      <c r="P100" s="21">
        <f>+P42-P44+P92</f>
        <v>673633.58999999985</v>
      </c>
      <c r="Q100" s="14"/>
      <c r="R100" s="20">
        <f>IF(P$12=0,0,P100/P$12)</f>
        <v>1.325080561116883</v>
      </c>
      <c r="S100" s="14"/>
      <c r="T100" s="21">
        <f>+T42-T44+T92</f>
        <v>870635.72999999986</v>
      </c>
      <c r="U100" s="14"/>
      <c r="V100" s="20">
        <f>IF(T$12=0,0,T100/T$12)</f>
        <v>1.0669334282921483</v>
      </c>
      <c r="W100" s="16"/>
      <c r="X100" s="21">
        <f>+P100-T100</f>
        <v>-197002.14</v>
      </c>
      <c r="Y100" s="16"/>
      <c r="Z100" s="20">
        <f>IF(T100=0,0,X100/T100)</f>
        <v>-0.22627389758056454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4354.9399999999996</v>
      </c>
      <c r="E102" s="4"/>
      <c r="F102" s="12">
        <f>IF(D$12=0,0,D102/D$12)</f>
        <v>0.26333009834955351</v>
      </c>
      <c r="G102" s="4"/>
      <c r="H102" s="4">
        <v>14652.01</v>
      </c>
      <c r="I102" s="4"/>
      <c r="J102" s="12">
        <f>IF(H$12=0,0,H102/H$12)</f>
        <v>0.10428395964757287</v>
      </c>
      <c r="K102" s="4"/>
      <c r="L102" s="4">
        <f>+D102-H102</f>
        <v>-10297.07</v>
      </c>
      <c r="M102" s="4"/>
      <c r="N102" s="12">
        <f>IF(H102=0,0,L102/H102)</f>
        <v>-0.70277525063114199</v>
      </c>
      <c r="O102" s="10"/>
      <c r="P102" s="4">
        <v>60199.16</v>
      </c>
      <c r="Q102" s="4"/>
      <c r="R102" s="12">
        <f>IF(P$12=0,0,P102/P$12)</f>
        <v>0.11841561628713473</v>
      </c>
      <c r="S102" s="4"/>
      <c r="T102" s="4">
        <v>84877.650000000009</v>
      </c>
      <c r="U102" s="4"/>
      <c r="V102" s="12">
        <f>IF(T$12=0,0,T102/T$12)</f>
        <v>0.10401457116845078</v>
      </c>
      <c r="W102" s="4"/>
      <c r="X102" s="4">
        <f>+P102-T102</f>
        <v>-24678.490000000005</v>
      </c>
      <c r="Y102" s="4"/>
      <c r="Z102" s="12">
        <f>IF(T102=0,0,X102/T102)</f>
        <v>-0.29075369075369079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5">
        <f>+D100-D102</f>
        <v>51980.14</v>
      </c>
      <c r="E104" s="14"/>
      <c r="F104" s="32">
        <f>IF(D$12=0,0,D104/D$12)</f>
        <v>3.1430824255726972</v>
      </c>
      <c r="G104" s="14"/>
      <c r="H104" s="35">
        <f>+H100-H102</f>
        <v>82848.849999999962</v>
      </c>
      <c r="I104" s="14"/>
      <c r="J104" s="32">
        <f>IF(H$12=0,0,H104/H$12)</f>
        <v>0.58966695560867166</v>
      </c>
      <c r="K104" s="16"/>
      <c r="L104" s="35">
        <f>D104-H104</f>
        <v>-30868.709999999963</v>
      </c>
      <c r="M104" s="16"/>
      <c r="N104" s="32">
        <f>IF(H104=0,0,L104/H104)</f>
        <v>-0.37259068774038478</v>
      </c>
      <c r="O104" s="28"/>
      <c r="P104" s="35">
        <f>+P100-P102</f>
        <v>613434.42999999982</v>
      </c>
      <c r="Q104" s="14"/>
      <c r="R104" s="32">
        <f>IF(P$12=0,0,P104/P$12)</f>
        <v>1.2066649448297484</v>
      </c>
      <c r="S104" s="14"/>
      <c r="T104" s="35">
        <f>+T100-T102</f>
        <v>785758.07999999984</v>
      </c>
      <c r="U104" s="14"/>
      <c r="V104" s="32">
        <f>IF(T$12=0,0,T104/T$12)</f>
        <v>0.96291885712369762</v>
      </c>
      <c r="W104" s="16"/>
      <c r="X104" s="35">
        <f>P104-T104</f>
        <v>-172323.65000000002</v>
      </c>
      <c r="Y104" s="16"/>
      <c r="Z104" s="32">
        <f>IF(T104=0,0,X104/T104)</f>
        <v>-0.21930878521796437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6">
        <f>SUM(D104:D106)</f>
        <v>51980.14</v>
      </c>
      <c r="E107" s="14"/>
      <c r="F107" s="33">
        <f>IF(D$12=0,0,D107/D$12)</f>
        <v>3.1430824255726972</v>
      </c>
      <c r="G107" s="14"/>
      <c r="H107" s="36">
        <f>SUM(H104:H106)</f>
        <v>82848.849999999962</v>
      </c>
      <c r="I107" s="14"/>
      <c r="J107" s="33">
        <f>IF(H$12=0,0,H107/H$12)</f>
        <v>0.58966695560867166</v>
      </c>
      <c r="K107" s="16"/>
      <c r="L107" s="36">
        <f>+D107-H107</f>
        <v>-30868.709999999963</v>
      </c>
      <c r="M107" s="16"/>
      <c r="N107" s="33">
        <f>IF(H107=0,0,L107/H107)</f>
        <v>-0.37259068774038478</v>
      </c>
      <c r="O107" s="28"/>
      <c r="P107" s="36">
        <f>SUM(P104:P106)</f>
        <v>613434.42999999982</v>
      </c>
      <c r="Q107" s="14"/>
      <c r="R107" s="33">
        <f>IF(P$12=0,0,P107/P$12)</f>
        <v>1.2066649448297484</v>
      </c>
      <c r="S107" s="14"/>
      <c r="T107" s="36">
        <f>SUM(T104:T106)</f>
        <v>785758.07999999984</v>
      </c>
      <c r="U107" s="14"/>
      <c r="V107" s="33">
        <f>IF(T$12=0,0,T107/T$12)</f>
        <v>0.96291885712369762</v>
      </c>
      <c r="W107" s="16"/>
      <c r="X107" s="36">
        <f>+P107-T107</f>
        <v>-172323.65000000002</v>
      </c>
      <c r="Y107" s="16"/>
      <c r="Z107" s="33">
        <f>IF(T107=0,0,X107/T107)</f>
        <v>-0.21930878521796437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5">
        <v>43992.374922106479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2" t="s">
        <v>313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3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2956.15</v>
      </c>
      <c r="E12" s="4"/>
      <c r="F12" s="12"/>
      <c r="G12" s="4"/>
      <c r="H12" s="4">
        <f>SUM(OSRRefH13x_0)</f>
        <v>45907.540000000008</v>
      </c>
      <c r="I12" s="4"/>
      <c r="J12" s="12"/>
      <c r="K12" s="4"/>
      <c r="L12" s="4">
        <f t="shared" ref="L12:L27" si="0">+D12-H12</f>
        <v>-42951.390000000007</v>
      </c>
      <c r="M12" s="4"/>
      <c r="N12" s="12">
        <f t="shared" ref="N12:N27" si="1">IF(H12=0,0,L12/H12)</f>
        <v>-0.93560643850661562</v>
      </c>
      <c r="O12" s="10"/>
      <c r="P12" s="4">
        <f>SUM(OSRRefP13x_0)</f>
        <v>473158.02</v>
      </c>
      <c r="Q12" s="4"/>
      <c r="R12" s="12"/>
      <c r="S12" s="4"/>
      <c r="T12" s="4">
        <f>SUM(OSRRefT13x_0)</f>
        <v>599482.04999999993</v>
      </c>
      <c r="U12" s="4"/>
      <c r="V12" s="12"/>
      <c r="W12" s="4"/>
      <c r="X12" s="4">
        <f t="shared" ref="X12:X27" si="2">+P12-T12</f>
        <v>-126324.02999999991</v>
      </c>
      <c r="Y12" s="4"/>
      <c r="Z12" s="12">
        <f t="shared" ref="Z12:Z27" si="3">IF(T12=0,0,X12/T12)</f>
        <v>-0.21072195572828231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--813.1</f>
        <v>813.1</v>
      </c>
      <c r="E13" s="2"/>
      <c r="F13" s="19"/>
      <c r="G13" s="2"/>
      <c r="H13" s="2">
        <f>--2422</f>
        <v>2422</v>
      </c>
      <c r="I13" s="2"/>
      <c r="J13" s="19"/>
      <c r="K13" s="2"/>
      <c r="L13" s="2">
        <f t="shared" si="0"/>
        <v>-1608.9</v>
      </c>
      <c r="M13" s="2"/>
      <c r="N13" s="19">
        <f t="shared" si="1"/>
        <v>-0.66428571428571437</v>
      </c>
      <c r="O13" s="11"/>
      <c r="P13" s="2">
        <f>--175020.35</f>
        <v>175020.35</v>
      </c>
      <c r="Q13" s="2"/>
      <c r="R13" s="19"/>
      <c r="S13" s="2"/>
      <c r="T13" s="2">
        <f>--195764.7</f>
        <v>195764.7</v>
      </c>
      <c r="U13" s="2"/>
      <c r="V13" s="19"/>
      <c r="W13" s="2"/>
      <c r="X13" s="2">
        <f t="shared" si="2"/>
        <v>-20744.350000000006</v>
      </c>
      <c r="Y13" s="2"/>
      <c r="Z13" s="19">
        <f t="shared" si="3"/>
        <v>-0.10596573335233576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--2076.05</f>
        <v>2076.0500000000002</v>
      </c>
      <c r="E14" s="2"/>
      <c r="F14" s="19"/>
      <c r="G14" s="2"/>
      <c r="H14" s="2">
        <f>--15724.32</f>
        <v>15724.32</v>
      </c>
      <c r="I14" s="2"/>
      <c r="J14" s="19"/>
      <c r="K14" s="2"/>
      <c r="L14" s="2">
        <f t="shared" si="0"/>
        <v>-13648.27</v>
      </c>
      <c r="M14" s="2"/>
      <c r="N14" s="19">
        <f t="shared" si="1"/>
        <v>-0.86797203313084448</v>
      </c>
      <c r="O14" s="11"/>
      <c r="P14" s="2">
        <f>--76522.66</f>
        <v>76522.66</v>
      </c>
      <c r="Q14" s="2"/>
      <c r="R14" s="19"/>
      <c r="S14" s="2"/>
      <c r="T14" s="2">
        <f>--95701.63</f>
        <v>95701.63</v>
      </c>
      <c r="U14" s="2"/>
      <c r="V14" s="19"/>
      <c r="W14" s="2"/>
      <c r="X14" s="2">
        <f t="shared" si="2"/>
        <v>-19178.97</v>
      </c>
      <c r="Y14" s="2"/>
      <c r="Z14" s="19">
        <f t="shared" si="3"/>
        <v>-0.20040379667514546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 t="shared" ref="D15:D17" si="4">0</f>
        <v>0</v>
      </c>
      <c r="E15" s="2"/>
      <c r="F15" s="19"/>
      <c r="G15" s="2"/>
      <c r="H15" s="2">
        <f>--288</f>
        <v>288</v>
      </c>
      <c r="I15" s="2"/>
      <c r="J15" s="19"/>
      <c r="K15" s="2"/>
      <c r="L15" s="2">
        <f t="shared" si="0"/>
        <v>-288</v>
      </c>
      <c r="M15" s="2"/>
      <c r="N15" s="19">
        <f t="shared" si="1"/>
        <v>-1</v>
      </c>
      <c r="O15" s="11"/>
      <c r="P15" s="2">
        <f>--921.72</f>
        <v>921.72</v>
      </c>
      <c r="Q15" s="2"/>
      <c r="R15" s="19"/>
      <c r="S15" s="2"/>
      <c r="T15" s="2">
        <f>--1118.22</f>
        <v>1118.22</v>
      </c>
      <c r="U15" s="2"/>
      <c r="V15" s="19"/>
      <c r="W15" s="2"/>
      <c r="X15" s="2">
        <f t="shared" si="2"/>
        <v>-196.5</v>
      </c>
      <c r="Y15" s="2"/>
      <c r="Z15" s="19">
        <f t="shared" si="3"/>
        <v>-0.17572570692708053</v>
      </c>
    </row>
    <row r="16" spans="1:26" s="24" customFormat="1" hidden="1" outlineLevel="1" x14ac:dyDescent="0.25">
      <c r="A16" s="44"/>
      <c r="B16" s="11" t="str">
        <f>CONCATENATE("          ", "4044", " - ", "TAXABLE SALES-ACCESSORIES")</f>
        <v xml:space="preserve">          4044 - TAXABLE SALES-ACCESSORIES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--235.18</f>
        <v>235.18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235.18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si="4"/>
        <v>0</v>
      </c>
      <c r="E17" s="2"/>
      <c r="F17" s="19"/>
      <c r="G17" s="2"/>
      <c r="H17" s="2">
        <f>--963.97</f>
        <v>963.97</v>
      </c>
      <c r="I17" s="2"/>
      <c r="J17" s="19"/>
      <c r="K17" s="2"/>
      <c r="L17" s="2">
        <f t="shared" si="0"/>
        <v>-963.97</v>
      </c>
      <c r="M17" s="2"/>
      <c r="N17" s="19">
        <f t="shared" si="1"/>
        <v>-1</v>
      </c>
      <c r="O17" s="11"/>
      <c r="P17" s="2">
        <f>--2676.14</f>
        <v>2676.14</v>
      </c>
      <c r="Q17" s="2"/>
      <c r="R17" s="19"/>
      <c r="S17" s="2"/>
      <c r="T17" s="2">
        <f>--5572.63</f>
        <v>5572.63</v>
      </c>
      <c r="U17" s="2"/>
      <c r="V17" s="19"/>
      <c r="W17" s="2"/>
      <c r="X17" s="2">
        <f t="shared" si="2"/>
        <v>-2896.4900000000002</v>
      </c>
      <c r="Y17" s="2"/>
      <c r="Z17" s="19">
        <f t="shared" si="3"/>
        <v>-0.51977073661807804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--57</f>
        <v>57</v>
      </c>
      <c r="E18" s="2"/>
      <c r="F18" s="19"/>
      <c r="G18" s="2"/>
      <c r="H18" s="2">
        <f>--25.4</f>
        <v>25.4</v>
      </c>
      <c r="I18" s="2"/>
      <c r="J18" s="19"/>
      <c r="K18" s="2"/>
      <c r="L18" s="2">
        <f t="shared" si="0"/>
        <v>31.6</v>
      </c>
      <c r="M18" s="2"/>
      <c r="N18" s="19">
        <f t="shared" si="1"/>
        <v>1.2440944881889766</v>
      </c>
      <c r="O18" s="11"/>
      <c r="P18" s="2">
        <f>--921.6</f>
        <v>921.6</v>
      </c>
      <c r="Q18" s="2"/>
      <c r="R18" s="19"/>
      <c r="S18" s="2"/>
      <c r="T18" s="2">
        <f>--1951.7</f>
        <v>1951.7</v>
      </c>
      <c r="U18" s="2"/>
      <c r="V18" s="19"/>
      <c r="W18" s="2"/>
      <c r="X18" s="2">
        <f t="shared" si="2"/>
        <v>-1030.0999999999999</v>
      </c>
      <c r="Y18" s="2"/>
      <c r="Z18" s="19">
        <f t="shared" si="3"/>
        <v>-0.5277962801660091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ref="D19:D20" si="5">0</f>
        <v>0</v>
      </c>
      <c r="E19" s="2"/>
      <c r="F19" s="19"/>
      <c r="G19" s="2"/>
      <c r="H19" s="2">
        <f>--1065</f>
        <v>1065</v>
      </c>
      <c r="I19" s="2"/>
      <c r="J19" s="19"/>
      <c r="K19" s="2"/>
      <c r="L19" s="2">
        <f t="shared" si="0"/>
        <v>-1065</v>
      </c>
      <c r="M19" s="2"/>
      <c r="N19" s="19">
        <f t="shared" si="1"/>
        <v>-1</v>
      </c>
      <c r="O19" s="11"/>
      <c r="P19" s="2">
        <f>--8924.02</f>
        <v>8924.02</v>
      </c>
      <c r="Q19" s="2"/>
      <c r="R19" s="19"/>
      <c r="S19" s="2"/>
      <c r="T19" s="2">
        <f>--13733</f>
        <v>13733</v>
      </c>
      <c r="U19" s="2"/>
      <c r="V19" s="19"/>
      <c r="W19" s="2"/>
      <c r="X19" s="2">
        <f t="shared" si="2"/>
        <v>-4808.9799999999996</v>
      </c>
      <c r="Y19" s="2"/>
      <c r="Z19" s="19">
        <f t="shared" si="3"/>
        <v>-0.35017694604237964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5"/>
        <v>0</v>
      </c>
      <c r="E20" s="2"/>
      <c r="F20" s="19"/>
      <c r="G20" s="2"/>
      <c r="H20" s="2">
        <f>--25396.3</f>
        <v>25396.3</v>
      </c>
      <c r="I20" s="2"/>
      <c r="J20" s="19"/>
      <c r="K20" s="2"/>
      <c r="L20" s="2">
        <f t="shared" si="0"/>
        <v>-25396.3</v>
      </c>
      <c r="M20" s="2"/>
      <c r="N20" s="19">
        <f t="shared" si="1"/>
        <v>-1</v>
      </c>
      <c r="O20" s="11"/>
      <c r="P20" s="2">
        <f>--205908.65</f>
        <v>205908.65</v>
      </c>
      <c r="Q20" s="2"/>
      <c r="R20" s="19"/>
      <c r="S20" s="2"/>
      <c r="T20" s="2">
        <f>--285954.84</f>
        <v>285954.84000000003</v>
      </c>
      <c r="U20" s="2"/>
      <c r="V20" s="19"/>
      <c r="W20" s="2"/>
      <c r="X20" s="2">
        <f t="shared" si="2"/>
        <v>-80046.190000000031</v>
      </c>
      <c r="Y20" s="2"/>
      <c r="Z20" s="19">
        <f t="shared" si="3"/>
        <v>-0.2799259841169327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--10</f>
        <v>10</v>
      </c>
      <c r="E21" s="2"/>
      <c r="F21" s="19"/>
      <c r="G21" s="2"/>
      <c r="H21" s="2">
        <f>--30.5</f>
        <v>30.5</v>
      </c>
      <c r="I21" s="2"/>
      <c r="J21" s="19"/>
      <c r="K21" s="2"/>
      <c r="L21" s="2">
        <f t="shared" si="0"/>
        <v>-20.5</v>
      </c>
      <c r="M21" s="2"/>
      <c r="N21" s="19">
        <f t="shared" si="1"/>
        <v>-0.67213114754098358</v>
      </c>
      <c r="O21" s="11"/>
      <c r="P21" s="2">
        <f>--3446.37</f>
        <v>3446.37</v>
      </c>
      <c r="Q21" s="2"/>
      <c r="R21" s="19"/>
      <c r="S21" s="2"/>
      <c r="T21" s="2">
        <f>--928.73</f>
        <v>928.73</v>
      </c>
      <c r="U21" s="2"/>
      <c r="V21" s="19"/>
      <c r="W21" s="2"/>
      <c r="X21" s="2">
        <f t="shared" si="2"/>
        <v>2517.64</v>
      </c>
      <c r="Y21" s="2"/>
      <c r="Z21" s="19">
        <f t="shared" si="3"/>
        <v>2.710841687034983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 t="shared" ref="D22:D27" si="6">0</f>
        <v>0</v>
      </c>
      <c r="E22" s="2"/>
      <c r="F22" s="19"/>
      <c r="G22" s="2"/>
      <c r="H22" s="2">
        <f t="shared" ref="H22:H23" si="7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-1059.4</f>
        <v>-1059.4000000000001</v>
      </c>
      <c r="Q22" s="2"/>
      <c r="R22" s="19"/>
      <c r="S22" s="2"/>
      <c r="T22" s="2">
        <f>-1119.05</f>
        <v>-1119.05</v>
      </c>
      <c r="U22" s="2"/>
      <c r="V22" s="19"/>
      <c r="W22" s="2"/>
      <c r="X22" s="2">
        <f t="shared" si="2"/>
        <v>59.649999999999864</v>
      </c>
      <c r="Y22" s="2"/>
      <c r="Z22" s="19">
        <f t="shared" si="3"/>
        <v>-5.3304141906080932E-2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si="6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-227.7</f>
        <v>-227.7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-227.7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"4341", " - ", "SALES RETURN NON TAXABLE-LOGO")</f>
        <v xml:space="preserve">          4341 - SALES RETURN NON TAXABLE-LOGO</v>
      </c>
      <c r="C24" s="11"/>
      <c r="D24" s="2">
        <f t="shared" si="6"/>
        <v>0</v>
      </c>
      <c r="E24" s="2"/>
      <c r="F24" s="19"/>
      <c r="G24" s="2"/>
      <c r="H24" s="2">
        <f>-7.95</f>
        <v>-7.95</v>
      </c>
      <c r="I24" s="2"/>
      <c r="J24" s="19"/>
      <c r="K24" s="2"/>
      <c r="L24" s="2">
        <f t="shared" si="0"/>
        <v>7.95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-124.35</f>
        <v>-124.35</v>
      </c>
      <c r="U24" s="2"/>
      <c r="V24" s="19"/>
      <c r="W24" s="2"/>
      <c r="X24" s="2">
        <f t="shared" si="2"/>
        <v>124.35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 t="shared" si="6"/>
        <v>0</v>
      </c>
      <c r="E25" s="2"/>
      <c r="F25" s="19"/>
      <c r="G25" s="2"/>
      <c r="H25" s="2">
        <f t="shared" ref="H25:H27" si="8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>
        <f t="shared" ref="T25:T27" si="9">0</f>
        <v>0</v>
      </c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 t="shared" si="6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>
        <f t="shared" si="9"/>
        <v>0</v>
      </c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"4347", " - ", "SALES RETURN NON TAXABLE-MISC")</f>
        <v xml:space="preserve">          4347 - SALES RETURN NON TAXABLE-MISC</v>
      </c>
      <c r="C27" s="11"/>
      <c r="D27" s="2">
        <f t="shared" si="6"/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-84</f>
        <v>-84</v>
      </c>
      <c r="Q27" s="2"/>
      <c r="R27" s="19"/>
      <c r="S27" s="2"/>
      <c r="T27" s="2">
        <f t="shared" si="9"/>
        <v>0</v>
      </c>
      <c r="U27" s="2"/>
      <c r="V27" s="19"/>
      <c r="W27" s="2"/>
      <c r="X27" s="2">
        <f t="shared" si="2"/>
        <v>-84</v>
      </c>
      <c r="Y27" s="2"/>
      <c r="Z27" s="19">
        <f t="shared" si="3"/>
        <v>0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8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1">
        <f>D12-D29</f>
        <v>2956.15</v>
      </c>
      <c r="E31" s="14"/>
      <c r="F31" s="20">
        <f>IF(D$12=0,0,D31/D$12)</f>
        <v>1</v>
      </c>
      <c r="G31" s="14"/>
      <c r="H31" s="21">
        <f>H12-H29</f>
        <v>45907.540000000008</v>
      </c>
      <c r="I31" s="14"/>
      <c r="J31" s="20">
        <f>IF(H$12=0,0,H31/H$12)</f>
        <v>1</v>
      </c>
      <c r="K31" s="16"/>
      <c r="L31" s="21">
        <f>+D31-H31</f>
        <v>-42951.390000000007</v>
      </c>
      <c r="M31" s="16"/>
      <c r="N31" s="20">
        <f>IF(H31=0,0,L31/H31)</f>
        <v>-0.93560643850661562</v>
      </c>
      <c r="O31" s="28"/>
      <c r="P31" s="21">
        <f>P12-P29</f>
        <v>473158.02</v>
      </c>
      <c r="Q31" s="14"/>
      <c r="R31" s="20">
        <f>IF(P$12=0,0,P31/P$12)</f>
        <v>1</v>
      </c>
      <c r="S31" s="14"/>
      <c r="T31" s="21">
        <f>T12-T29</f>
        <v>599482.04999999993</v>
      </c>
      <c r="U31" s="14"/>
      <c r="V31" s="20">
        <f>IF(T$12=0,0,T31/T$12)</f>
        <v>1</v>
      </c>
      <c r="W31" s="16"/>
      <c r="X31" s="21">
        <f>+P31-T31</f>
        <v>-126324.02999999991</v>
      </c>
      <c r="Y31" s="16"/>
      <c r="Z31" s="20">
        <f>IF(T31=0,0,X31/T31)</f>
        <v>-0.21072195572828231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2">
        <f>SUM(OSRRefD22x_0)</f>
        <v>17623.939999999999</v>
      </c>
      <c r="E33" s="22"/>
      <c r="F33" s="31">
        <f t="shared" ref="F33:F42" si="10">IF(D$12=0,0,D33/D$12)</f>
        <v>5.9617881365965859</v>
      </c>
      <c r="G33" s="22"/>
      <c r="H33" s="22">
        <f>SUM(OSRRefH22x_0)</f>
        <v>48673.820000000007</v>
      </c>
      <c r="I33" s="22"/>
      <c r="J33" s="31">
        <f t="shared" ref="J33:J42" si="11">IF(H$12=0,0,H33/H$12)</f>
        <v>1.0602576395947159</v>
      </c>
      <c r="K33" s="4"/>
      <c r="L33" s="22">
        <f t="shared" ref="L33:L42" si="12">+D33-H33</f>
        <v>-31049.880000000008</v>
      </c>
      <c r="M33" s="4"/>
      <c r="N33" s="31">
        <f t="shared" ref="N33:N42" si="13">IF(H33=0,0,L33/H33)</f>
        <v>-0.63791746774754898</v>
      </c>
      <c r="O33" s="10"/>
      <c r="P33" s="22">
        <f>SUM(OSRRefP22x_0)</f>
        <v>471764.14000000007</v>
      </c>
      <c r="Q33" s="22"/>
      <c r="R33" s="31">
        <f t="shared" ref="R33:R42" si="14">IF(P$12=0,0,P33/P$12)</f>
        <v>0.99705409199235395</v>
      </c>
      <c r="S33" s="22"/>
      <c r="T33" s="22">
        <f>SUM(OSRRefT22x_0)</f>
        <v>525433.41</v>
      </c>
      <c r="U33" s="22"/>
      <c r="V33" s="31">
        <f t="shared" ref="V33:V42" si="15">IF(T$12=0,0,T33/T$12)</f>
        <v>0.87647897047125944</v>
      </c>
      <c r="W33" s="4"/>
      <c r="X33" s="22">
        <f t="shared" ref="X33:X42" si="16">+P33-T33</f>
        <v>-53669.26999999996</v>
      </c>
      <c r="Y33" s="4"/>
      <c r="Z33" s="31">
        <f t="shared" ref="Z33:Z42" si="17">IF(T33=0,0,X33/T33)</f>
        <v>-0.10214285764584319</v>
      </c>
    </row>
    <row r="34" spans="1:26" s="27" customFormat="1" outlineLevel="1" collapsed="1" x14ac:dyDescent="0.25">
      <c r="A34" s="25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6736.43</v>
      </c>
      <c r="E34" s="1"/>
      <c r="F34" s="5">
        <f t="shared" si="10"/>
        <v>2.2787849060433336</v>
      </c>
      <c r="G34" s="1"/>
      <c r="H34" s="1">
        <f>SUM(OSRRefH22_0x_0)</f>
        <v>7956.3300000000008</v>
      </c>
      <c r="I34" s="1"/>
      <c r="J34" s="5">
        <f t="shared" si="11"/>
        <v>0.1733120528784596</v>
      </c>
      <c r="K34" s="1"/>
      <c r="L34" s="1">
        <f t="shared" si="12"/>
        <v>-1219.9000000000005</v>
      </c>
      <c r="M34" s="1"/>
      <c r="N34" s="5">
        <f t="shared" si="13"/>
        <v>-0.15332445989545437</v>
      </c>
      <c r="O34" s="13"/>
      <c r="P34" s="1">
        <f>SUM(OSRRefP22_0x_0)</f>
        <v>88967.039999999994</v>
      </c>
      <c r="Q34" s="1"/>
      <c r="R34" s="5">
        <f t="shared" si="14"/>
        <v>0.18802817714048256</v>
      </c>
      <c r="S34" s="1"/>
      <c r="T34" s="1">
        <f>SUM(OSRRefT22_0x_0)</f>
        <v>77139.109999999986</v>
      </c>
      <c r="U34" s="1"/>
      <c r="V34" s="5">
        <f t="shared" si="15"/>
        <v>0.12867626311746949</v>
      </c>
      <c r="W34" s="1"/>
      <c r="X34" s="1">
        <f t="shared" si="16"/>
        <v>11827.930000000008</v>
      </c>
      <c r="Y34" s="1"/>
      <c r="Z34" s="5">
        <f t="shared" si="17"/>
        <v>0.15333246650110444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6">
        <v>870.7</v>
      </c>
      <c r="E35" s="2"/>
      <c r="F35" s="7">
        <f t="shared" si="10"/>
        <v>0.29453850447372426</v>
      </c>
      <c r="G35" s="2"/>
      <c r="H35" s="6">
        <v>1492.43</v>
      </c>
      <c r="I35" s="2"/>
      <c r="J35" s="7">
        <f t="shared" si="11"/>
        <v>3.250947447848436E-2</v>
      </c>
      <c r="K35" s="2"/>
      <c r="L35" s="6">
        <f t="shared" si="12"/>
        <v>-621.73</v>
      </c>
      <c r="M35" s="2"/>
      <c r="N35" s="7">
        <f t="shared" si="13"/>
        <v>-0.41658905275289293</v>
      </c>
      <c r="O35" s="11"/>
      <c r="P35" s="6">
        <v>13814.22</v>
      </c>
      <c r="Q35" s="2"/>
      <c r="R35" s="7">
        <f t="shared" si="14"/>
        <v>2.9195785374196974E-2</v>
      </c>
      <c r="S35" s="2"/>
      <c r="T35" s="6">
        <v>13074.22</v>
      </c>
      <c r="U35" s="2"/>
      <c r="V35" s="7">
        <f t="shared" si="15"/>
        <v>2.1809193452914898E-2</v>
      </c>
      <c r="W35" s="2"/>
      <c r="X35" s="6">
        <f t="shared" si="16"/>
        <v>740</v>
      </c>
      <c r="Y35" s="2"/>
      <c r="Z35" s="7">
        <f t="shared" si="17"/>
        <v>5.6599934833588543E-2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6">
        <v>324.37</v>
      </c>
      <c r="E36" s="2"/>
      <c r="F36" s="7">
        <f t="shared" si="10"/>
        <v>0.1097271789320569</v>
      </c>
      <c r="G36" s="2"/>
      <c r="H36" s="6">
        <v>140.94</v>
      </c>
      <c r="I36" s="2"/>
      <c r="J36" s="7">
        <f t="shared" si="11"/>
        <v>3.0700839121416651E-3</v>
      </c>
      <c r="K36" s="2"/>
      <c r="L36" s="6">
        <f t="shared" si="12"/>
        <v>183.43</v>
      </c>
      <c r="M36" s="2"/>
      <c r="N36" s="7">
        <f t="shared" si="13"/>
        <v>1.3014758053072231</v>
      </c>
      <c r="O36" s="11"/>
      <c r="P36" s="6">
        <v>2418.8000000000002</v>
      </c>
      <c r="Q36" s="2"/>
      <c r="R36" s="7">
        <f t="shared" si="14"/>
        <v>5.1120342417528926E-3</v>
      </c>
      <c r="S36" s="2"/>
      <c r="T36" s="6">
        <v>1808.31</v>
      </c>
      <c r="U36" s="2"/>
      <c r="V36" s="7">
        <f t="shared" si="15"/>
        <v>3.0164539538756834E-3</v>
      </c>
      <c r="W36" s="2"/>
      <c r="X36" s="6">
        <f t="shared" si="16"/>
        <v>610.49000000000024</v>
      </c>
      <c r="Y36" s="2"/>
      <c r="Z36" s="7">
        <f t="shared" si="17"/>
        <v>0.33760251284348386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6">
        <v>2724.48</v>
      </c>
      <c r="E37" s="2"/>
      <c r="F37" s="7">
        <f t="shared" si="10"/>
        <v>0.92163117568458974</v>
      </c>
      <c r="G37" s="2"/>
      <c r="H37" s="6">
        <v>2845.66</v>
      </c>
      <c r="I37" s="2"/>
      <c r="J37" s="7">
        <f t="shared" si="11"/>
        <v>6.1986767315347309E-2</v>
      </c>
      <c r="K37" s="2"/>
      <c r="L37" s="6">
        <f t="shared" si="12"/>
        <v>-121.17999999999984</v>
      </c>
      <c r="M37" s="2"/>
      <c r="N37" s="7">
        <f t="shared" si="13"/>
        <v>-4.2584145681493872E-2</v>
      </c>
      <c r="O37" s="11"/>
      <c r="P37" s="6">
        <v>32486.489999999998</v>
      </c>
      <c r="Q37" s="2"/>
      <c r="R37" s="7">
        <f t="shared" si="14"/>
        <v>6.8658859465174013E-2</v>
      </c>
      <c r="S37" s="2"/>
      <c r="T37" s="6">
        <v>27586.48</v>
      </c>
      <c r="U37" s="2"/>
      <c r="V37" s="7">
        <f t="shared" si="15"/>
        <v>4.6017191006803293E-2</v>
      </c>
      <c r="W37" s="2"/>
      <c r="X37" s="6">
        <f t="shared" si="16"/>
        <v>4900.0099999999984</v>
      </c>
      <c r="Y37" s="2"/>
      <c r="Z37" s="7">
        <f t="shared" si="17"/>
        <v>0.17762360402632008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6">
        <v>44.39</v>
      </c>
      <c r="E38" s="2"/>
      <c r="F38" s="7">
        <f t="shared" si="10"/>
        <v>1.5016152766266935E-2</v>
      </c>
      <c r="G38" s="2"/>
      <c r="H38" s="6">
        <v>43.35</v>
      </c>
      <c r="I38" s="2"/>
      <c r="J38" s="7">
        <f t="shared" si="11"/>
        <v>9.4428932589287059E-4</v>
      </c>
      <c r="K38" s="2"/>
      <c r="L38" s="6">
        <f t="shared" si="12"/>
        <v>1.0399999999999991</v>
      </c>
      <c r="M38" s="2"/>
      <c r="N38" s="7">
        <f t="shared" si="13"/>
        <v>2.3990772779700093E-2</v>
      </c>
      <c r="O38" s="11"/>
      <c r="P38" s="6">
        <v>523.47</v>
      </c>
      <c r="Q38" s="2"/>
      <c r="R38" s="7">
        <f t="shared" si="14"/>
        <v>1.1063322988797697E-3</v>
      </c>
      <c r="S38" s="2"/>
      <c r="T38" s="6">
        <v>510.85</v>
      </c>
      <c r="U38" s="2"/>
      <c r="V38" s="7">
        <f t="shared" si="15"/>
        <v>8.5215228712853049E-4</v>
      </c>
      <c r="W38" s="2"/>
      <c r="X38" s="6">
        <f t="shared" si="16"/>
        <v>12.620000000000005</v>
      </c>
      <c r="Y38" s="2"/>
      <c r="Z38" s="7">
        <f t="shared" si="17"/>
        <v>2.4703924831163755E-2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6">
        <v>1166.77</v>
      </c>
      <c r="E39" s="2"/>
      <c r="F39" s="7">
        <f t="shared" si="10"/>
        <v>0.39469242088527307</v>
      </c>
      <c r="G39" s="2"/>
      <c r="H39" s="6">
        <v>984.68</v>
      </c>
      <c r="I39" s="2"/>
      <c r="J39" s="7">
        <f t="shared" si="11"/>
        <v>2.1449199848216648E-2</v>
      </c>
      <c r="K39" s="2"/>
      <c r="L39" s="6">
        <f t="shared" si="12"/>
        <v>182.09000000000003</v>
      </c>
      <c r="M39" s="2"/>
      <c r="N39" s="7">
        <f t="shared" si="13"/>
        <v>0.18492302067676814</v>
      </c>
      <c r="O39" s="11"/>
      <c r="P39" s="6">
        <v>14252.53</v>
      </c>
      <c r="Q39" s="2"/>
      <c r="R39" s="7">
        <f t="shared" si="14"/>
        <v>3.0122135518277804E-2</v>
      </c>
      <c r="S39" s="2"/>
      <c r="T39" s="6">
        <v>12936.84</v>
      </c>
      <c r="U39" s="2"/>
      <c r="V39" s="7">
        <f t="shared" si="15"/>
        <v>2.1580028959999723E-2</v>
      </c>
      <c r="W39" s="2"/>
      <c r="X39" s="6">
        <f t="shared" si="16"/>
        <v>1315.6900000000005</v>
      </c>
      <c r="Y39" s="2"/>
      <c r="Z39" s="7">
        <f t="shared" si="17"/>
        <v>0.10170103363727158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1039.18</v>
      </c>
      <c r="E40" s="2"/>
      <c r="F40" s="7">
        <f t="shared" si="10"/>
        <v>0.35153155286436749</v>
      </c>
      <c r="G40" s="2"/>
      <c r="H40" s="6">
        <v>1427.13</v>
      </c>
      <c r="I40" s="2"/>
      <c r="J40" s="7">
        <f t="shared" si="11"/>
        <v>3.1087050188269724E-2</v>
      </c>
      <c r="K40" s="2"/>
      <c r="L40" s="6">
        <f t="shared" si="12"/>
        <v>-387.95000000000005</v>
      </c>
      <c r="M40" s="2"/>
      <c r="N40" s="7">
        <f t="shared" si="13"/>
        <v>-0.27183928583941197</v>
      </c>
      <c r="O40" s="11"/>
      <c r="P40" s="6">
        <v>14382.28</v>
      </c>
      <c r="Q40" s="2"/>
      <c r="R40" s="7">
        <f t="shared" si="14"/>
        <v>3.0396356802744249E-2</v>
      </c>
      <c r="S40" s="2"/>
      <c r="T40" s="6">
        <v>11417.04</v>
      </c>
      <c r="U40" s="2"/>
      <c r="V40" s="7">
        <f t="shared" si="15"/>
        <v>1.9044840458525825E-2</v>
      </c>
      <c r="W40" s="2"/>
      <c r="X40" s="6">
        <f t="shared" si="16"/>
        <v>2965.24</v>
      </c>
      <c r="Y40" s="2"/>
      <c r="Z40" s="7">
        <f t="shared" si="17"/>
        <v>0.25972055804306543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526.54</v>
      </c>
      <c r="E41" s="2"/>
      <c r="F41" s="7">
        <f t="shared" si="10"/>
        <v>0.17811680733386329</v>
      </c>
      <c r="G41" s="2"/>
      <c r="H41" s="6">
        <v>724.08</v>
      </c>
      <c r="I41" s="2"/>
      <c r="J41" s="7">
        <f t="shared" si="11"/>
        <v>1.5772572435813374E-2</v>
      </c>
      <c r="K41" s="2"/>
      <c r="L41" s="6">
        <f t="shared" si="12"/>
        <v>-197.54000000000008</v>
      </c>
      <c r="M41" s="2"/>
      <c r="N41" s="7">
        <f t="shared" si="13"/>
        <v>-0.27281515854601712</v>
      </c>
      <c r="O41" s="11"/>
      <c r="P41" s="6">
        <v>8606.74</v>
      </c>
      <c r="Q41" s="2"/>
      <c r="R41" s="7">
        <f t="shared" si="14"/>
        <v>1.8189990735019135E-2</v>
      </c>
      <c r="S41" s="2"/>
      <c r="T41" s="6">
        <v>6896.67</v>
      </c>
      <c r="U41" s="2"/>
      <c r="V41" s="7">
        <f t="shared" si="15"/>
        <v>1.1504381157033811E-2</v>
      </c>
      <c r="W41" s="2"/>
      <c r="X41" s="6">
        <f t="shared" si="16"/>
        <v>1710.0699999999997</v>
      </c>
      <c r="Y41" s="2"/>
      <c r="Z41" s="7">
        <f t="shared" si="17"/>
        <v>0.24795589755635686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40</v>
      </c>
      <c r="E42" s="2"/>
      <c r="F42" s="7">
        <f t="shared" si="10"/>
        <v>1.3531113103191651E-2</v>
      </c>
      <c r="G42" s="2"/>
      <c r="H42" s="6">
        <v>298.06</v>
      </c>
      <c r="I42" s="2"/>
      <c r="J42" s="7">
        <f t="shared" si="11"/>
        <v>6.4926153742936336E-3</v>
      </c>
      <c r="K42" s="2"/>
      <c r="L42" s="6">
        <f t="shared" si="12"/>
        <v>-258.06</v>
      </c>
      <c r="M42" s="2"/>
      <c r="N42" s="7">
        <f t="shared" si="13"/>
        <v>-0.86579883244984235</v>
      </c>
      <c r="O42" s="11"/>
      <c r="P42" s="6">
        <v>2482.5100000000002</v>
      </c>
      <c r="Q42" s="2"/>
      <c r="R42" s="7">
        <f t="shared" si="14"/>
        <v>5.2466827044377268E-3</v>
      </c>
      <c r="S42" s="2"/>
      <c r="T42" s="6">
        <v>2908.7</v>
      </c>
      <c r="U42" s="2"/>
      <c r="V42" s="7">
        <f t="shared" si="15"/>
        <v>4.852021841187739E-3</v>
      </c>
      <c r="W42" s="2"/>
      <c r="X42" s="6">
        <f t="shared" si="16"/>
        <v>-426.1899999999996</v>
      </c>
      <c r="Y42" s="2"/>
      <c r="Z42" s="7">
        <f t="shared" si="17"/>
        <v>-0.14652250146113371</v>
      </c>
    </row>
    <row r="43" spans="1:26" s="27" customFormat="1" outlineLevel="1" collapsed="1" x14ac:dyDescent="0.25">
      <c r="A43" s="25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8890.02</v>
      </c>
      <c r="E43" s="1"/>
      <c r="F43" s="5">
        <f t="shared" ref="F43:F47" si="18">IF(D$12=0,0,D43/D$12)</f>
        <v>3.0072966527408962</v>
      </c>
      <c r="G43" s="1"/>
      <c r="H43" s="1">
        <f>SUM(OSRRefH22_1x_0)</f>
        <v>18402.940000000002</v>
      </c>
      <c r="I43" s="1"/>
      <c r="J43" s="5">
        <f t="shared" ref="J43:J47" si="19">IF(H$12=0,0,H43/H$12)</f>
        <v>0.40086966106221328</v>
      </c>
      <c r="K43" s="1"/>
      <c r="L43" s="1">
        <f t="shared" ref="L43:L47" si="20">+D43-H43</f>
        <v>-9512.9200000000019</v>
      </c>
      <c r="M43" s="1"/>
      <c r="N43" s="5">
        <f t="shared" ref="N43:N47" si="21">IF(H43=0,0,L43/H43)</f>
        <v>-0.51692392628569139</v>
      </c>
      <c r="O43" s="13"/>
      <c r="P43" s="1">
        <f>SUM(OSRRefP22_1x_0)</f>
        <v>172775.8</v>
      </c>
      <c r="Q43" s="1"/>
      <c r="R43" s="5">
        <f t="shared" ref="R43:R47" si="22">IF(P$12=0,0,P43/P$12)</f>
        <v>0.36515454181670637</v>
      </c>
      <c r="S43" s="1"/>
      <c r="T43" s="1">
        <f>SUM(OSRRefT22_1x_0)</f>
        <v>176431.13999999998</v>
      </c>
      <c r="U43" s="1"/>
      <c r="V43" s="5">
        <f t="shared" ref="V43:V47" si="23">IF(T$12=0,0,T43/T$12)</f>
        <v>0.29430595961964168</v>
      </c>
      <c r="W43" s="1"/>
      <c r="X43" s="1">
        <f t="shared" ref="X43:X47" si="24">+P43-T43</f>
        <v>-3655.3399999999965</v>
      </c>
      <c r="Y43" s="1"/>
      <c r="Z43" s="5">
        <f t="shared" ref="Z43:Z47" si="25">IF(T43=0,0,X43/T43)</f>
        <v>-2.0718224685279462E-2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8890.02</v>
      </c>
      <c r="E44" s="2"/>
      <c r="F44" s="7">
        <f t="shared" si="18"/>
        <v>3.0072966527408962</v>
      </c>
      <c r="G44" s="2"/>
      <c r="H44" s="6">
        <v>11933.19</v>
      </c>
      <c r="I44" s="2"/>
      <c r="J44" s="7">
        <f t="shared" si="19"/>
        <v>0.25993965261479918</v>
      </c>
      <c r="K44" s="2"/>
      <c r="L44" s="6">
        <f t="shared" si="20"/>
        <v>-3043.17</v>
      </c>
      <c r="M44" s="2"/>
      <c r="N44" s="7">
        <f t="shared" si="21"/>
        <v>-0.25501730886711765</v>
      </c>
      <c r="O44" s="11"/>
      <c r="P44" s="6">
        <v>120345.64</v>
      </c>
      <c r="Q44" s="2"/>
      <c r="R44" s="7">
        <f t="shared" si="22"/>
        <v>0.25434555669161013</v>
      </c>
      <c r="S44" s="2"/>
      <c r="T44" s="6">
        <v>112690.43999999999</v>
      </c>
      <c r="U44" s="2"/>
      <c r="V44" s="7">
        <f t="shared" si="23"/>
        <v>0.1879796734531084</v>
      </c>
      <c r="W44" s="2"/>
      <c r="X44" s="6">
        <f t="shared" si="24"/>
        <v>7655.2000000000116</v>
      </c>
      <c r="Y44" s="2"/>
      <c r="Z44" s="7">
        <f t="shared" si="25"/>
        <v>6.7931228239059255E-2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18"/>
        <v>0</v>
      </c>
      <c r="G45" s="2"/>
      <c r="H45" s="6">
        <v>2313.5</v>
      </c>
      <c r="I45" s="2"/>
      <c r="J45" s="7">
        <f t="shared" si="19"/>
        <v>5.0394771752091262E-2</v>
      </c>
      <c r="K45" s="2"/>
      <c r="L45" s="6">
        <f t="shared" si="20"/>
        <v>-2313.5</v>
      </c>
      <c r="M45" s="2"/>
      <c r="N45" s="7">
        <f t="shared" si="21"/>
        <v>-1</v>
      </c>
      <c r="O45" s="11"/>
      <c r="P45" s="6">
        <v>18111.36</v>
      </c>
      <c r="Q45" s="2"/>
      <c r="R45" s="7">
        <f t="shared" si="22"/>
        <v>3.8277613893134478E-2</v>
      </c>
      <c r="S45" s="2"/>
      <c r="T45" s="6">
        <v>17506.05</v>
      </c>
      <c r="U45" s="2"/>
      <c r="V45" s="7">
        <f t="shared" si="23"/>
        <v>2.9201958590753471E-2</v>
      </c>
      <c r="W45" s="2"/>
      <c r="X45" s="6">
        <f t="shared" si="24"/>
        <v>605.31000000000131</v>
      </c>
      <c r="Y45" s="2"/>
      <c r="Z45" s="7">
        <f t="shared" si="25"/>
        <v>3.4577189028935786E-2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18"/>
        <v>0</v>
      </c>
      <c r="G46" s="2"/>
      <c r="H46" s="6">
        <v>366</v>
      </c>
      <c r="I46" s="2"/>
      <c r="J46" s="7">
        <f t="shared" si="19"/>
        <v>7.9725465577114331E-3</v>
      </c>
      <c r="K46" s="2"/>
      <c r="L46" s="6">
        <f t="shared" si="20"/>
        <v>-366</v>
      </c>
      <c r="M46" s="2"/>
      <c r="N46" s="7">
        <f t="shared" si="21"/>
        <v>-1</v>
      </c>
      <c r="O46" s="11"/>
      <c r="P46" s="6">
        <v>2451.21</v>
      </c>
      <c r="Q46" s="2"/>
      <c r="R46" s="7">
        <f t="shared" si="22"/>
        <v>5.1805314427514088E-3</v>
      </c>
      <c r="S46" s="2"/>
      <c r="T46" s="6">
        <v>8965.65</v>
      </c>
      <c r="U46" s="2"/>
      <c r="V46" s="7">
        <f t="shared" si="23"/>
        <v>1.4955660473904099E-2</v>
      </c>
      <c r="W46" s="2"/>
      <c r="X46" s="6">
        <f t="shared" si="24"/>
        <v>-6514.44</v>
      </c>
      <c r="Y46" s="2"/>
      <c r="Z46" s="7">
        <f t="shared" si="25"/>
        <v>-0.72659985611751521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18"/>
        <v>0</v>
      </c>
      <c r="G47" s="2"/>
      <c r="H47" s="6">
        <v>3790.25</v>
      </c>
      <c r="I47" s="2"/>
      <c r="J47" s="7">
        <f t="shared" si="19"/>
        <v>8.2562690137611361E-2</v>
      </c>
      <c r="K47" s="2"/>
      <c r="L47" s="6">
        <f t="shared" si="20"/>
        <v>-3790.25</v>
      </c>
      <c r="M47" s="2"/>
      <c r="N47" s="7">
        <f t="shared" si="21"/>
        <v>-1</v>
      </c>
      <c r="O47" s="11"/>
      <c r="P47" s="6">
        <v>31867.59</v>
      </c>
      <c r="Q47" s="2"/>
      <c r="R47" s="7">
        <f t="shared" si="22"/>
        <v>6.7350839789210373E-2</v>
      </c>
      <c r="S47" s="2"/>
      <c r="T47" s="6">
        <v>37269</v>
      </c>
      <c r="U47" s="2"/>
      <c r="V47" s="7">
        <f t="shared" si="23"/>
        <v>6.2168667101875699E-2</v>
      </c>
      <c r="W47" s="2"/>
      <c r="X47" s="6">
        <f t="shared" si="24"/>
        <v>-5401.41</v>
      </c>
      <c r="Y47" s="2"/>
      <c r="Z47" s="7">
        <f t="shared" si="25"/>
        <v>-0.14493037108588908</v>
      </c>
    </row>
    <row r="48" spans="1:26" s="27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8" si="26">IF(D$12=0,0,D48/D$12)</f>
        <v>0</v>
      </c>
      <c r="G48" s="1"/>
      <c r="H48" s="1">
        <f>SUM(OSRRefH22_2x_0)</f>
        <v>0</v>
      </c>
      <c r="I48" s="1"/>
      <c r="J48" s="5">
        <f t="shared" ref="J48:J58" si="27">IF(H$12=0,0,H48/H$12)</f>
        <v>0</v>
      </c>
      <c r="K48" s="1"/>
      <c r="L48" s="1">
        <f t="shared" ref="L48:L58" si="28">+D48-H48</f>
        <v>0</v>
      </c>
      <c r="M48" s="1"/>
      <c r="N48" s="5">
        <f t="shared" ref="N48:N58" si="29">IF(H48=0,0,L48/H48)</f>
        <v>0</v>
      </c>
      <c r="O48" s="13"/>
      <c r="P48" s="1">
        <f>SUM(OSRRefP22_2x_0)</f>
        <v>751</v>
      </c>
      <c r="Q48" s="1"/>
      <c r="R48" s="5">
        <f t="shared" ref="R48:R58" si="30">IF(P$12=0,0,P48/P$12)</f>
        <v>1.5872075887036639E-3</v>
      </c>
      <c r="S48" s="1"/>
      <c r="T48" s="1">
        <f>SUM(OSRRefT22_2x_0)</f>
        <v>1083.07</v>
      </c>
      <c r="U48" s="1"/>
      <c r="V48" s="5">
        <f t="shared" ref="V48:V58" si="31">IF(T$12=0,0,T48/T$12)</f>
        <v>1.8066762799653468E-3</v>
      </c>
      <c r="W48" s="1"/>
      <c r="X48" s="1">
        <f t="shared" ref="X48:X58" si="32">+P48-T48</f>
        <v>-332.06999999999994</v>
      </c>
      <c r="Y48" s="1"/>
      <c r="Z48" s="5">
        <f t="shared" ref="Z48:Z58" si="33">IF(T48=0,0,X48/T48)</f>
        <v>-0.30660068139640095</v>
      </c>
    </row>
    <row r="49" spans="1:26" s="24" customFormat="1" hidden="1" outlineLevel="2" x14ac:dyDescent="0.25">
      <c r="A49" s="26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6"/>
        <v>0</v>
      </c>
      <c r="G49" s="2"/>
      <c r="H49" s="6"/>
      <c r="I49" s="2"/>
      <c r="J49" s="7">
        <f t="shared" si="27"/>
        <v>0</v>
      </c>
      <c r="K49" s="2"/>
      <c r="L49" s="6">
        <f t="shared" si="28"/>
        <v>0</v>
      </c>
      <c r="M49" s="2"/>
      <c r="N49" s="7">
        <f t="shared" si="29"/>
        <v>0</v>
      </c>
      <c r="O49" s="11"/>
      <c r="P49" s="6">
        <v>751</v>
      </c>
      <c r="Q49" s="2"/>
      <c r="R49" s="7">
        <f t="shared" si="30"/>
        <v>1.5872075887036639E-3</v>
      </c>
      <c r="S49" s="2"/>
      <c r="T49" s="6">
        <v>1083.07</v>
      </c>
      <c r="U49" s="2"/>
      <c r="V49" s="7">
        <f t="shared" si="31"/>
        <v>1.8066762799653468E-3</v>
      </c>
      <c r="W49" s="2"/>
      <c r="X49" s="6">
        <f t="shared" si="32"/>
        <v>-332.06999999999994</v>
      </c>
      <c r="Y49" s="2"/>
      <c r="Z49" s="7">
        <f t="shared" si="33"/>
        <v>-0.30660068139640095</v>
      </c>
    </row>
    <row r="50" spans="1:26" s="27" customFormat="1" outlineLevel="1" collapsed="1" x14ac:dyDescent="0.25">
      <c r="A50" s="25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SUM(OSRRefD22_3x_0)</f>
        <v>169.88</v>
      </c>
      <c r="E50" s="1"/>
      <c r="F50" s="5">
        <f t="shared" si="26"/>
        <v>5.7466637349254938E-2</v>
      </c>
      <c r="G50" s="1"/>
      <c r="H50" s="1">
        <f>SUM(OSRRefH22_3x_0)</f>
        <v>0</v>
      </c>
      <c r="I50" s="1"/>
      <c r="J50" s="5">
        <f t="shared" si="27"/>
        <v>0</v>
      </c>
      <c r="K50" s="1"/>
      <c r="L50" s="1">
        <f t="shared" si="28"/>
        <v>169.88</v>
      </c>
      <c r="M50" s="1"/>
      <c r="N50" s="5">
        <f t="shared" si="29"/>
        <v>0</v>
      </c>
      <c r="O50" s="13"/>
      <c r="P50" s="1">
        <f>SUM(OSRRefP22_3x_0)</f>
        <v>1019.28</v>
      </c>
      <c r="Q50" s="1"/>
      <c r="R50" s="5">
        <f t="shared" si="30"/>
        <v>2.1542063262501602E-3</v>
      </c>
      <c r="S50" s="1"/>
      <c r="T50" s="1">
        <f>SUM(OSRRefT22_3x_0)</f>
        <v>0</v>
      </c>
      <c r="U50" s="1"/>
      <c r="V50" s="5">
        <f t="shared" si="31"/>
        <v>0</v>
      </c>
      <c r="W50" s="1"/>
      <c r="X50" s="1">
        <f t="shared" si="32"/>
        <v>1019.28</v>
      </c>
      <c r="Y50" s="1"/>
      <c r="Z50" s="5">
        <f t="shared" si="33"/>
        <v>0</v>
      </c>
    </row>
    <row r="51" spans="1:26" s="24" customFormat="1" hidden="1" outlineLevel="2" x14ac:dyDescent="0.25">
      <c r="A51" s="26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169.88</v>
      </c>
      <c r="E51" s="2"/>
      <c r="F51" s="7">
        <f t="shared" si="26"/>
        <v>5.7466637349254938E-2</v>
      </c>
      <c r="G51" s="2"/>
      <c r="H51" s="6"/>
      <c r="I51" s="2"/>
      <c r="J51" s="7">
        <f t="shared" si="27"/>
        <v>0</v>
      </c>
      <c r="K51" s="2"/>
      <c r="L51" s="6">
        <f t="shared" si="28"/>
        <v>169.88</v>
      </c>
      <c r="M51" s="2"/>
      <c r="N51" s="7">
        <f t="shared" si="29"/>
        <v>0</v>
      </c>
      <c r="O51" s="11"/>
      <c r="P51" s="6">
        <v>1019.28</v>
      </c>
      <c r="Q51" s="2"/>
      <c r="R51" s="7">
        <f t="shared" si="30"/>
        <v>2.1542063262501602E-3</v>
      </c>
      <c r="S51" s="2"/>
      <c r="T51" s="6"/>
      <c r="U51" s="2"/>
      <c r="V51" s="7">
        <f t="shared" si="31"/>
        <v>0</v>
      </c>
      <c r="W51" s="2"/>
      <c r="X51" s="6">
        <f t="shared" si="32"/>
        <v>1019.28</v>
      </c>
      <c r="Y51" s="2"/>
      <c r="Z51" s="7">
        <f t="shared" si="33"/>
        <v>0</v>
      </c>
    </row>
    <row r="52" spans="1:26" s="27" customFormat="1" outlineLevel="1" collapsed="1" x14ac:dyDescent="0.25">
      <c r="A52" s="25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SUM(OSRRefD22_4x_0)</f>
        <v>0</v>
      </c>
      <c r="E52" s="1"/>
      <c r="F52" s="5">
        <f t="shared" si="26"/>
        <v>0</v>
      </c>
      <c r="G52" s="1"/>
      <c r="H52" s="1">
        <f>SUM(OSRRefH22_4x_0)</f>
        <v>309.7</v>
      </c>
      <c r="I52" s="1"/>
      <c r="J52" s="5">
        <f t="shared" si="27"/>
        <v>6.7461684943257673E-3</v>
      </c>
      <c r="K52" s="1"/>
      <c r="L52" s="1">
        <f t="shared" si="28"/>
        <v>-309.7</v>
      </c>
      <c r="M52" s="1"/>
      <c r="N52" s="5">
        <f t="shared" si="29"/>
        <v>-1</v>
      </c>
      <c r="O52" s="13"/>
      <c r="P52" s="1">
        <f>SUM(OSRRefP22_4x_0)</f>
        <v>726.07</v>
      </c>
      <c r="Q52" s="1"/>
      <c r="R52" s="5">
        <f t="shared" si="30"/>
        <v>1.5345190598269897E-3</v>
      </c>
      <c r="S52" s="1"/>
      <c r="T52" s="1">
        <f>SUM(OSRRefT22_4x_0)</f>
        <v>1581.28</v>
      </c>
      <c r="U52" s="1"/>
      <c r="V52" s="5">
        <f t="shared" si="31"/>
        <v>2.6377436989147552E-3</v>
      </c>
      <c r="W52" s="1"/>
      <c r="X52" s="1">
        <f t="shared" si="32"/>
        <v>-855.20999999999992</v>
      </c>
      <c r="Y52" s="1"/>
      <c r="Z52" s="5">
        <f t="shared" si="33"/>
        <v>-0.54083400789234037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26"/>
        <v>0</v>
      </c>
      <c r="G53" s="2"/>
      <c r="H53" s="6">
        <v>309.7</v>
      </c>
      <c r="I53" s="2"/>
      <c r="J53" s="7">
        <f t="shared" si="27"/>
        <v>6.7461684943257673E-3</v>
      </c>
      <c r="K53" s="2"/>
      <c r="L53" s="6">
        <f t="shared" si="28"/>
        <v>-309.7</v>
      </c>
      <c r="M53" s="2"/>
      <c r="N53" s="7">
        <f t="shared" si="29"/>
        <v>-1</v>
      </c>
      <c r="O53" s="11"/>
      <c r="P53" s="6">
        <v>726.07</v>
      </c>
      <c r="Q53" s="2"/>
      <c r="R53" s="7">
        <f t="shared" si="30"/>
        <v>1.5345190598269897E-3</v>
      </c>
      <c r="S53" s="2"/>
      <c r="T53" s="6">
        <v>1581.28</v>
      </c>
      <c r="U53" s="2"/>
      <c r="V53" s="7">
        <f t="shared" si="31"/>
        <v>2.6377436989147552E-3</v>
      </c>
      <c r="W53" s="2"/>
      <c r="X53" s="6">
        <f t="shared" si="32"/>
        <v>-855.20999999999992</v>
      </c>
      <c r="Y53" s="2"/>
      <c r="Z53" s="7">
        <f t="shared" si="33"/>
        <v>-0.54083400789234037</v>
      </c>
    </row>
    <row r="54" spans="1:26" s="27" customFormat="1" outlineLevel="1" collapsed="1" x14ac:dyDescent="0.25">
      <c r="A54" s="25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SUM(OSRRefD22_5x_0)</f>
        <v>1205.6400000000001</v>
      </c>
      <c r="E54" s="1"/>
      <c r="F54" s="5">
        <f t="shared" si="26"/>
        <v>0.40784128004329956</v>
      </c>
      <c r="G54" s="1"/>
      <c r="H54" s="1">
        <f>SUM(OSRRefH22_5x_0)</f>
        <v>3171.9</v>
      </c>
      <c r="I54" s="1"/>
      <c r="J54" s="5">
        <f t="shared" si="27"/>
        <v>6.9093225208756548E-2</v>
      </c>
      <c r="K54" s="1"/>
      <c r="L54" s="1">
        <f t="shared" si="28"/>
        <v>-1966.26</v>
      </c>
      <c r="M54" s="1"/>
      <c r="N54" s="5">
        <f t="shared" si="29"/>
        <v>-0.61989974463255459</v>
      </c>
      <c r="O54" s="13"/>
      <c r="P54" s="1">
        <f>SUM(OSRRefP22_5x_0)</f>
        <v>16081.710000000001</v>
      </c>
      <c r="Q54" s="1"/>
      <c r="R54" s="5">
        <f t="shared" si="30"/>
        <v>3.3988032158896939E-2</v>
      </c>
      <c r="S54" s="1"/>
      <c r="T54" s="1">
        <f>SUM(OSRRefT22_5x_0)</f>
        <v>35383.21</v>
      </c>
      <c r="U54" s="1"/>
      <c r="V54" s="5">
        <f t="shared" si="31"/>
        <v>5.9022968244003306E-2</v>
      </c>
      <c r="W54" s="1"/>
      <c r="X54" s="1">
        <f t="shared" si="32"/>
        <v>-19301.5</v>
      </c>
      <c r="Y54" s="1"/>
      <c r="Z54" s="5">
        <f t="shared" si="33"/>
        <v>-0.54549883970391611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6">
        <v>1205.6400000000001</v>
      </c>
      <c r="E55" s="2"/>
      <c r="F55" s="7">
        <f t="shared" si="26"/>
        <v>0.40784128004329956</v>
      </c>
      <c r="G55" s="2"/>
      <c r="H55" s="6">
        <v>3171.9</v>
      </c>
      <c r="I55" s="2"/>
      <c r="J55" s="7">
        <f t="shared" si="27"/>
        <v>6.9093225208756548E-2</v>
      </c>
      <c r="K55" s="2"/>
      <c r="L55" s="6">
        <f t="shared" si="28"/>
        <v>-1966.26</v>
      </c>
      <c r="M55" s="2"/>
      <c r="N55" s="7">
        <f t="shared" si="29"/>
        <v>-0.61989974463255459</v>
      </c>
      <c r="O55" s="11"/>
      <c r="P55" s="6">
        <v>16081.710000000001</v>
      </c>
      <c r="Q55" s="2"/>
      <c r="R55" s="7">
        <f t="shared" si="30"/>
        <v>3.3988032158896939E-2</v>
      </c>
      <c r="S55" s="2"/>
      <c r="T55" s="6">
        <v>35383.21</v>
      </c>
      <c r="U55" s="2"/>
      <c r="V55" s="7">
        <f t="shared" si="31"/>
        <v>5.9022968244003306E-2</v>
      </c>
      <c r="W55" s="2"/>
      <c r="X55" s="6">
        <f t="shared" si="32"/>
        <v>-19301.5</v>
      </c>
      <c r="Y55" s="2"/>
      <c r="Z55" s="7">
        <f t="shared" si="33"/>
        <v>-0.54549883970391611</v>
      </c>
    </row>
    <row r="56" spans="1:26" s="27" customFormat="1" outlineLevel="1" collapsed="1" x14ac:dyDescent="0.25">
      <c r="A56" s="25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SUM(OSRRefD22_6x_0)</f>
        <v>0</v>
      </c>
      <c r="E56" s="1"/>
      <c r="F56" s="5">
        <f t="shared" si="26"/>
        <v>0</v>
      </c>
      <c r="G56" s="1"/>
      <c r="H56" s="1">
        <f>SUM(OSRRefH22_6x_0)</f>
        <v>0.95</v>
      </c>
      <c r="I56" s="1"/>
      <c r="J56" s="5">
        <f t="shared" si="27"/>
        <v>2.0693768387502355E-5</v>
      </c>
      <c r="K56" s="1"/>
      <c r="L56" s="1">
        <f t="shared" si="28"/>
        <v>-0.95</v>
      </c>
      <c r="M56" s="1"/>
      <c r="N56" s="5">
        <f t="shared" si="29"/>
        <v>-1</v>
      </c>
      <c r="O56" s="13"/>
      <c r="P56" s="1">
        <f>SUM(OSRRefP22_6x_0)</f>
        <v>15.02</v>
      </c>
      <c r="Q56" s="1"/>
      <c r="R56" s="5">
        <f t="shared" si="30"/>
        <v>3.1744151774073276E-5</v>
      </c>
      <c r="S56" s="1"/>
      <c r="T56" s="1">
        <f>SUM(OSRRefT22_6x_0)</f>
        <v>0.95</v>
      </c>
      <c r="U56" s="1"/>
      <c r="V56" s="5">
        <f t="shared" si="31"/>
        <v>1.5847013267536535E-6</v>
      </c>
      <c r="W56" s="1"/>
      <c r="X56" s="1">
        <f t="shared" si="32"/>
        <v>14.07</v>
      </c>
      <c r="Y56" s="1"/>
      <c r="Z56" s="5">
        <f t="shared" si="33"/>
        <v>14.810526315789474</v>
      </c>
    </row>
    <row r="57" spans="1:26" s="24" customFormat="1" hidden="1" outlineLevel="2" x14ac:dyDescent="0.25">
      <c r="A57" s="26"/>
      <c r="B57" s="11" t="str">
        <f>CONCATENATE("          ", "6305", " - ", "FREIGHT OUT")</f>
        <v xml:space="preserve">          6305 - FREIGHT OUT</v>
      </c>
      <c r="C57" s="11"/>
      <c r="D57" s="6"/>
      <c r="E57" s="2"/>
      <c r="F57" s="7">
        <f t="shared" si="26"/>
        <v>0</v>
      </c>
      <c r="G57" s="2"/>
      <c r="H57" s="6"/>
      <c r="I57" s="2"/>
      <c r="J57" s="7">
        <f t="shared" si="27"/>
        <v>0</v>
      </c>
      <c r="K57" s="2"/>
      <c r="L57" s="6">
        <f t="shared" si="28"/>
        <v>0</v>
      </c>
      <c r="M57" s="2"/>
      <c r="N57" s="7">
        <f t="shared" si="29"/>
        <v>0</v>
      </c>
      <c r="O57" s="11"/>
      <c r="P57" s="6">
        <v>15.02</v>
      </c>
      <c r="Q57" s="2"/>
      <c r="R57" s="7">
        <f t="shared" si="30"/>
        <v>3.1744151774073276E-5</v>
      </c>
      <c r="S57" s="2"/>
      <c r="T57" s="6"/>
      <c r="U57" s="2"/>
      <c r="V57" s="7">
        <f t="shared" si="31"/>
        <v>0</v>
      </c>
      <c r="W57" s="2"/>
      <c r="X57" s="6">
        <f t="shared" si="32"/>
        <v>15.02</v>
      </c>
      <c r="Y57" s="2"/>
      <c r="Z57" s="7">
        <f t="shared" si="33"/>
        <v>0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6"/>
        <v>0</v>
      </c>
      <c r="G58" s="2"/>
      <c r="H58" s="6">
        <v>0.95</v>
      </c>
      <c r="I58" s="2"/>
      <c r="J58" s="7">
        <f t="shared" si="27"/>
        <v>2.0693768387502355E-5</v>
      </c>
      <c r="K58" s="2"/>
      <c r="L58" s="6">
        <f t="shared" si="28"/>
        <v>-0.95</v>
      </c>
      <c r="M58" s="2"/>
      <c r="N58" s="7">
        <f t="shared" si="29"/>
        <v>-1</v>
      </c>
      <c r="O58" s="11"/>
      <c r="P58" s="6"/>
      <c r="Q58" s="2"/>
      <c r="R58" s="7">
        <f t="shared" si="30"/>
        <v>0</v>
      </c>
      <c r="S58" s="2"/>
      <c r="T58" s="6">
        <v>0.95</v>
      </c>
      <c r="U58" s="2"/>
      <c r="V58" s="7">
        <f t="shared" si="31"/>
        <v>1.5847013267536535E-6</v>
      </c>
      <c r="W58" s="2"/>
      <c r="X58" s="6">
        <f t="shared" si="32"/>
        <v>-0.95</v>
      </c>
      <c r="Y58" s="2"/>
      <c r="Z58" s="7">
        <f t="shared" si="33"/>
        <v>-1</v>
      </c>
    </row>
    <row r="59" spans="1:26" s="27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SUM(OSRRefD22_7x_0)</f>
        <v>0</v>
      </c>
      <c r="E59" s="1"/>
      <c r="F59" s="5">
        <f t="shared" ref="F59:F63" si="34">IF(D$12=0,0,D59/D$12)</f>
        <v>0</v>
      </c>
      <c r="G59" s="1"/>
      <c r="H59" s="1">
        <f>SUM(OSRRefH22_7x_0)</f>
        <v>0</v>
      </c>
      <c r="I59" s="1"/>
      <c r="J59" s="5">
        <f t="shared" ref="J59:J63" si="35">IF(H$12=0,0,H59/H$12)</f>
        <v>0</v>
      </c>
      <c r="K59" s="1"/>
      <c r="L59" s="1">
        <f t="shared" ref="L59:L63" si="36">+D59-H59</f>
        <v>0</v>
      </c>
      <c r="M59" s="1"/>
      <c r="N59" s="5">
        <f t="shared" ref="N59:N63" si="37">IF(H59=0,0,L59/H59)</f>
        <v>0</v>
      </c>
      <c r="O59" s="13"/>
      <c r="P59" s="1">
        <f>SUM(OSRRefP22_7x_0)</f>
        <v>75</v>
      </c>
      <c r="Q59" s="1"/>
      <c r="R59" s="5">
        <f t="shared" ref="R59:R63" si="38">IF(P$12=0,0,P59/P$12)</f>
        <v>1.5850941298638455E-4</v>
      </c>
      <c r="S59" s="1"/>
      <c r="T59" s="1">
        <f>SUM(OSRRefT22_7x_0)</f>
        <v>207.86</v>
      </c>
      <c r="U59" s="1"/>
      <c r="V59" s="5">
        <f t="shared" ref="V59:V63" si="39">IF(T$12=0,0,T59/T$12)</f>
        <v>3.4673265029369941E-4</v>
      </c>
      <c r="W59" s="1"/>
      <c r="X59" s="1">
        <f t="shared" ref="X59:X63" si="40">+P59-T59</f>
        <v>-132.86000000000001</v>
      </c>
      <c r="Y59" s="1"/>
      <c r="Z59" s="5">
        <f t="shared" ref="Z59:Z63" si="41">IF(T59=0,0,X59/T59)</f>
        <v>-0.63918021745405562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4"/>
        <v>0</v>
      </c>
      <c r="G60" s="2"/>
      <c r="H60" s="6"/>
      <c r="I60" s="2"/>
      <c r="J60" s="7">
        <f t="shared" si="35"/>
        <v>0</v>
      </c>
      <c r="K60" s="2"/>
      <c r="L60" s="6">
        <f t="shared" si="36"/>
        <v>0</v>
      </c>
      <c r="M60" s="2"/>
      <c r="N60" s="7">
        <f t="shared" si="37"/>
        <v>0</v>
      </c>
      <c r="O60" s="11"/>
      <c r="P60" s="6">
        <v>75</v>
      </c>
      <c r="Q60" s="2"/>
      <c r="R60" s="7">
        <f t="shared" si="38"/>
        <v>1.5850941298638455E-4</v>
      </c>
      <c r="S60" s="2"/>
      <c r="T60" s="6">
        <v>207.86</v>
      </c>
      <c r="U60" s="2"/>
      <c r="V60" s="7">
        <f t="shared" si="39"/>
        <v>3.4673265029369941E-4</v>
      </c>
      <c r="W60" s="2"/>
      <c r="X60" s="6">
        <f t="shared" si="40"/>
        <v>-132.86000000000001</v>
      </c>
      <c r="Y60" s="2"/>
      <c r="Z60" s="7">
        <f t="shared" si="41"/>
        <v>-0.63918021745405562</v>
      </c>
    </row>
    <row r="61" spans="1:26" s="27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SUM(OSRRefD22_8x_0)</f>
        <v>353.37</v>
      </c>
      <c r="E61" s="1"/>
      <c r="F61" s="5">
        <f t="shared" si="34"/>
        <v>0.11953723593187085</v>
      </c>
      <c r="G61" s="1"/>
      <c r="H61" s="1">
        <f>SUM(OSRRefH22_8x_0)</f>
        <v>5241.05</v>
      </c>
      <c r="I61" s="1"/>
      <c r="J61" s="5">
        <f t="shared" si="35"/>
        <v>0.11416534190244128</v>
      </c>
      <c r="K61" s="1"/>
      <c r="L61" s="1">
        <f t="shared" si="36"/>
        <v>-4887.68</v>
      </c>
      <c r="M61" s="1"/>
      <c r="N61" s="5">
        <f t="shared" si="37"/>
        <v>-0.9325764875358945</v>
      </c>
      <c r="O61" s="13"/>
      <c r="P61" s="1">
        <f>SUM(OSRRefP22_8x_0)</f>
        <v>66267.679999999993</v>
      </c>
      <c r="Q61" s="1"/>
      <c r="R61" s="5">
        <f t="shared" si="38"/>
        <v>0.140054014090261</v>
      </c>
      <c r="S61" s="1"/>
      <c r="T61" s="1">
        <f>SUM(OSRRefT22_8x_0)</f>
        <v>70455.839999999997</v>
      </c>
      <c r="U61" s="1"/>
      <c r="V61" s="5">
        <f t="shared" si="39"/>
        <v>0.11752785592162435</v>
      </c>
      <c r="W61" s="1"/>
      <c r="X61" s="1">
        <f t="shared" si="40"/>
        <v>-4188.1600000000035</v>
      </c>
      <c r="Y61" s="1"/>
      <c r="Z61" s="5">
        <f t="shared" si="41"/>
        <v>-5.9443759381763155E-2</v>
      </c>
    </row>
    <row r="62" spans="1:26" s="24" customFormat="1" hidden="1" outlineLevel="2" x14ac:dyDescent="0.25">
      <c r="A62" s="26"/>
      <c r="B62" s="11" t="str">
        <f>CONCATENATE("          ", "6373", " - ", "MAINTENANCE CONTRACTS")</f>
        <v xml:space="preserve">          6373 - MAINTENANCE CONTRACTS</v>
      </c>
      <c r="C62" s="11"/>
      <c r="D62" s="6">
        <v>353.37</v>
      </c>
      <c r="E62" s="2"/>
      <c r="F62" s="7">
        <f t="shared" si="34"/>
        <v>0.11953723593187085</v>
      </c>
      <c r="G62" s="2"/>
      <c r="H62" s="6">
        <v>4500.3900000000003</v>
      </c>
      <c r="I62" s="2"/>
      <c r="J62" s="7">
        <f t="shared" si="35"/>
        <v>9.803160875098077E-2</v>
      </c>
      <c r="K62" s="2"/>
      <c r="L62" s="6">
        <f t="shared" si="36"/>
        <v>-4147.0200000000004</v>
      </c>
      <c r="M62" s="2"/>
      <c r="N62" s="7">
        <f t="shared" si="37"/>
        <v>-0.92148013838800635</v>
      </c>
      <c r="O62" s="11"/>
      <c r="P62" s="6">
        <v>64865.919999999998</v>
      </c>
      <c r="Q62" s="2"/>
      <c r="R62" s="7">
        <f t="shared" si="38"/>
        <v>0.13709145202695708</v>
      </c>
      <c r="S62" s="2"/>
      <c r="T62" s="6">
        <v>69566.64</v>
      </c>
      <c r="U62" s="2"/>
      <c r="V62" s="7">
        <f t="shared" si="39"/>
        <v>0.11604457547978293</v>
      </c>
      <c r="W62" s="2"/>
      <c r="X62" s="6">
        <f t="shared" si="40"/>
        <v>-4700.7200000000012</v>
      </c>
      <c r="Y62" s="2"/>
      <c r="Z62" s="7">
        <f t="shared" si="41"/>
        <v>-6.7571468163476076E-2</v>
      </c>
    </row>
    <row r="63" spans="1:26" s="24" customFormat="1" hidden="1" outlineLevel="2" x14ac:dyDescent="0.25">
      <c r="A63" s="26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4"/>
        <v>0</v>
      </c>
      <c r="G63" s="2"/>
      <c r="H63" s="6">
        <v>740.66</v>
      </c>
      <c r="I63" s="2"/>
      <c r="J63" s="7">
        <f t="shared" si="35"/>
        <v>1.6133733151460519E-2</v>
      </c>
      <c r="K63" s="2"/>
      <c r="L63" s="6">
        <f t="shared" si="36"/>
        <v>-740.66</v>
      </c>
      <c r="M63" s="2"/>
      <c r="N63" s="7">
        <f t="shared" si="37"/>
        <v>-1</v>
      </c>
      <c r="O63" s="11"/>
      <c r="P63" s="6">
        <v>1401.76</v>
      </c>
      <c r="Q63" s="2"/>
      <c r="R63" s="7">
        <f t="shared" si="38"/>
        <v>2.9625620633039252E-3</v>
      </c>
      <c r="S63" s="2"/>
      <c r="T63" s="6">
        <v>889.2</v>
      </c>
      <c r="U63" s="2"/>
      <c r="V63" s="7">
        <f t="shared" si="39"/>
        <v>1.4832804418414198E-3</v>
      </c>
      <c r="W63" s="2"/>
      <c r="X63" s="6">
        <f t="shared" si="40"/>
        <v>512.55999999999995</v>
      </c>
      <c r="Y63" s="2"/>
      <c r="Z63" s="7">
        <f t="shared" si="41"/>
        <v>0.57642825011246057</v>
      </c>
    </row>
    <row r="64" spans="1:26" s="27" customFormat="1" outlineLevel="1" collapsed="1" x14ac:dyDescent="0.25">
      <c r="A64" s="25"/>
      <c r="B64" s="13" t="str">
        <f>CONCATENATE("     ","Royalty &amp; Commissions                             ")</f>
        <v xml:space="preserve">     Royalty &amp; Commissions                             </v>
      </c>
      <c r="C64" s="13"/>
      <c r="D64" s="1">
        <f>SUM(OSRRefD22_9x_0)</f>
        <v>0</v>
      </c>
      <c r="E64" s="1"/>
      <c r="F64" s="5">
        <f t="shared" ref="F64:F71" si="42">IF(D$12=0,0,D64/D$12)</f>
        <v>0</v>
      </c>
      <c r="G64" s="1"/>
      <c r="H64" s="1">
        <f>SUM(OSRRefH22_9x_0)</f>
        <v>7411.82</v>
      </c>
      <c r="I64" s="1"/>
      <c r="J64" s="5">
        <f t="shared" ref="J64:J71" si="43">IF(H$12=0,0,H64/H$12)</f>
        <v>0.161451038326166</v>
      </c>
      <c r="K64" s="1"/>
      <c r="L64" s="1">
        <f t="shared" ref="L64:L71" si="44">+D64-H64</f>
        <v>-7411.82</v>
      </c>
      <c r="M64" s="1"/>
      <c r="N64" s="5">
        <f t="shared" ref="N64:N71" si="45">IF(H64=0,0,L64/H64)</f>
        <v>-1</v>
      </c>
      <c r="O64" s="13"/>
      <c r="P64" s="1">
        <f>SUM(OSRRefP22_9x_0)</f>
        <v>82607.740000000005</v>
      </c>
      <c r="Q64" s="1"/>
      <c r="R64" s="5">
        <f t="shared" ref="R64:R71" si="46">IF(P$12=0,0,P64/P$12)</f>
        <v>0.17458805834042504</v>
      </c>
      <c r="S64" s="1"/>
      <c r="T64" s="1">
        <f>SUM(OSRRefT22_9x_0)</f>
        <v>110250.73</v>
      </c>
      <c r="U64" s="1"/>
      <c r="V64" s="5">
        <f t="shared" ref="V64:V71" si="47">IF(T$12=0,0,T64/T$12)</f>
        <v>0.18390997695427247</v>
      </c>
      <c r="W64" s="1"/>
      <c r="X64" s="1">
        <f t="shared" ref="X64:X71" si="48">+P64-T64</f>
        <v>-27642.989999999991</v>
      </c>
      <c r="Y64" s="1"/>
      <c r="Z64" s="5">
        <f t="shared" ref="Z64:Z71" si="49">IF(T64=0,0,X64/T64)</f>
        <v>-0.25072840787539447</v>
      </c>
    </row>
    <row r="65" spans="1:26" s="24" customFormat="1" hidden="1" outlineLevel="2" x14ac:dyDescent="0.25">
      <c r="A65" s="26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42"/>
        <v>0</v>
      </c>
      <c r="G65" s="2"/>
      <c r="H65" s="6">
        <v>7411.82</v>
      </c>
      <c r="I65" s="2"/>
      <c r="J65" s="7">
        <f t="shared" si="43"/>
        <v>0.161451038326166</v>
      </c>
      <c r="K65" s="2"/>
      <c r="L65" s="6">
        <f t="shared" si="44"/>
        <v>-7411.82</v>
      </c>
      <c r="M65" s="2"/>
      <c r="N65" s="7">
        <f t="shared" si="45"/>
        <v>-1</v>
      </c>
      <c r="O65" s="11"/>
      <c r="P65" s="6">
        <v>82607.740000000005</v>
      </c>
      <c r="Q65" s="2"/>
      <c r="R65" s="7">
        <f t="shared" si="46"/>
        <v>0.17458805834042504</v>
      </c>
      <c r="S65" s="2"/>
      <c r="T65" s="6">
        <v>110250.73</v>
      </c>
      <c r="U65" s="2"/>
      <c r="V65" s="7">
        <f t="shared" si="47"/>
        <v>0.18390997695427247</v>
      </c>
      <c r="W65" s="2"/>
      <c r="X65" s="6">
        <f t="shared" si="48"/>
        <v>-27642.989999999991</v>
      </c>
      <c r="Y65" s="2"/>
      <c r="Z65" s="7">
        <f t="shared" si="49"/>
        <v>-0.25072840787539447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117</v>
      </c>
      <c r="E66" s="1"/>
      <c r="F66" s="5">
        <f t="shared" si="42"/>
        <v>3.9578505826835579E-2</v>
      </c>
      <c r="G66" s="1"/>
      <c r="H66" s="1">
        <f>SUM(OSRRefH22_10x_0)</f>
        <v>6040.63</v>
      </c>
      <c r="I66" s="1"/>
      <c r="J66" s="5">
        <f t="shared" si="43"/>
        <v>0.1315825243522088</v>
      </c>
      <c r="K66" s="1"/>
      <c r="L66" s="1">
        <f t="shared" si="44"/>
        <v>-5923.63</v>
      </c>
      <c r="M66" s="1"/>
      <c r="N66" s="5">
        <f t="shared" si="45"/>
        <v>-0.9806311593327186</v>
      </c>
      <c r="O66" s="13"/>
      <c r="P66" s="1">
        <f>SUM(OSRRefP22_10x_0)</f>
        <v>40780.39</v>
      </c>
      <c r="Q66" s="1"/>
      <c r="R66" s="5">
        <f t="shared" si="46"/>
        <v>8.6187675736744351E-2</v>
      </c>
      <c r="S66" s="1"/>
      <c r="T66" s="1">
        <f>SUM(OSRRefT22_10x_0)</f>
        <v>51098.039999999994</v>
      </c>
      <c r="U66" s="1"/>
      <c r="V66" s="5">
        <f t="shared" si="47"/>
        <v>8.523698082369606E-2</v>
      </c>
      <c r="W66" s="1"/>
      <c r="X66" s="1">
        <f t="shared" si="48"/>
        <v>-10317.649999999994</v>
      </c>
      <c r="Y66" s="1"/>
      <c r="Z66" s="5">
        <f t="shared" si="49"/>
        <v>-0.20191870373110193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2"/>
        <v>0</v>
      </c>
      <c r="G67" s="2"/>
      <c r="H67" s="6"/>
      <c r="I67" s="2"/>
      <c r="J67" s="7">
        <f t="shared" si="43"/>
        <v>0</v>
      </c>
      <c r="K67" s="2"/>
      <c r="L67" s="6">
        <f t="shared" si="44"/>
        <v>0</v>
      </c>
      <c r="M67" s="2"/>
      <c r="N67" s="7">
        <f t="shared" si="45"/>
        <v>0</v>
      </c>
      <c r="O67" s="11"/>
      <c r="P67" s="6">
        <v>1017.27</v>
      </c>
      <c r="Q67" s="2"/>
      <c r="R67" s="7">
        <f t="shared" si="46"/>
        <v>2.1499582739821252E-3</v>
      </c>
      <c r="S67" s="2"/>
      <c r="T67" s="6">
        <v>856.68</v>
      </c>
      <c r="U67" s="2"/>
      <c r="V67" s="7">
        <f t="shared" si="47"/>
        <v>1.4290336132666524E-3</v>
      </c>
      <c r="W67" s="2"/>
      <c r="X67" s="6">
        <f t="shared" si="48"/>
        <v>160.59000000000003</v>
      </c>
      <c r="Y67" s="2"/>
      <c r="Z67" s="7">
        <f t="shared" si="49"/>
        <v>0.18745622636223566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42"/>
        <v>0</v>
      </c>
      <c r="G68" s="2"/>
      <c r="H68" s="6"/>
      <c r="I68" s="2"/>
      <c r="J68" s="7">
        <f t="shared" si="43"/>
        <v>0</v>
      </c>
      <c r="K68" s="2"/>
      <c r="L68" s="6">
        <f t="shared" si="44"/>
        <v>0</v>
      </c>
      <c r="M68" s="2"/>
      <c r="N68" s="7">
        <f t="shared" si="45"/>
        <v>0</v>
      </c>
      <c r="O68" s="11"/>
      <c r="P68" s="6">
        <v>1578.06</v>
      </c>
      <c r="Q68" s="2"/>
      <c r="R68" s="7">
        <f t="shared" si="46"/>
        <v>3.3351648567639196E-3</v>
      </c>
      <c r="S68" s="2"/>
      <c r="T68" s="6">
        <v>36.909999999999997</v>
      </c>
      <c r="U68" s="2"/>
      <c r="V68" s="7">
        <f t="shared" si="47"/>
        <v>6.1569816811028787E-5</v>
      </c>
      <c r="W68" s="2"/>
      <c r="X68" s="6">
        <f t="shared" si="48"/>
        <v>1541.1499999999999</v>
      </c>
      <c r="Y68" s="2"/>
      <c r="Z68" s="7">
        <f t="shared" si="49"/>
        <v>41.754267136277434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50.85</v>
      </c>
      <c r="E69" s="2"/>
      <c r="F69" s="7">
        <f t="shared" si="42"/>
        <v>1.7201427532432388E-2</v>
      </c>
      <c r="G69" s="2"/>
      <c r="H69" s="6">
        <v>3035.13</v>
      </c>
      <c r="I69" s="2"/>
      <c r="J69" s="7">
        <f t="shared" si="43"/>
        <v>6.6113976048378972E-2</v>
      </c>
      <c r="K69" s="2"/>
      <c r="L69" s="6">
        <f t="shared" si="44"/>
        <v>-2984.28</v>
      </c>
      <c r="M69" s="2"/>
      <c r="N69" s="7">
        <f t="shared" si="45"/>
        <v>-0.98324618714849121</v>
      </c>
      <c r="O69" s="11"/>
      <c r="P69" s="6">
        <v>17939.21</v>
      </c>
      <c r="Q69" s="2"/>
      <c r="R69" s="7">
        <f t="shared" si="46"/>
        <v>3.7913781953859721E-2</v>
      </c>
      <c r="S69" s="2"/>
      <c r="T69" s="6">
        <v>34120.870000000003</v>
      </c>
      <c r="U69" s="2"/>
      <c r="V69" s="7">
        <f t="shared" si="47"/>
        <v>5.6917250483146255E-2</v>
      </c>
      <c r="W69" s="2"/>
      <c r="X69" s="6">
        <f t="shared" si="48"/>
        <v>-16181.660000000003</v>
      </c>
      <c r="Y69" s="2"/>
      <c r="Z69" s="7">
        <f t="shared" si="49"/>
        <v>-0.47424523466136714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>
        <v>66.150000000000006</v>
      </c>
      <c r="E70" s="2"/>
      <c r="F70" s="7">
        <f t="shared" si="42"/>
        <v>2.2377078294403194E-2</v>
      </c>
      <c r="G70" s="2"/>
      <c r="H70" s="6">
        <v>2574.83</v>
      </c>
      <c r="I70" s="2"/>
      <c r="J70" s="7">
        <f t="shared" si="43"/>
        <v>5.6087300691781777E-2</v>
      </c>
      <c r="K70" s="2"/>
      <c r="L70" s="6">
        <f t="shared" si="44"/>
        <v>-2508.6799999999998</v>
      </c>
      <c r="M70" s="2"/>
      <c r="N70" s="7">
        <f t="shared" si="45"/>
        <v>-0.97430898350570716</v>
      </c>
      <c r="O70" s="11"/>
      <c r="P70" s="6">
        <v>5894.17</v>
      </c>
      <c r="Q70" s="2"/>
      <c r="R70" s="7">
        <f t="shared" si="46"/>
        <v>1.2457085689892776E-2</v>
      </c>
      <c r="S70" s="2"/>
      <c r="T70" s="6">
        <v>11201.63</v>
      </c>
      <c r="U70" s="2"/>
      <c r="V70" s="7">
        <f t="shared" si="47"/>
        <v>1.8685513602951082E-2</v>
      </c>
      <c r="W70" s="2"/>
      <c r="X70" s="6">
        <f t="shared" si="48"/>
        <v>-5307.4599999999991</v>
      </c>
      <c r="Y70" s="2"/>
      <c r="Z70" s="7">
        <f t="shared" si="49"/>
        <v>-0.47381140066222499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42"/>
        <v>0</v>
      </c>
      <c r="G71" s="2"/>
      <c r="H71" s="6">
        <v>430.67</v>
      </c>
      <c r="I71" s="2"/>
      <c r="J71" s="7">
        <f t="shared" si="43"/>
        <v>9.3812476120480413E-3</v>
      </c>
      <c r="K71" s="2"/>
      <c r="L71" s="6">
        <f t="shared" si="44"/>
        <v>-430.67</v>
      </c>
      <c r="M71" s="2"/>
      <c r="N71" s="7">
        <f t="shared" si="45"/>
        <v>-1</v>
      </c>
      <c r="O71" s="11"/>
      <c r="P71" s="6">
        <v>14351.68</v>
      </c>
      <c r="Q71" s="2"/>
      <c r="R71" s="7">
        <f t="shared" si="46"/>
        <v>3.0331684962245805E-2</v>
      </c>
      <c r="S71" s="2"/>
      <c r="T71" s="6">
        <v>4881.95</v>
      </c>
      <c r="U71" s="2"/>
      <c r="V71" s="7">
        <f t="shared" si="47"/>
        <v>8.1436133075210512E-3</v>
      </c>
      <c r="W71" s="2"/>
      <c r="X71" s="6">
        <f t="shared" si="48"/>
        <v>9469.73</v>
      </c>
      <c r="Y71" s="2"/>
      <c r="Z71" s="7">
        <f t="shared" si="49"/>
        <v>1.9397433402636242</v>
      </c>
    </row>
    <row r="72" spans="1:26" s="27" customFormat="1" outlineLevel="1" collapsed="1" x14ac:dyDescent="0.25">
      <c r="A72" s="25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SUM(OSRRefD22_11x_0)</f>
        <v>151.6</v>
      </c>
      <c r="E72" s="1"/>
      <c r="F72" s="5">
        <f t="shared" ref="F72:F75" si="50">IF(D$12=0,0,D72/D$12)</f>
        <v>5.1282918661096355E-2</v>
      </c>
      <c r="G72" s="1"/>
      <c r="H72" s="1">
        <f>SUM(OSRRefH22_11x_0)</f>
        <v>138.5</v>
      </c>
      <c r="I72" s="1"/>
      <c r="J72" s="5">
        <f t="shared" ref="J72:J75" si="51">IF(H$12=0,0,H72/H$12)</f>
        <v>3.0169336017569224E-3</v>
      </c>
      <c r="K72" s="1"/>
      <c r="L72" s="1">
        <f t="shared" ref="L72:L75" si="52">+D72-H72</f>
        <v>13.099999999999994</v>
      </c>
      <c r="M72" s="1"/>
      <c r="N72" s="5">
        <f t="shared" ref="N72:N75" si="53">IF(H72=0,0,L72/H72)</f>
        <v>9.458483754512631E-2</v>
      </c>
      <c r="O72" s="13"/>
      <c r="P72" s="1">
        <f>SUM(OSRRefP22_11x_0)</f>
        <v>1599.7</v>
      </c>
      <c r="Q72" s="1"/>
      <c r="R72" s="5">
        <f t="shared" ref="R72:R75" si="54">IF(P$12=0,0,P72/P$12)</f>
        <v>3.3809001060575916E-3</v>
      </c>
      <c r="S72" s="1"/>
      <c r="T72" s="1">
        <f>SUM(OSRRefT22_11x_0)</f>
        <v>1802.18</v>
      </c>
      <c r="U72" s="1"/>
      <c r="V72" s="5">
        <f t="shared" ref="V72:V75" si="55">IF(T$12=0,0,T72/T$12)</f>
        <v>3.0062284600514732E-3</v>
      </c>
      <c r="W72" s="1"/>
      <c r="X72" s="1">
        <f t="shared" ref="X72:X75" si="56">+P72-T72</f>
        <v>-202.48000000000002</v>
      </c>
      <c r="Y72" s="1"/>
      <c r="Z72" s="5">
        <f t="shared" ref="Z72:Z75" si="57">IF(T72=0,0,X72/T72)</f>
        <v>-0.11235281714368155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151.6</v>
      </c>
      <c r="E73" s="2"/>
      <c r="F73" s="7">
        <f t="shared" si="50"/>
        <v>5.1282918661096355E-2</v>
      </c>
      <c r="G73" s="2"/>
      <c r="H73" s="6">
        <v>138.5</v>
      </c>
      <c r="I73" s="2"/>
      <c r="J73" s="7">
        <f t="shared" si="51"/>
        <v>3.0169336017569224E-3</v>
      </c>
      <c r="K73" s="2"/>
      <c r="L73" s="6">
        <f t="shared" si="52"/>
        <v>13.099999999999994</v>
      </c>
      <c r="M73" s="2"/>
      <c r="N73" s="7">
        <f t="shared" si="53"/>
        <v>9.458483754512631E-2</v>
      </c>
      <c r="O73" s="11"/>
      <c r="P73" s="6">
        <v>1599.7</v>
      </c>
      <c r="Q73" s="2"/>
      <c r="R73" s="7">
        <f t="shared" si="54"/>
        <v>3.3809001060575916E-3</v>
      </c>
      <c r="S73" s="2"/>
      <c r="T73" s="6">
        <v>1802.18</v>
      </c>
      <c r="U73" s="2"/>
      <c r="V73" s="7">
        <f t="shared" si="55"/>
        <v>3.0062284600514732E-3</v>
      </c>
      <c r="W73" s="2"/>
      <c r="X73" s="6">
        <f t="shared" si="56"/>
        <v>-202.48000000000002</v>
      </c>
      <c r="Y73" s="2"/>
      <c r="Z73" s="7">
        <f t="shared" si="57"/>
        <v>-0.11235281714368155</v>
      </c>
    </row>
    <row r="74" spans="1:26" s="27" customFormat="1" outlineLevel="1" collapsed="1" x14ac:dyDescent="0.25">
      <c r="A74" s="25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SUM(OSRRefD22_12x_0)</f>
        <v>0</v>
      </c>
      <c r="E74" s="1"/>
      <c r="F74" s="5">
        <f t="shared" si="50"/>
        <v>0</v>
      </c>
      <c r="G74" s="1"/>
      <c r="H74" s="1">
        <f>SUM(OSRRefH22_12x_0)</f>
        <v>0</v>
      </c>
      <c r="I74" s="1"/>
      <c r="J74" s="5">
        <f t="shared" si="51"/>
        <v>0</v>
      </c>
      <c r="K74" s="1"/>
      <c r="L74" s="1">
        <f t="shared" si="52"/>
        <v>0</v>
      </c>
      <c r="M74" s="1"/>
      <c r="N74" s="5">
        <f t="shared" si="53"/>
        <v>0</v>
      </c>
      <c r="O74" s="13"/>
      <c r="P74" s="1">
        <f>SUM(OSRRefP22_12x_0)</f>
        <v>97.71</v>
      </c>
      <c r="Q74" s="1"/>
      <c r="R74" s="5">
        <f t="shared" si="54"/>
        <v>2.0650606323866178E-4</v>
      </c>
      <c r="S74" s="1"/>
      <c r="T74" s="1">
        <f>SUM(OSRRefT22_12x_0)</f>
        <v>0</v>
      </c>
      <c r="U74" s="1"/>
      <c r="V74" s="5">
        <f t="shared" si="55"/>
        <v>0</v>
      </c>
      <c r="W74" s="1"/>
      <c r="X74" s="1">
        <f t="shared" si="56"/>
        <v>97.71</v>
      </c>
      <c r="Y74" s="1"/>
      <c r="Z74" s="5">
        <f t="shared" si="57"/>
        <v>0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50"/>
        <v>0</v>
      </c>
      <c r="G75" s="2"/>
      <c r="H75" s="6"/>
      <c r="I75" s="2"/>
      <c r="J75" s="7">
        <f t="shared" si="51"/>
        <v>0</v>
      </c>
      <c r="K75" s="2"/>
      <c r="L75" s="6">
        <f t="shared" si="52"/>
        <v>0</v>
      </c>
      <c r="M75" s="2"/>
      <c r="N75" s="7">
        <f t="shared" si="53"/>
        <v>0</v>
      </c>
      <c r="O75" s="11"/>
      <c r="P75" s="6">
        <v>97.71</v>
      </c>
      <c r="Q75" s="2"/>
      <c r="R75" s="7">
        <f t="shared" si="54"/>
        <v>2.0650606323866178E-4</v>
      </c>
      <c r="S75" s="2"/>
      <c r="T75" s="6"/>
      <c r="U75" s="2"/>
      <c r="V75" s="7">
        <f t="shared" si="55"/>
        <v>0</v>
      </c>
      <c r="W75" s="2"/>
      <c r="X75" s="6">
        <f t="shared" si="56"/>
        <v>97.71</v>
      </c>
      <c r="Y75" s="2"/>
      <c r="Z75" s="7">
        <f t="shared" si="57"/>
        <v>0</v>
      </c>
    </row>
    <row r="76" spans="1:26" s="58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8" t="s">
        <v>0</v>
      </c>
      <c r="C77" s="10"/>
      <c r="D77" s="4">
        <f>SUM(OSRRefD25x_0)</f>
        <v>13269</v>
      </c>
      <c r="E77" s="4"/>
      <c r="F77" s="12">
        <f t="shared" ref="F77:F78" si="58">IF(D$12=0,0,D77/D$12)</f>
        <v>4.4886084941562503</v>
      </c>
      <c r="G77" s="4"/>
      <c r="H77" s="4">
        <f>SUM(OSRRefH25x_0)</f>
        <v>12793.74</v>
      </c>
      <c r="I77" s="4"/>
      <c r="J77" s="12">
        <f t="shared" ref="J77:J78" si="59">IF(H$12=0,0,H77/H$12)</f>
        <v>0.27868493933676247</v>
      </c>
      <c r="K77" s="4"/>
      <c r="L77" s="4">
        <f t="shared" ref="L77:L78" si="60">+D77-H77</f>
        <v>475.26000000000022</v>
      </c>
      <c r="M77" s="4"/>
      <c r="N77" s="12">
        <f t="shared" ref="N77:N78" si="61">IF(H77=0,0,L77/H77)</f>
        <v>3.7147855122896062E-2</v>
      </c>
      <c r="O77" s="10"/>
      <c r="P77" s="4">
        <f>SUM(OSRRefP25x_0)</f>
        <v>144632.1</v>
      </c>
      <c r="Q77" s="4"/>
      <c r="R77" s="12">
        <f t="shared" ref="R77:R78" si="62">IF(P$12=0,0,P77/P$12)</f>
        <v>0.3056739902665076</v>
      </c>
      <c r="S77" s="4"/>
      <c r="T77" s="4">
        <f>SUM(OSRRefT25x_0)</f>
        <v>140018.35999999999</v>
      </c>
      <c r="U77" s="4"/>
      <c r="V77" s="12">
        <f t="shared" ref="V77:V78" si="63">IF(T$12=0,0,T77/T$12)</f>
        <v>0.23356555880196914</v>
      </c>
      <c r="W77" s="4"/>
      <c r="X77" s="4">
        <f t="shared" ref="X77:X78" si="64">+P77-T77</f>
        <v>4613.7400000000198</v>
      </c>
      <c r="Y77" s="4"/>
      <c r="Z77" s="12">
        <f t="shared" ref="Z77:Z78" si="65">IF(T77=0,0,X77/T77)</f>
        <v>3.2950964430664809E-2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--13269</f>
        <v>13269</v>
      </c>
      <c r="E78" s="2"/>
      <c r="F78" s="19">
        <f t="shared" si="58"/>
        <v>4.4886084941562503</v>
      </c>
      <c r="G78" s="2"/>
      <c r="H78" s="2">
        <f>--12793.74</f>
        <v>12793.74</v>
      </c>
      <c r="I78" s="2"/>
      <c r="J78" s="19">
        <f t="shared" si="59"/>
        <v>0.27868493933676247</v>
      </c>
      <c r="K78" s="2"/>
      <c r="L78" s="2">
        <f t="shared" si="60"/>
        <v>475.26000000000022</v>
      </c>
      <c r="M78" s="2"/>
      <c r="N78" s="19">
        <f t="shared" si="61"/>
        <v>3.7147855122896062E-2</v>
      </c>
      <c r="O78" s="11"/>
      <c r="P78" s="2">
        <f>--144632.1</f>
        <v>144632.1</v>
      </c>
      <c r="Q78" s="2"/>
      <c r="R78" s="19">
        <f t="shared" si="62"/>
        <v>0.3056739902665076</v>
      </c>
      <c r="S78" s="2"/>
      <c r="T78" s="2">
        <f>--140018.36</f>
        <v>140018.35999999999</v>
      </c>
      <c r="U78" s="2"/>
      <c r="V78" s="19">
        <f t="shared" si="63"/>
        <v>0.23356555880196914</v>
      </c>
      <c r="W78" s="2"/>
      <c r="X78" s="2">
        <f t="shared" si="64"/>
        <v>4613.7400000000198</v>
      </c>
      <c r="Y78" s="2"/>
      <c r="Z78" s="19">
        <f t="shared" si="65"/>
        <v>3.2950964430664809E-2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1">
        <f>+D31-D33+D77</f>
        <v>-1398.7899999999991</v>
      </c>
      <c r="E80" s="14"/>
      <c r="F80" s="20">
        <f>IF(D$12=0,0,D80/D$12)</f>
        <v>-0.47317964244033589</v>
      </c>
      <c r="G80" s="14"/>
      <c r="H80" s="21">
        <f>+H31-H33+H77</f>
        <v>10027.460000000001</v>
      </c>
      <c r="I80" s="14"/>
      <c r="J80" s="20">
        <f>IF(H$12=0,0,H80/H$12)</f>
        <v>0.21842729974204672</v>
      </c>
      <c r="K80" s="16"/>
      <c r="L80" s="21">
        <f>+D80-H80</f>
        <v>-11426.25</v>
      </c>
      <c r="M80" s="16"/>
      <c r="N80" s="20">
        <f>IF(H80=0,0,L80/H80)</f>
        <v>-1.1394959441373986</v>
      </c>
      <c r="O80" s="28"/>
      <c r="P80" s="21">
        <f>+P31-P33+P77</f>
        <v>146025.97999999995</v>
      </c>
      <c r="Q80" s="14"/>
      <c r="R80" s="20">
        <f>IF(P$12=0,0,P80/P$12)</f>
        <v>0.30861989827415365</v>
      </c>
      <c r="S80" s="14"/>
      <c r="T80" s="21">
        <f>+T31-T33+T77</f>
        <v>214066.99999999988</v>
      </c>
      <c r="U80" s="14"/>
      <c r="V80" s="20">
        <f>IF(T$12=0,0,T80/T$12)</f>
        <v>0.35708658833070966</v>
      </c>
      <c r="W80" s="16"/>
      <c r="X80" s="21">
        <f>+P80-T80</f>
        <v>-68041.019999999931</v>
      </c>
      <c r="Y80" s="16"/>
      <c r="Z80" s="20">
        <f>IF(T80=0,0,X80/T80)</f>
        <v>-0.31784917806107421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2641.24</v>
      </c>
      <c r="E82" s="4"/>
      <c r="F82" s="12">
        <f>IF(D$12=0,0,D82/D$12)</f>
        <v>0.89347292931684785</v>
      </c>
      <c r="G82" s="4"/>
      <c r="H82" s="4">
        <v>4806.07</v>
      </c>
      <c r="I82" s="4"/>
      <c r="J82" s="12">
        <f>IF(H$12=0,0,H82/H$12)</f>
        <v>0.10469020993065625</v>
      </c>
      <c r="K82" s="4"/>
      <c r="L82" s="4">
        <f>+D82-H82</f>
        <v>-2164.83</v>
      </c>
      <c r="M82" s="4"/>
      <c r="N82" s="12">
        <f>IF(H82=0,0,L82/H82)</f>
        <v>-0.45043663533822853</v>
      </c>
      <c r="O82" s="10"/>
      <c r="P82" s="4">
        <v>56029.299999999996</v>
      </c>
      <c r="Q82" s="4"/>
      <c r="R82" s="12">
        <f>IF(P$12=0,0,P82/P$12)</f>
        <v>0.11841561937384046</v>
      </c>
      <c r="S82" s="4"/>
      <c r="T82" s="4">
        <v>62354.87</v>
      </c>
      <c r="U82" s="4"/>
      <c r="V82" s="12">
        <f>IF(T$12=0,0,T82/T$12)</f>
        <v>0.10401457391426484</v>
      </c>
      <c r="W82" s="4"/>
      <c r="X82" s="4">
        <f>+P82-T82</f>
        <v>-6325.570000000007</v>
      </c>
      <c r="Y82" s="4"/>
      <c r="Z82" s="12">
        <f>IF(T82=0,0,X82/T82)</f>
        <v>-0.10144468266873151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-4040.0299999999988</v>
      </c>
      <c r="E84" s="14"/>
      <c r="F84" s="32">
        <f>IF(D$12=0,0,D84/D$12)</f>
        <v>-1.3666525717571838</v>
      </c>
      <c r="G84" s="14"/>
      <c r="H84" s="35">
        <f>+H80-H82</f>
        <v>5221.3900000000012</v>
      </c>
      <c r="I84" s="14"/>
      <c r="J84" s="32">
        <f>IF(H$12=0,0,H84/H$12)</f>
        <v>0.11373708981139047</v>
      </c>
      <c r="K84" s="16"/>
      <c r="L84" s="35">
        <f>D84-H84</f>
        <v>-9261.42</v>
      </c>
      <c r="M84" s="16"/>
      <c r="N84" s="32">
        <f>IF(H84=0,0,L84/H84)</f>
        <v>-1.773746071448407</v>
      </c>
      <c r="O84" s="28"/>
      <c r="P84" s="35">
        <f>+P80-P82</f>
        <v>89996.679999999964</v>
      </c>
      <c r="Q84" s="14"/>
      <c r="R84" s="32">
        <f>IF(P$12=0,0,P84/P$12)</f>
        <v>0.19020427890031319</v>
      </c>
      <c r="S84" s="14"/>
      <c r="T84" s="35">
        <f>+T80-T82</f>
        <v>151712.12999999989</v>
      </c>
      <c r="U84" s="14"/>
      <c r="V84" s="32">
        <f>IF(T$12=0,0,T84/T$12)</f>
        <v>0.25307201441644483</v>
      </c>
      <c r="W84" s="16"/>
      <c r="X84" s="35">
        <f>P84-T84</f>
        <v>-61715.449999999924</v>
      </c>
      <c r="Y84" s="16"/>
      <c r="Z84" s="32">
        <f>IF(T84=0,0,X84/T84)</f>
        <v>-0.40679311535603624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6">
        <f>SUM(D84:D86)</f>
        <v>-4040.0299999999988</v>
      </c>
      <c r="E87" s="14"/>
      <c r="F87" s="33">
        <f>IF(D$12=0,0,D87/D$12)</f>
        <v>-1.3666525717571838</v>
      </c>
      <c r="G87" s="14"/>
      <c r="H87" s="36">
        <f>SUM(H84:H86)</f>
        <v>5221.3900000000012</v>
      </c>
      <c r="I87" s="14"/>
      <c r="J87" s="33">
        <f>IF(H$12=0,0,H87/H$12)</f>
        <v>0.11373708981139047</v>
      </c>
      <c r="K87" s="16"/>
      <c r="L87" s="36">
        <f>+D87-H87</f>
        <v>-9261.42</v>
      </c>
      <c r="M87" s="16"/>
      <c r="N87" s="33">
        <f>IF(H87=0,0,L87/H87)</f>
        <v>-1.773746071448407</v>
      </c>
      <c r="O87" s="28"/>
      <c r="P87" s="36">
        <f>SUM(P84:P86)</f>
        <v>89996.679999999964</v>
      </c>
      <c r="Q87" s="14"/>
      <c r="R87" s="33">
        <f>IF(P$12=0,0,P87/P$12)</f>
        <v>0.19020427890031319</v>
      </c>
      <c r="S87" s="14"/>
      <c r="T87" s="36">
        <f>SUM(T84:T86)</f>
        <v>151712.12999999989</v>
      </c>
      <c r="U87" s="14"/>
      <c r="V87" s="33">
        <f>IF(T$12=0,0,T87/T$12)</f>
        <v>0.25307201441644483</v>
      </c>
      <c r="W87" s="16"/>
      <c r="X87" s="36">
        <f>+P87-T87</f>
        <v>-61715.449999999924</v>
      </c>
      <c r="Y87" s="16"/>
      <c r="Z87" s="33">
        <f>IF(T87=0,0,X87/T87)</f>
        <v>-0.40679311535603624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5">
        <v>43992.375616238423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2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13581.800000000001</v>
      </c>
      <c r="E12" s="4"/>
      <c r="F12" s="12"/>
      <c r="G12" s="4"/>
      <c r="H12" s="4">
        <f>SUM(OSRRefH13x_0)</f>
        <v>94593.549999999988</v>
      </c>
      <c r="I12" s="4"/>
      <c r="J12" s="12"/>
      <c r="K12" s="4"/>
      <c r="L12" s="4">
        <f t="shared" ref="L12:L18" si="0">+D12-H12</f>
        <v>-81011.749999999985</v>
      </c>
      <c r="M12" s="4"/>
      <c r="N12" s="12">
        <f t="shared" ref="N12:N18" si="1">IF(H12=0,0,L12/H12)</f>
        <v>-0.85641938588836131</v>
      </c>
      <c r="O12" s="10"/>
      <c r="P12" s="4">
        <f>SUM(OSRRefP13x_0)</f>
        <v>35213.780000000006</v>
      </c>
      <c r="Q12" s="4"/>
      <c r="R12" s="12"/>
      <c r="S12" s="4"/>
      <c r="T12" s="4">
        <f>SUM(OSRRefT13x_0)</f>
        <v>216534.87</v>
      </c>
      <c r="U12" s="4"/>
      <c r="V12" s="12"/>
      <c r="W12" s="4"/>
      <c r="X12" s="4">
        <f t="shared" ref="X12:X18" si="2">+P12-T12</f>
        <v>-181321.09</v>
      </c>
      <c r="Y12" s="4"/>
      <c r="Z12" s="12">
        <f t="shared" ref="Z12:Z18" si="3">IF(T12=0,0,X12/T12)</f>
        <v>-0.83737593857284975</v>
      </c>
    </row>
    <row r="13" spans="1:26" s="24" customFormat="1" hidden="1" outlineLevel="1" x14ac:dyDescent="0.25">
      <c r="A13" s="44"/>
      <c r="B13" s="11" t="str">
        <f>CONCATENATE("          ", "4091", " - ", "TAXABLE SALES-GRAD ANNOUNCEMEN")</f>
        <v xml:space="preserve">          4091 - TAXABLE SALES-GRAD ANNOUNCEMEN</v>
      </c>
      <c r="C13" s="11"/>
      <c r="D13" s="2">
        <f>0</f>
        <v>0</v>
      </c>
      <c r="E13" s="2"/>
      <c r="F13" s="19"/>
      <c r="G13" s="2"/>
      <c r="H13" s="2">
        <f>-471.6</f>
        <v>-471.6</v>
      </c>
      <c r="I13" s="2"/>
      <c r="J13" s="19"/>
      <c r="K13" s="2"/>
      <c r="L13" s="2">
        <f t="shared" si="0"/>
        <v>471.6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--13527.29</f>
        <v>13527.29</v>
      </c>
      <c r="E14" s="2"/>
      <c r="F14" s="19"/>
      <c r="G14" s="2"/>
      <c r="H14" s="2">
        <f>--99453.88</f>
        <v>99453.88</v>
      </c>
      <c r="I14" s="2"/>
      <c r="J14" s="19"/>
      <c r="K14" s="2"/>
      <c r="L14" s="2">
        <f t="shared" si="0"/>
        <v>-85926.59</v>
      </c>
      <c r="M14" s="2"/>
      <c r="N14" s="19">
        <f t="shared" si="1"/>
        <v>-0.86398429101006413</v>
      </c>
      <c r="O14" s="11"/>
      <c r="P14" s="2">
        <f>--35393.66</f>
        <v>35393.660000000003</v>
      </c>
      <c r="Q14" s="2"/>
      <c r="R14" s="19"/>
      <c r="S14" s="2"/>
      <c r="T14" s="2">
        <f>--222472.87</f>
        <v>222472.87</v>
      </c>
      <c r="U14" s="2"/>
      <c r="V14" s="19"/>
      <c r="W14" s="2"/>
      <c r="X14" s="2">
        <f t="shared" si="2"/>
        <v>-187079.21</v>
      </c>
      <c r="Y14" s="2"/>
      <c r="Z14" s="19">
        <f t="shared" si="3"/>
        <v>-0.84090797228444081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>0</f>
        <v>0</v>
      </c>
      <c r="E15" s="2"/>
      <c r="F15" s="19"/>
      <c r="G15" s="2"/>
      <c r="H15" s="2">
        <f>--161.37</f>
        <v>161.37</v>
      </c>
      <c r="I15" s="2"/>
      <c r="J15" s="19"/>
      <c r="K15" s="2"/>
      <c r="L15" s="2">
        <f t="shared" si="0"/>
        <v>-161.37</v>
      </c>
      <c r="M15" s="2"/>
      <c r="N15" s="19">
        <f t="shared" si="1"/>
        <v>-1</v>
      </c>
      <c r="O15" s="11"/>
      <c r="P15" s="2">
        <f>--279.56</f>
        <v>279.56</v>
      </c>
      <c r="Q15" s="2"/>
      <c r="R15" s="19"/>
      <c r="S15" s="2"/>
      <c r="T15" s="2">
        <f>--2169.78</f>
        <v>2169.7800000000002</v>
      </c>
      <c r="U15" s="2"/>
      <c r="V15" s="19"/>
      <c r="W15" s="2"/>
      <c r="X15" s="2">
        <f t="shared" si="2"/>
        <v>-1890.2200000000003</v>
      </c>
      <c r="Y15" s="2"/>
      <c r="Z15" s="19">
        <f t="shared" si="3"/>
        <v>-0.87115744453354726</v>
      </c>
    </row>
    <row r="16" spans="1:26" s="24" customFormat="1" hidden="1" outlineLevel="1" x14ac:dyDescent="0.25">
      <c r="A16" s="44"/>
      <c r="B16" s="11" t="str">
        <f>CONCATENATE("          ", "4192", " - ", "NON-TAXABLE SALES-GRAD MERCH")</f>
        <v xml:space="preserve">          4192 - NON-TAXABLE SALES-GRAD MERCH</v>
      </c>
      <c r="C16" s="11"/>
      <c r="D16" s="2">
        <f>--119.4</f>
        <v>119.4</v>
      </c>
      <c r="E16" s="2"/>
      <c r="F16" s="19"/>
      <c r="G16" s="2"/>
      <c r="H16" s="2">
        <f>-0.75</f>
        <v>-0.75</v>
      </c>
      <c r="I16" s="2"/>
      <c r="J16" s="19"/>
      <c r="K16" s="2"/>
      <c r="L16" s="2">
        <f t="shared" si="0"/>
        <v>120.15</v>
      </c>
      <c r="M16" s="2"/>
      <c r="N16" s="19">
        <f t="shared" si="1"/>
        <v>-160.20000000000002</v>
      </c>
      <c r="O16" s="11"/>
      <c r="P16" s="2">
        <f>--119.4</f>
        <v>119.4</v>
      </c>
      <c r="Q16" s="2"/>
      <c r="R16" s="19"/>
      <c r="S16" s="2"/>
      <c r="T16" s="2">
        <f>--531.25</f>
        <v>531.25</v>
      </c>
      <c r="U16" s="2"/>
      <c r="V16" s="19"/>
      <c r="W16" s="2"/>
      <c r="X16" s="2">
        <f t="shared" si="2"/>
        <v>-411.85</v>
      </c>
      <c r="Y16" s="2"/>
      <c r="Z16" s="19">
        <f t="shared" si="3"/>
        <v>-0.7752470588235294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>-64.89</f>
        <v>-64.89</v>
      </c>
      <c r="E17" s="2"/>
      <c r="F17" s="19"/>
      <c r="G17" s="2"/>
      <c r="H17" s="2">
        <f>-4549.35</f>
        <v>-4549.3500000000004</v>
      </c>
      <c r="I17" s="2"/>
      <c r="J17" s="19"/>
      <c r="K17" s="2"/>
      <c r="L17" s="2">
        <f t="shared" si="0"/>
        <v>4484.46</v>
      </c>
      <c r="M17" s="2"/>
      <c r="N17" s="19">
        <f t="shared" si="1"/>
        <v>-0.98573642388473071</v>
      </c>
      <c r="O17" s="11"/>
      <c r="P17" s="2">
        <f>-578.84</f>
        <v>-578.84</v>
      </c>
      <c r="Q17" s="2"/>
      <c r="R17" s="19"/>
      <c r="S17" s="2"/>
      <c r="T17" s="2">
        <f>-8512.31</f>
        <v>-8512.31</v>
      </c>
      <c r="U17" s="2"/>
      <c r="V17" s="19"/>
      <c r="W17" s="2"/>
      <c r="X17" s="2">
        <f t="shared" si="2"/>
        <v>7933.4699999999993</v>
      </c>
      <c r="Y17" s="2"/>
      <c r="Z17" s="19">
        <f t="shared" si="3"/>
        <v>-0.93199965696738019</v>
      </c>
    </row>
    <row r="18" spans="1:26" s="24" customFormat="1" hidden="1" outlineLevel="1" x14ac:dyDescent="0.25">
      <c r="A18" s="44"/>
      <c r="B18" s="11" t="str">
        <f>CONCATENATE("          ", "4295", " - ", "SALES RETURN TAXABLE-CUSTOMER")</f>
        <v xml:space="preserve">          4295 - SALES RETURN TAXABLE-CUSTOMER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-126.72</f>
        <v>-126.72</v>
      </c>
      <c r="U18" s="2"/>
      <c r="V18" s="19"/>
      <c r="W18" s="2"/>
      <c r="X18" s="2">
        <f t="shared" si="2"/>
        <v>126.72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5155.7199999999993</v>
      </c>
      <c r="E20" s="4"/>
      <c r="F20" s="12">
        <f t="shared" ref="F20:F25" si="4">IF(D$12=0,0,D20/D$12)</f>
        <v>0.37960505971226194</v>
      </c>
      <c r="G20" s="4"/>
      <c r="H20" s="4">
        <f>SUM(OSRRefH16x_0)</f>
        <v>52762.75</v>
      </c>
      <c r="I20" s="4"/>
      <c r="J20" s="12">
        <f t="shared" ref="J20:J25" si="5">IF(H$12=0,0,H20/H$12)</f>
        <v>0.55778380238398928</v>
      </c>
      <c r="K20" s="4"/>
      <c r="L20" s="4">
        <f t="shared" ref="L20:L25" si="6">+D20-H20</f>
        <v>-47607.03</v>
      </c>
      <c r="M20" s="4"/>
      <c r="N20" s="12">
        <f t="shared" ref="N20:N25" si="7">IF(H20=0,0,L20/H20)</f>
        <v>-0.90228485058113916</v>
      </c>
      <c r="O20" s="10"/>
      <c r="P20" s="4">
        <f>SUM(OSRRefP16x_0)</f>
        <v>14627.13</v>
      </c>
      <c r="Q20" s="4"/>
      <c r="R20" s="12">
        <f t="shared" ref="R20:R25" si="8">IF(P$12=0,0,P20/P$12)</f>
        <v>0.41538085374532346</v>
      </c>
      <c r="S20" s="4"/>
      <c r="T20" s="4">
        <f>SUM(OSRRefT16x_0)</f>
        <v>99000.54</v>
      </c>
      <c r="U20" s="4"/>
      <c r="V20" s="12">
        <f t="shared" ref="V20:V25" si="9">IF(T$12=0,0,T20/T$12)</f>
        <v>0.45720368271401274</v>
      </c>
      <c r="W20" s="4"/>
      <c r="X20" s="4">
        <f t="shared" ref="X20:X25" si="10">+P20-T20</f>
        <v>-84373.409999999989</v>
      </c>
      <c r="Y20" s="4"/>
      <c r="Z20" s="12">
        <f t="shared" ref="Z20:Z25" si="11">IF(T20=0,0,X20/T20)</f>
        <v>-0.85225201801929562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-3999.6</v>
      </c>
      <c r="E21" s="2"/>
      <c r="F21" s="19">
        <f t="shared" si="4"/>
        <v>-0.29448232193081914</v>
      </c>
      <c r="G21" s="2"/>
      <c r="H21" s="2">
        <v>-10960.05</v>
      </c>
      <c r="I21" s="2"/>
      <c r="J21" s="19">
        <f t="shared" si="5"/>
        <v>-0.11586466519123133</v>
      </c>
      <c r="K21" s="2"/>
      <c r="L21" s="2">
        <f t="shared" si="6"/>
        <v>6960.4499999999989</v>
      </c>
      <c r="M21" s="2"/>
      <c r="N21" s="19">
        <f t="shared" si="7"/>
        <v>-0.63507465750612446</v>
      </c>
      <c r="O21" s="11"/>
      <c r="P21" s="2">
        <v>4546.2299999999996</v>
      </c>
      <c r="Q21" s="2"/>
      <c r="R21" s="19">
        <f t="shared" si="8"/>
        <v>0.12910372019135688</v>
      </c>
      <c r="S21" s="2"/>
      <c r="T21" s="2">
        <v>24647.41</v>
      </c>
      <c r="U21" s="2"/>
      <c r="V21" s="19">
        <f t="shared" si="9"/>
        <v>0.11382651671760766</v>
      </c>
      <c r="W21" s="2"/>
      <c r="X21" s="2">
        <f t="shared" si="10"/>
        <v>-20101.18</v>
      </c>
      <c r="Y21" s="2"/>
      <c r="Z21" s="19">
        <f t="shared" si="11"/>
        <v>-0.81554938226775142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4"/>
        <v>0</v>
      </c>
      <c r="G22" s="2"/>
      <c r="H22" s="2">
        <v>-2.16</v>
      </c>
      <c r="I22" s="2"/>
      <c r="J22" s="19">
        <f t="shared" si="5"/>
        <v>-2.2834537872825372E-5</v>
      </c>
      <c r="K22" s="2"/>
      <c r="L22" s="2">
        <f t="shared" si="6"/>
        <v>2.16</v>
      </c>
      <c r="M22" s="2"/>
      <c r="N22" s="19">
        <f t="shared" si="7"/>
        <v>-1</v>
      </c>
      <c r="O22" s="11"/>
      <c r="P22" s="2">
        <v>11.85</v>
      </c>
      <c r="Q22" s="2"/>
      <c r="R22" s="19">
        <f t="shared" si="8"/>
        <v>3.3651598891115914E-4</v>
      </c>
      <c r="S22" s="2"/>
      <c r="T22" s="2">
        <v>-75.599999999999994</v>
      </c>
      <c r="U22" s="2"/>
      <c r="V22" s="19">
        <f t="shared" si="9"/>
        <v>-3.4913545333368243E-4</v>
      </c>
      <c r="W22" s="2"/>
      <c r="X22" s="2">
        <f t="shared" si="10"/>
        <v>87.449999999999989</v>
      </c>
      <c r="Y22" s="2"/>
      <c r="Z22" s="19">
        <f t="shared" si="11"/>
        <v>-1.1567460317460316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3958</v>
      </c>
      <c r="E23" s="2"/>
      <c r="F23" s="19">
        <f t="shared" si="4"/>
        <v>0.29141939949049461</v>
      </c>
      <c r="G23" s="2"/>
      <c r="H23" s="2">
        <v>10200</v>
      </c>
      <c r="I23" s="2"/>
      <c r="J23" s="19">
        <f t="shared" si="5"/>
        <v>0.10782976217723092</v>
      </c>
      <c r="K23" s="2"/>
      <c r="L23" s="2">
        <f t="shared" si="6"/>
        <v>-6242</v>
      </c>
      <c r="M23" s="2"/>
      <c r="N23" s="19">
        <f t="shared" si="7"/>
        <v>-0.61196078431372547</v>
      </c>
      <c r="O23" s="11"/>
      <c r="P23" s="2">
        <v>-4719</v>
      </c>
      <c r="Q23" s="2"/>
      <c r="R23" s="19">
        <f t="shared" si="8"/>
        <v>-0.13401003811576034</v>
      </c>
      <c r="S23" s="2"/>
      <c r="T23" s="2">
        <v>-26914</v>
      </c>
      <c r="U23" s="2"/>
      <c r="V23" s="19">
        <f t="shared" si="9"/>
        <v>-0.12429406866432183</v>
      </c>
      <c r="W23" s="2"/>
      <c r="X23" s="2">
        <f t="shared" si="10"/>
        <v>22195</v>
      </c>
      <c r="Y23" s="2"/>
      <c r="Z23" s="19">
        <f t="shared" si="11"/>
        <v>-0.82466374377647322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5156</v>
      </c>
      <c r="E24" s="2"/>
      <c r="F24" s="19">
        <f t="shared" si="4"/>
        <v>0.37962567553637955</v>
      </c>
      <c r="G24" s="2"/>
      <c r="H24" s="2">
        <v>52763</v>
      </c>
      <c r="I24" s="2"/>
      <c r="J24" s="19">
        <f t="shared" si="5"/>
        <v>0.55778644527031718</v>
      </c>
      <c r="K24" s="2"/>
      <c r="L24" s="2">
        <f t="shared" si="6"/>
        <v>-47607</v>
      </c>
      <c r="M24" s="2"/>
      <c r="N24" s="19">
        <f t="shared" si="7"/>
        <v>-0.90228000682296305</v>
      </c>
      <c r="O24" s="11"/>
      <c r="P24" s="2">
        <v>14628</v>
      </c>
      <c r="Q24" s="2"/>
      <c r="R24" s="19">
        <f t="shared" si="8"/>
        <v>0.41540555998248407</v>
      </c>
      <c r="S24" s="2"/>
      <c r="T24" s="2">
        <v>99000</v>
      </c>
      <c r="U24" s="2"/>
      <c r="V24" s="19">
        <f t="shared" si="9"/>
        <v>0.45720118888934608</v>
      </c>
      <c r="W24" s="2"/>
      <c r="X24" s="2">
        <f t="shared" si="10"/>
        <v>-84372</v>
      </c>
      <c r="Y24" s="2"/>
      <c r="Z24" s="19">
        <f t="shared" si="11"/>
        <v>-0.85224242424242425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>
        <v>41.32</v>
      </c>
      <c r="E25" s="2"/>
      <c r="F25" s="19">
        <f t="shared" si="4"/>
        <v>3.0423066162069828E-3</v>
      </c>
      <c r="G25" s="2"/>
      <c r="H25" s="2">
        <v>761.96</v>
      </c>
      <c r="I25" s="2"/>
      <c r="J25" s="19">
        <f t="shared" si="5"/>
        <v>8.0550946655453797E-3</v>
      </c>
      <c r="K25" s="2"/>
      <c r="L25" s="2">
        <f t="shared" si="6"/>
        <v>-720.64</v>
      </c>
      <c r="M25" s="2"/>
      <c r="N25" s="19">
        <f t="shared" si="7"/>
        <v>-0.94577143157121102</v>
      </c>
      <c r="O25" s="11"/>
      <c r="P25" s="2">
        <v>160.05000000000001</v>
      </c>
      <c r="Q25" s="2"/>
      <c r="R25" s="19">
        <f t="shared" si="8"/>
        <v>4.5450956983317326E-3</v>
      </c>
      <c r="S25" s="2"/>
      <c r="T25" s="2">
        <v>2342.73</v>
      </c>
      <c r="U25" s="2"/>
      <c r="V25" s="19">
        <f t="shared" si="9"/>
        <v>1.0819181224714524E-2</v>
      </c>
      <c r="W25" s="2"/>
      <c r="X25" s="2">
        <f t="shared" si="10"/>
        <v>-2182.6799999999998</v>
      </c>
      <c r="Y25" s="2"/>
      <c r="Z25" s="19">
        <f t="shared" si="11"/>
        <v>-0.93168226812308708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1">
        <f>D12-D20</f>
        <v>8426.0800000000017</v>
      </c>
      <c r="E27" s="14"/>
      <c r="F27" s="20">
        <f>IF(D$12=0,0,D27/D$12)</f>
        <v>0.62039494028773812</v>
      </c>
      <c r="G27" s="14"/>
      <c r="H27" s="21">
        <f>H12-H20</f>
        <v>41830.799999999988</v>
      </c>
      <c r="I27" s="14"/>
      <c r="J27" s="20">
        <f>IF(H$12=0,0,H27/H$12)</f>
        <v>0.44221619761601078</v>
      </c>
      <c r="K27" s="16"/>
      <c r="L27" s="21">
        <f>+D27-H27</f>
        <v>-33404.719999999987</v>
      </c>
      <c r="M27" s="16"/>
      <c r="N27" s="20">
        <f>IF(H27=0,0,L27/H27)</f>
        <v>-0.79856756265718076</v>
      </c>
      <c r="O27" s="28"/>
      <c r="P27" s="21">
        <f>P12-P20</f>
        <v>20586.650000000009</v>
      </c>
      <c r="Q27" s="14"/>
      <c r="R27" s="20">
        <f>IF(P$12=0,0,P27/P$12)</f>
        <v>0.58461914625467659</v>
      </c>
      <c r="S27" s="14"/>
      <c r="T27" s="21">
        <f>T12-T20</f>
        <v>117534.33</v>
      </c>
      <c r="U27" s="14"/>
      <c r="V27" s="20">
        <f>IF(T$12=0,0,T27/T$12)</f>
        <v>0.54279631728598721</v>
      </c>
      <c r="W27" s="16"/>
      <c r="X27" s="21">
        <f>+P27-T27</f>
        <v>-96947.68</v>
      </c>
      <c r="Y27" s="16"/>
      <c r="Z27" s="20">
        <f>IF(T27=0,0,X27/T27)</f>
        <v>-0.82484564297086638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2">
        <f>SUM(OSRRefD22x_0)</f>
        <v>5403.85</v>
      </c>
      <c r="E29" s="22"/>
      <c r="F29" s="31">
        <f t="shared" ref="F29:F38" si="12">IF(D$12=0,0,D29/D$12)</f>
        <v>0.39787436127759207</v>
      </c>
      <c r="G29" s="22"/>
      <c r="H29" s="22">
        <f>SUM(OSRRefH22x_0)</f>
        <v>25090.68</v>
      </c>
      <c r="I29" s="22"/>
      <c r="J29" s="31">
        <f t="shared" ref="J29:J38" si="13">IF(H$12=0,0,H29/H$12)</f>
        <v>0.26524726051617686</v>
      </c>
      <c r="K29" s="4"/>
      <c r="L29" s="22">
        <f t="shared" ref="L29:L38" si="14">+D29-H29</f>
        <v>-19686.830000000002</v>
      </c>
      <c r="M29" s="4"/>
      <c r="N29" s="31">
        <f t="shared" ref="N29:N38" si="15">IF(H29=0,0,L29/H29)</f>
        <v>-0.78462720021936438</v>
      </c>
      <c r="O29" s="10"/>
      <c r="P29" s="22">
        <f>SUM(OSRRefP22x_0)</f>
        <v>6328.49</v>
      </c>
      <c r="Q29" s="22"/>
      <c r="R29" s="31">
        <f t="shared" ref="R29:R38" si="16">IF(P$12=0,0,P29/P$12)</f>
        <v>0.17971629288307017</v>
      </c>
      <c r="S29" s="22"/>
      <c r="T29" s="22">
        <f>SUM(OSRRefT22x_0)</f>
        <v>32874.480000000018</v>
      </c>
      <c r="U29" s="22"/>
      <c r="V29" s="31">
        <f t="shared" ref="V29:V38" si="17">IF(T$12=0,0,T29/T$12)</f>
        <v>0.15182072060726301</v>
      </c>
      <c r="W29" s="4"/>
      <c r="X29" s="22">
        <f t="shared" ref="X29:X38" si="18">+P29-T29</f>
        <v>-26545.99000000002</v>
      </c>
      <c r="Y29" s="4"/>
      <c r="Z29" s="31">
        <f t="shared" ref="Z29:Z38" si="19">IF(T29=0,0,X29/T29)</f>
        <v>-0.80749535810148187</v>
      </c>
    </row>
    <row r="30" spans="1:26" s="27" customFormat="1" outlineLevel="1" collapsed="1" x14ac:dyDescent="0.25">
      <c r="A30" s="25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2"/>
        <v>0</v>
      </c>
      <c r="G30" s="1"/>
      <c r="H30" s="1">
        <f>SUM(OSRRefH22_0x_0)</f>
        <v>1183.71</v>
      </c>
      <c r="I30" s="1"/>
      <c r="J30" s="5">
        <f t="shared" si="13"/>
        <v>1.2513643900667648E-2</v>
      </c>
      <c r="K30" s="1"/>
      <c r="L30" s="1">
        <f t="shared" si="14"/>
        <v>-1183.71</v>
      </c>
      <c r="M30" s="1"/>
      <c r="N30" s="5">
        <f t="shared" si="15"/>
        <v>-1</v>
      </c>
      <c r="O30" s="13"/>
      <c r="P30" s="1">
        <f>SUM(OSRRefP22_0x_0)</f>
        <v>874.44</v>
      </c>
      <c r="Q30" s="1"/>
      <c r="R30" s="5">
        <f t="shared" si="16"/>
        <v>2.4832324164006245E-2</v>
      </c>
      <c r="S30" s="1"/>
      <c r="T30" s="1">
        <f>SUM(OSRRefT22_0x_0)</f>
        <v>4325.4400000000005</v>
      </c>
      <c r="U30" s="1"/>
      <c r="V30" s="5">
        <f t="shared" si="17"/>
        <v>1.9975720307773066E-2</v>
      </c>
      <c r="W30" s="1"/>
      <c r="X30" s="1">
        <f t="shared" si="18"/>
        <v>-3451.0000000000005</v>
      </c>
      <c r="Y30" s="1"/>
      <c r="Z30" s="5">
        <f t="shared" si="19"/>
        <v>-0.79783790781978248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2"/>
        <v>0</v>
      </c>
      <c r="G31" s="2"/>
      <c r="H31" s="6">
        <v>802.02</v>
      </c>
      <c r="I31" s="2"/>
      <c r="J31" s="7">
        <f t="shared" si="13"/>
        <v>8.4785907707237984E-3</v>
      </c>
      <c r="K31" s="2"/>
      <c r="L31" s="6">
        <f t="shared" si="14"/>
        <v>-802.02</v>
      </c>
      <c r="M31" s="2"/>
      <c r="N31" s="7">
        <f t="shared" si="15"/>
        <v>-1</v>
      </c>
      <c r="O31" s="11"/>
      <c r="P31" s="6">
        <v>208.81</v>
      </c>
      <c r="Q31" s="2"/>
      <c r="R31" s="7">
        <f t="shared" si="16"/>
        <v>5.9297808982733454E-3</v>
      </c>
      <c r="S31" s="2"/>
      <c r="T31" s="6">
        <v>1438.24</v>
      </c>
      <c r="U31" s="2"/>
      <c r="V31" s="7">
        <f t="shared" si="17"/>
        <v>6.642071089981951E-3</v>
      </c>
      <c r="W31" s="2"/>
      <c r="X31" s="6">
        <f t="shared" si="18"/>
        <v>-1229.43</v>
      </c>
      <c r="Y31" s="2"/>
      <c r="Z31" s="7">
        <f t="shared" si="19"/>
        <v>-0.85481560796529099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2"/>
        <v>0</v>
      </c>
      <c r="G32" s="2"/>
      <c r="H32" s="6">
        <v>11.47</v>
      </c>
      <c r="I32" s="2"/>
      <c r="J32" s="7">
        <f t="shared" si="13"/>
        <v>1.2125562472282732E-4</v>
      </c>
      <c r="K32" s="2"/>
      <c r="L32" s="6">
        <f t="shared" si="14"/>
        <v>-11.47</v>
      </c>
      <c r="M32" s="2"/>
      <c r="N32" s="7">
        <f t="shared" si="15"/>
        <v>-1</v>
      </c>
      <c r="O32" s="11"/>
      <c r="P32" s="6">
        <v>22.05</v>
      </c>
      <c r="Q32" s="2"/>
      <c r="R32" s="7">
        <f t="shared" si="16"/>
        <v>6.26175321138486E-4</v>
      </c>
      <c r="S32" s="2"/>
      <c r="T32" s="6">
        <v>183.65</v>
      </c>
      <c r="U32" s="2"/>
      <c r="V32" s="7">
        <f t="shared" si="17"/>
        <v>8.481312963588729E-4</v>
      </c>
      <c r="W32" s="2"/>
      <c r="X32" s="6">
        <f t="shared" si="18"/>
        <v>-161.6</v>
      </c>
      <c r="Y32" s="2"/>
      <c r="Z32" s="7">
        <f t="shared" si="19"/>
        <v>-0.87993465831745166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2"/>
        <v>0</v>
      </c>
      <c r="G33" s="2"/>
      <c r="H33" s="6">
        <v>152.63</v>
      </c>
      <c r="I33" s="2"/>
      <c r="J33" s="7">
        <f t="shared" si="13"/>
        <v>1.6135349608932112E-3</v>
      </c>
      <c r="K33" s="2"/>
      <c r="L33" s="6">
        <f t="shared" si="14"/>
        <v>-152.63</v>
      </c>
      <c r="M33" s="2"/>
      <c r="N33" s="7">
        <f t="shared" si="15"/>
        <v>-1</v>
      </c>
      <c r="O33" s="11"/>
      <c r="P33" s="6">
        <v>305.26</v>
      </c>
      <c r="Q33" s="2"/>
      <c r="R33" s="7">
        <f t="shared" si="16"/>
        <v>8.6687654662464513E-3</v>
      </c>
      <c r="S33" s="2"/>
      <c r="T33" s="6">
        <v>1094.47</v>
      </c>
      <c r="U33" s="2"/>
      <c r="V33" s="7">
        <f t="shared" si="17"/>
        <v>5.0544745980174001E-3</v>
      </c>
      <c r="W33" s="2"/>
      <c r="X33" s="6">
        <f t="shared" si="18"/>
        <v>-789.21</v>
      </c>
      <c r="Y33" s="2"/>
      <c r="Z33" s="7">
        <f t="shared" si="19"/>
        <v>-0.72108874615110508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2"/>
        <v>0</v>
      </c>
      <c r="G34" s="2"/>
      <c r="H34" s="6">
        <v>2.5099999999999998</v>
      </c>
      <c r="I34" s="2"/>
      <c r="J34" s="7">
        <f t="shared" si="13"/>
        <v>2.6534578731847998E-5</v>
      </c>
      <c r="K34" s="2"/>
      <c r="L34" s="6">
        <f t="shared" si="14"/>
        <v>-2.5099999999999998</v>
      </c>
      <c r="M34" s="2"/>
      <c r="N34" s="7">
        <f t="shared" si="15"/>
        <v>-1</v>
      </c>
      <c r="O34" s="11"/>
      <c r="P34" s="6">
        <v>5</v>
      </c>
      <c r="Q34" s="2"/>
      <c r="R34" s="7">
        <f t="shared" si="16"/>
        <v>1.4198986873888573E-4</v>
      </c>
      <c r="S34" s="2"/>
      <c r="T34" s="6">
        <v>18.53</v>
      </c>
      <c r="U34" s="2"/>
      <c r="V34" s="7">
        <f t="shared" si="17"/>
        <v>8.557513161736953E-5</v>
      </c>
      <c r="W34" s="2"/>
      <c r="X34" s="6">
        <f t="shared" si="18"/>
        <v>-13.530000000000001</v>
      </c>
      <c r="Y34" s="2"/>
      <c r="Z34" s="7">
        <f t="shared" si="19"/>
        <v>-0.73016729627630872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2"/>
        <v>0</v>
      </c>
      <c r="G35" s="2"/>
      <c r="H35" s="6">
        <v>65.680000000000007</v>
      </c>
      <c r="I35" s="2"/>
      <c r="J35" s="7">
        <f t="shared" si="13"/>
        <v>6.9433909605887524E-4</v>
      </c>
      <c r="K35" s="2"/>
      <c r="L35" s="6">
        <f t="shared" si="14"/>
        <v>-65.680000000000007</v>
      </c>
      <c r="M35" s="2"/>
      <c r="N35" s="7">
        <f t="shared" si="15"/>
        <v>-1</v>
      </c>
      <c r="O35" s="11"/>
      <c r="P35" s="6">
        <v>134.12</v>
      </c>
      <c r="Q35" s="2"/>
      <c r="R35" s="7">
        <f t="shared" si="16"/>
        <v>3.8087362390518708E-3</v>
      </c>
      <c r="S35" s="2"/>
      <c r="T35" s="6">
        <v>484.93</v>
      </c>
      <c r="U35" s="2"/>
      <c r="V35" s="7">
        <f t="shared" si="17"/>
        <v>2.2395007326071778E-3</v>
      </c>
      <c r="W35" s="2"/>
      <c r="X35" s="6">
        <f t="shared" si="18"/>
        <v>-350.81</v>
      </c>
      <c r="Y35" s="2"/>
      <c r="Z35" s="7">
        <f t="shared" si="19"/>
        <v>-0.72342399934011092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6"/>
      <c r="E36" s="2"/>
      <c r="F36" s="7">
        <f t="shared" si="12"/>
        <v>0</v>
      </c>
      <c r="G36" s="2"/>
      <c r="H36" s="6">
        <v>82.98</v>
      </c>
      <c r="I36" s="2"/>
      <c r="J36" s="7">
        <f t="shared" si="13"/>
        <v>8.7722682994770805E-4</v>
      </c>
      <c r="K36" s="2"/>
      <c r="L36" s="6">
        <f t="shared" si="14"/>
        <v>-82.98</v>
      </c>
      <c r="M36" s="2"/>
      <c r="N36" s="7">
        <f t="shared" si="15"/>
        <v>-1</v>
      </c>
      <c r="O36" s="11"/>
      <c r="P36" s="6">
        <v>110.64</v>
      </c>
      <c r="Q36" s="2"/>
      <c r="R36" s="7">
        <f t="shared" si="16"/>
        <v>3.1419518154540632E-3</v>
      </c>
      <c r="S36" s="2"/>
      <c r="T36" s="6">
        <v>408.45</v>
      </c>
      <c r="U36" s="2"/>
      <c r="V36" s="7">
        <f t="shared" si="17"/>
        <v>1.8863012687055901E-3</v>
      </c>
      <c r="W36" s="2"/>
      <c r="X36" s="6">
        <f t="shared" si="18"/>
        <v>-297.81</v>
      </c>
      <c r="Y36" s="2"/>
      <c r="Z36" s="7">
        <f t="shared" si="19"/>
        <v>-0.72912229159015796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6"/>
      <c r="E37" s="2"/>
      <c r="F37" s="7">
        <f t="shared" si="12"/>
        <v>0</v>
      </c>
      <c r="G37" s="2"/>
      <c r="H37" s="6">
        <v>66.42</v>
      </c>
      <c r="I37" s="2"/>
      <c r="J37" s="7">
        <f t="shared" si="13"/>
        <v>7.0216203958938016E-4</v>
      </c>
      <c r="K37" s="2"/>
      <c r="L37" s="6">
        <f t="shared" si="14"/>
        <v>-66.42</v>
      </c>
      <c r="M37" s="2"/>
      <c r="N37" s="7">
        <f t="shared" si="15"/>
        <v>-1</v>
      </c>
      <c r="O37" s="11"/>
      <c r="P37" s="6">
        <v>88.56</v>
      </c>
      <c r="Q37" s="2"/>
      <c r="R37" s="7">
        <f t="shared" si="16"/>
        <v>2.514924555103144E-3</v>
      </c>
      <c r="S37" s="2"/>
      <c r="T37" s="6">
        <v>404.42</v>
      </c>
      <c r="U37" s="2"/>
      <c r="V37" s="7">
        <f t="shared" si="17"/>
        <v>1.8676899475821146E-3</v>
      </c>
      <c r="W37" s="2"/>
      <c r="X37" s="6">
        <f t="shared" si="18"/>
        <v>-315.86</v>
      </c>
      <c r="Y37" s="2"/>
      <c r="Z37" s="7">
        <f t="shared" si="19"/>
        <v>-0.78101973196182184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6"/>
      <c r="E38" s="2"/>
      <c r="F38" s="7">
        <f t="shared" si="12"/>
        <v>0</v>
      </c>
      <c r="G38" s="2"/>
      <c r="H38" s="6"/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292.75</v>
      </c>
      <c r="U38" s="2"/>
      <c r="V38" s="7">
        <f t="shared" si="17"/>
        <v>1.3519762429025867E-3</v>
      </c>
      <c r="W38" s="2"/>
      <c r="X38" s="6">
        <f t="shared" si="18"/>
        <v>-292.75</v>
      </c>
      <c r="Y38" s="2"/>
      <c r="Z38" s="7">
        <f t="shared" si="19"/>
        <v>-1</v>
      </c>
    </row>
    <row r="39" spans="1:26" s="27" customFormat="1" outlineLevel="1" collapsed="1" x14ac:dyDescent="0.25">
      <c r="A39" s="25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5" si="20">IF(D$12=0,0,D39/D$12)</f>
        <v>0</v>
      </c>
      <c r="G39" s="1"/>
      <c r="H39" s="1">
        <f>SUM(OSRRefH22_1x_0)</f>
        <v>19166.099999999999</v>
      </c>
      <c r="I39" s="1"/>
      <c r="J39" s="5">
        <f t="shared" ref="J39:J45" si="21">IF(H$12=0,0,H39/H$12)</f>
        <v>0.20261529459461031</v>
      </c>
      <c r="K39" s="1"/>
      <c r="L39" s="1">
        <f t="shared" ref="L39:L45" si="22">+D39-H39</f>
        <v>-19166.099999999999</v>
      </c>
      <c r="M39" s="1"/>
      <c r="N39" s="5">
        <f t="shared" ref="N39:N45" si="23">IF(H39=0,0,L39/H39)</f>
        <v>-1</v>
      </c>
      <c r="O39" s="13"/>
      <c r="P39" s="1">
        <f>SUM(OSRRefP22_1x_0)</f>
        <v>6103</v>
      </c>
      <c r="Q39" s="1"/>
      <c r="R39" s="5">
        <f t="shared" ref="R39:R45" si="24">IF(P$12=0,0,P39/P$12)</f>
        <v>0.17331283378268392</v>
      </c>
      <c r="S39" s="1"/>
      <c r="T39" s="1">
        <f>SUM(OSRRefT22_1x_0)</f>
        <v>33380.409999999996</v>
      </c>
      <c r="U39" s="1"/>
      <c r="V39" s="5">
        <f t="shared" ref="V39:V45" si="25">IF(T$12=0,0,T39/T$12)</f>
        <v>0.15415720341024056</v>
      </c>
      <c r="W39" s="1"/>
      <c r="X39" s="1">
        <f t="shared" ref="X39:X45" si="26">+P39-T39</f>
        <v>-27277.409999999996</v>
      </c>
      <c r="Y39" s="1"/>
      <c r="Z39" s="5">
        <f t="shared" ref="Z39:Z45" si="27">IF(T39=0,0,X39/T39)</f>
        <v>-0.81716821333231071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0"/>
        <v>0</v>
      </c>
      <c r="G40" s="2"/>
      <c r="H40" s="6">
        <v>1344</v>
      </c>
      <c r="I40" s="2"/>
      <c r="J40" s="7">
        <f t="shared" si="21"/>
        <v>1.4208156898646896E-2</v>
      </c>
      <c r="K40" s="2"/>
      <c r="L40" s="6">
        <f t="shared" si="22"/>
        <v>-1344</v>
      </c>
      <c r="M40" s="2"/>
      <c r="N40" s="7">
        <f t="shared" si="23"/>
        <v>-1</v>
      </c>
      <c r="O40" s="11"/>
      <c r="P40" s="6">
        <v>1872</v>
      </c>
      <c r="Q40" s="2"/>
      <c r="R40" s="7">
        <f t="shared" si="24"/>
        <v>5.3161006855838813E-2</v>
      </c>
      <c r="S40" s="2"/>
      <c r="T40" s="6">
        <v>11530.98</v>
      </c>
      <c r="U40" s="2"/>
      <c r="V40" s="7">
        <f t="shared" si="25"/>
        <v>5.325230065716436E-2</v>
      </c>
      <c r="W40" s="2"/>
      <c r="X40" s="6">
        <f t="shared" si="26"/>
        <v>-9658.98</v>
      </c>
      <c r="Y40" s="2"/>
      <c r="Z40" s="7">
        <f t="shared" si="27"/>
        <v>-0.83765473533038826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491.67</v>
      </c>
      <c r="Q41" s="2"/>
      <c r="R41" s="7">
        <f t="shared" si="24"/>
        <v>1.3962431752569589E-2</v>
      </c>
      <c r="S41" s="2"/>
      <c r="T41" s="6">
        <v>142.5</v>
      </c>
      <c r="U41" s="2"/>
      <c r="V41" s="7">
        <f t="shared" si="25"/>
        <v>6.5809262037102851E-4</v>
      </c>
      <c r="W41" s="2"/>
      <c r="X41" s="6">
        <f t="shared" si="26"/>
        <v>349.17</v>
      </c>
      <c r="Y41" s="2"/>
      <c r="Z41" s="7">
        <f t="shared" si="27"/>
        <v>2.4503157894736844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0"/>
        <v>0</v>
      </c>
      <c r="G42" s="2"/>
      <c r="H42" s="6">
        <v>33</v>
      </c>
      <c r="I42" s="2"/>
      <c r="J42" s="7">
        <f t="shared" si="21"/>
        <v>3.4886099527927647E-4</v>
      </c>
      <c r="K42" s="2"/>
      <c r="L42" s="6">
        <f t="shared" si="22"/>
        <v>-33</v>
      </c>
      <c r="M42" s="2"/>
      <c r="N42" s="7">
        <f t="shared" si="23"/>
        <v>-1</v>
      </c>
      <c r="O42" s="11"/>
      <c r="P42" s="6">
        <v>140.61000000000001</v>
      </c>
      <c r="Q42" s="2"/>
      <c r="R42" s="7">
        <f t="shared" si="24"/>
        <v>3.9930390886749444E-3</v>
      </c>
      <c r="S42" s="2"/>
      <c r="T42" s="6">
        <v>1546.8</v>
      </c>
      <c r="U42" s="2"/>
      <c r="V42" s="7">
        <f t="shared" si="25"/>
        <v>7.1434222118589956E-3</v>
      </c>
      <c r="W42" s="2"/>
      <c r="X42" s="6">
        <f t="shared" si="26"/>
        <v>-1406.19</v>
      </c>
      <c r="Y42" s="2"/>
      <c r="Z42" s="7">
        <f t="shared" si="27"/>
        <v>-0.90909619860356872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1010.81</v>
      </c>
      <c r="I43" s="2"/>
      <c r="J43" s="7">
        <f t="shared" si="21"/>
        <v>1.0685823716310468E-2</v>
      </c>
      <c r="K43" s="2"/>
      <c r="L43" s="6">
        <f t="shared" si="22"/>
        <v>-1010.81</v>
      </c>
      <c r="M43" s="2"/>
      <c r="N43" s="7">
        <f t="shared" si="23"/>
        <v>-1</v>
      </c>
      <c r="O43" s="11"/>
      <c r="P43" s="6">
        <v>120.35</v>
      </c>
      <c r="Q43" s="2"/>
      <c r="R43" s="7">
        <f t="shared" si="24"/>
        <v>3.4176961405449789E-3</v>
      </c>
      <c r="S43" s="2"/>
      <c r="T43" s="6">
        <v>1443.56</v>
      </c>
      <c r="U43" s="2"/>
      <c r="V43" s="7">
        <f t="shared" si="25"/>
        <v>6.6666398811424691E-3</v>
      </c>
      <c r="W43" s="2"/>
      <c r="X43" s="6">
        <f t="shared" si="26"/>
        <v>-1323.21</v>
      </c>
      <c r="Y43" s="2"/>
      <c r="Z43" s="7">
        <f t="shared" si="27"/>
        <v>-0.91662972096760786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0"/>
        <v>0</v>
      </c>
      <c r="G44" s="2"/>
      <c r="H44" s="6">
        <v>15695.289999999999</v>
      </c>
      <c r="I44" s="2"/>
      <c r="J44" s="7">
        <f t="shared" si="21"/>
        <v>0.16592346941202651</v>
      </c>
      <c r="K44" s="2"/>
      <c r="L44" s="6">
        <f t="shared" si="22"/>
        <v>-15695.289999999999</v>
      </c>
      <c r="M44" s="2"/>
      <c r="N44" s="7">
        <f t="shared" si="23"/>
        <v>-1</v>
      </c>
      <c r="O44" s="11"/>
      <c r="P44" s="6">
        <v>3478.37</v>
      </c>
      <c r="Q44" s="2"/>
      <c r="R44" s="7">
        <f t="shared" si="24"/>
        <v>9.877865994505558E-2</v>
      </c>
      <c r="S44" s="2"/>
      <c r="T44" s="6">
        <v>16997.57</v>
      </c>
      <c r="U44" s="2"/>
      <c r="V44" s="7">
        <f t="shared" si="25"/>
        <v>7.8498072850806899E-2</v>
      </c>
      <c r="W44" s="2"/>
      <c r="X44" s="6">
        <f t="shared" si="26"/>
        <v>-13519.2</v>
      </c>
      <c r="Y44" s="2"/>
      <c r="Z44" s="7">
        <f t="shared" si="27"/>
        <v>-0.79536074862465644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1083</v>
      </c>
      <c r="I45" s="2"/>
      <c r="J45" s="7">
        <f t="shared" si="21"/>
        <v>1.1448983572347164E-2</v>
      </c>
      <c r="K45" s="2"/>
      <c r="L45" s="6">
        <f t="shared" si="22"/>
        <v>-1083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1719</v>
      </c>
      <c r="U45" s="2"/>
      <c r="V45" s="7">
        <f t="shared" si="25"/>
        <v>7.9386751888968279E-3</v>
      </c>
      <c r="W45" s="2"/>
      <c r="X45" s="6">
        <f t="shared" si="26"/>
        <v>-1719</v>
      </c>
      <c r="Y45" s="2"/>
      <c r="Z45" s="7">
        <f t="shared" si="27"/>
        <v>-1</v>
      </c>
    </row>
    <row r="46" spans="1:26" s="27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2" si="28">IF(D$12=0,0,D46/D$12)</f>
        <v>0</v>
      </c>
      <c r="G46" s="1"/>
      <c r="H46" s="1">
        <f>SUM(OSRRefH22_2x_0)</f>
        <v>996.58</v>
      </c>
      <c r="I46" s="1"/>
      <c r="J46" s="5">
        <f t="shared" ref="J46:J52" si="29">IF(H$12=0,0,H46/H$12)</f>
        <v>1.053539062652792E-2</v>
      </c>
      <c r="K46" s="1"/>
      <c r="L46" s="1">
        <f t="shared" ref="L46:L52" si="30">+D46-H46</f>
        <v>-996.58</v>
      </c>
      <c r="M46" s="1"/>
      <c r="N46" s="5">
        <f t="shared" ref="N46:N52" si="31">IF(H46=0,0,L46/H46)</f>
        <v>-1</v>
      </c>
      <c r="O46" s="13"/>
      <c r="P46" s="1">
        <f>SUM(OSRRefP22_2x_0)</f>
        <v>1164.77</v>
      </c>
      <c r="Q46" s="1"/>
      <c r="R46" s="5">
        <f t="shared" ref="R46:R52" si="32">IF(P$12=0,0,P46/P$12)</f>
        <v>3.3077107882198385E-2</v>
      </c>
      <c r="S46" s="1"/>
      <c r="T46" s="1">
        <f>SUM(OSRRefT22_2x_0)</f>
        <v>4549.2700000000004</v>
      </c>
      <c r="U46" s="1"/>
      <c r="V46" s="5">
        <f t="shared" ref="V46:V52" si="33">IF(T$12=0,0,T46/T$12)</f>
        <v>2.1009410632107432E-2</v>
      </c>
      <c r="W46" s="1"/>
      <c r="X46" s="1">
        <f t="shared" ref="X46:X52" si="34">+P46-T46</f>
        <v>-3384.5000000000005</v>
      </c>
      <c r="Y46" s="1"/>
      <c r="Z46" s="5">
        <f t="shared" ref="Z46:Z52" si="35">IF(T46=0,0,X46/T46)</f>
        <v>-0.74396551534641819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996.58</v>
      </c>
      <c r="I47" s="2"/>
      <c r="J47" s="7">
        <f t="shared" si="29"/>
        <v>1.053539062652792E-2</v>
      </c>
      <c r="K47" s="2"/>
      <c r="L47" s="6">
        <f t="shared" si="30"/>
        <v>-996.58</v>
      </c>
      <c r="M47" s="2"/>
      <c r="N47" s="7">
        <f t="shared" si="31"/>
        <v>-1</v>
      </c>
      <c r="O47" s="11"/>
      <c r="P47" s="6">
        <v>1164.77</v>
      </c>
      <c r="Q47" s="2"/>
      <c r="R47" s="7">
        <f t="shared" si="32"/>
        <v>3.3077107882198385E-2</v>
      </c>
      <c r="S47" s="2"/>
      <c r="T47" s="6">
        <v>4549.2700000000004</v>
      </c>
      <c r="U47" s="2"/>
      <c r="V47" s="7">
        <f t="shared" si="33"/>
        <v>2.1009410632107432E-2</v>
      </c>
      <c r="W47" s="2"/>
      <c r="X47" s="6">
        <f t="shared" si="34"/>
        <v>-3384.5000000000005</v>
      </c>
      <c r="Y47" s="2"/>
      <c r="Z47" s="7">
        <f t="shared" si="35"/>
        <v>-0.74396551534641819</v>
      </c>
    </row>
    <row r="48" spans="1:26" s="27" customFormat="1" outlineLevel="1" collapsed="1" x14ac:dyDescent="0.25">
      <c r="A48" s="25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SUM(OSRRefD22_3x_0)</f>
        <v>0</v>
      </c>
      <c r="E48" s="1"/>
      <c r="F48" s="5">
        <f t="shared" si="28"/>
        <v>0</v>
      </c>
      <c r="G48" s="1"/>
      <c r="H48" s="1">
        <f>SUM(OSRRefH22_3x_0)</f>
        <v>1773.22</v>
      </c>
      <c r="I48" s="1"/>
      <c r="J48" s="5">
        <f t="shared" si="29"/>
        <v>1.8745675577246018E-2</v>
      </c>
      <c r="K48" s="1"/>
      <c r="L48" s="1">
        <f t="shared" si="30"/>
        <v>-1773.22</v>
      </c>
      <c r="M48" s="1"/>
      <c r="N48" s="5">
        <f t="shared" si="31"/>
        <v>-1</v>
      </c>
      <c r="O48" s="13"/>
      <c r="P48" s="1">
        <f>SUM(OSRRefP22_3x_0)</f>
        <v>555.12</v>
      </c>
      <c r="Q48" s="1"/>
      <c r="R48" s="5">
        <f t="shared" si="32"/>
        <v>1.5764283186866047E-2</v>
      </c>
      <c r="S48" s="1"/>
      <c r="T48" s="1">
        <f>SUM(OSRRefT22_3x_0)</f>
        <v>7066.85</v>
      </c>
      <c r="U48" s="1"/>
      <c r="V48" s="5">
        <f t="shared" si="33"/>
        <v>3.2636083047501777E-2</v>
      </c>
      <c r="W48" s="1"/>
      <c r="X48" s="1">
        <f t="shared" si="34"/>
        <v>-6511.7300000000005</v>
      </c>
      <c r="Y48" s="1"/>
      <c r="Z48" s="5">
        <f t="shared" si="35"/>
        <v>-0.92144732094214543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28"/>
        <v>0</v>
      </c>
      <c r="G49" s="2"/>
      <c r="H49" s="6">
        <v>1773.22</v>
      </c>
      <c r="I49" s="2"/>
      <c r="J49" s="7">
        <f t="shared" si="29"/>
        <v>1.8745675577246018E-2</v>
      </c>
      <c r="K49" s="2"/>
      <c r="L49" s="6">
        <f t="shared" si="30"/>
        <v>-1773.22</v>
      </c>
      <c r="M49" s="2"/>
      <c r="N49" s="7">
        <f t="shared" si="31"/>
        <v>-1</v>
      </c>
      <c r="O49" s="11"/>
      <c r="P49" s="6">
        <v>555.12</v>
      </c>
      <c r="Q49" s="2"/>
      <c r="R49" s="7">
        <f t="shared" si="32"/>
        <v>1.5764283186866047E-2</v>
      </c>
      <c r="S49" s="2"/>
      <c r="T49" s="6">
        <v>7066.85</v>
      </c>
      <c r="U49" s="2"/>
      <c r="V49" s="7">
        <f t="shared" si="33"/>
        <v>3.2636083047501777E-2</v>
      </c>
      <c r="W49" s="2"/>
      <c r="X49" s="6">
        <f t="shared" si="34"/>
        <v>-6511.7300000000005</v>
      </c>
      <c r="Y49" s="2"/>
      <c r="Z49" s="7">
        <f t="shared" si="35"/>
        <v>-0.92144732094214543</v>
      </c>
    </row>
    <row r="50" spans="1:26" s="27" customFormat="1" outlineLevel="1" collapsed="1" x14ac:dyDescent="0.25">
      <c r="A50" s="25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SUM(OSRRefD22_4x_0)</f>
        <v>4988.5300000000007</v>
      </c>
      <c r="E50" s="1"/>
      <c r="F50" s="5">
        <f t="shared" si="28"/>
        <v>0.36729520387577497</v>
      </c>
      <c r="G50" s="1"/>
      <c r="H50" s="1">
        <f>SUM(OSRRefH22_4x_0)</f>
        <v>1191.58</v>
      </c>
      <c r="I50" s="1"/>
      <c r="J50" s="5">
        <f t="shared" si="29"/>
        <v>1.2596841962269099E-2</v>
      </c>
      <c r="K50" s="1"/>
      <c r="L50" s="1">
        <f t="shared" si="30"/>
        <v>3796.9500000000007</v>
      </c>
      <c r="M50" s="1"/>
      <c r="N50" s="5">
        <f t="shared" si="31"/>
        <v>3.1864834925057495</v>
      </c>
      <c r="O50" s="13"/>
      <c r="P50" s="1">
        <f>SUM(OSRRefP22_4x_0)</f>
        <v>-12276.010000000002</v>
      </c>
      <c r="Q50" s="1"/>
      <c r="R50" s="5">
        <f t="shared" si="32"/>
        <v>-0.34861380970744976</v>
      </c>
      <c r="S50" s="1"/>
      <c r="T50" s="1">
        <f>SUM(OSRRefT22_4x_0)</f>
        <v>-31507.169999999991</v>
      </c>
      <c r="U50" s="1"/>
      <c r="V50" s="5">
        <f t="shared" si="33"/>
        <v>-0.14550621800544175</v>
      </c>
      <c r="W50" s="1"/>
      <c r="X50" s="1">
        <f t="shared" si="34"/>
        <v>19231.159999999989</v>
      </c>
      <c r="Y50" s="1"/>
      <c r="Z50" s="5">
        <f t="shared" si="35"/>
        <v>-0.61037408310552788</v>
      </c>
    </row>
    <row r="51" spans="1:26" s="24" customFormat="1" hidden="1" outlineLevel="2" x14ac:dyDescent="0.25">
      <c r="A51" s="26"/>
      <c r="B51" s="11" t="str">
        <f>CONCATENATE("          ", "6305", " - ", "FREIGHT OUT")</f>
        <v xml:space="preserve">          6305 - FREIGHT OUT</v>
      </c>
      <c r="C51" s="11"/>
      <c r="D51" s="6">
        <v>6492.31</v>
      </c>
      <c r="E51" s="2"/>
      <c r="F51" s="7">
        <f t="shared" si="28"/>
        <v>0.47801543241691086</v>
      </c>
      <c r="G51" s="2"/>
      <c r="H51" s="6">
        <v>3517.59</v>
      </c>
      <c r="I51" s="2"/>
      <c r="J51" s="7">
        <f t="shared" si="29"/>
        <v>3.7186362072255459E-2</v>
      </c>
      <c r="K51" s="2"/>
      <c r="L51" s="6">
        <f t="shared" si="30"/>
        <v>2974.7200000000003</v>
      </c>
      <c r="M51" s="2"/>
      <c r="N51" s="7">
        <f t="shared" si="31"/>
        <v>0.84566990467905589</v>
      </c>
      <c r="O51" s="11"/>
      <c r="P51" s="6">
        <v>45904.009999999995</v>
      </c>
      <c r="Q51" s="2"/>
      <c r="R51" s="7">
        <f t="shared" si="32"/>
        <v>1.3035808708976993</v>
      </c>
      <c r="S51" s="2"/>
      <c r="T51" s="6">
        <v>42632.060000000005</v>
      </c>
      <c r="U51" s="2"/>
      <c r="V51" s="7">
        <f t="shared" si="33"/>
        <v>0.19688311633133271</v>
      </c>
      <c r="W51" s="2"/>
      <c r="X51" s="6">
        <f t="shared" si="34"/>
        <v>3271.9499999999898</v>
      </c>
      <c r="Y51" s="2"/>
      <c r="Z51" s="7">
        <f t="shared" si="35"/>
        <v>7.6748578417275393E-2</v>
      </c>
    </row>
    <row r="52" spans="1:26" s="24" customFormat="1" hidden="1" outlineLevel="2" x14ac:dyDescent="0.25">
      <c r="A52" s="26"/>
      <c r="B52" s="11" t="str">
        <f>CONCATENATE("          ", "6307", " - ", "POSTAGE")</f>
        <v xml:space="preserve">          6307 - POSTAGE</v>
      </c>
      <c r="C52" s="11"/>
      <c r="D52" s="6">
        <v>-1503.78</v>
      </c>
      <c r="E52" s="2"/>
      <c r="F52" s="7">
        <f t="shared" si="28"/>
        <v>-0.11072022854113592</v>
      </c>
      <c r="G52" s="2"/>
      <c r="H52" s="6">
        <v>-2326.0100000000002</v>
      </c>
      <c r="I52" s="2"/>
      <c r="J52" s="7">
        <f t="shared" si="29"/>
        <v>-2.4589520109986364E-2</v>
      </c>
      <c r="K52" s="2"/>
      <c r="L52" s="6">
        <f t="shared" si="30"/>
        <v>822.23000000000025</v>
      </c>
      <c r="M52" s="2"/>
      <c r="N52" s="7">
        <f t="shared" si="31"/>
        <v>-0.35349375110167203</v>
      </c>
      <c r="O52" s="11"/>
      <c r="P52" s="6">
        <v>-58180.02</v>
      </c>
      <c r="Q52" s="2"/>
      <c r="R52" s="7">
        <f t="shared" si="32"/>
        <v>-1.6521946806051491</v>
      </c>
      <c r="S52" s="2"/>
      <c r="T52" s="6">
        <v>-74139.23</v>
      </c>
      <c r="U52" s="2"/>
      <c r="V52" s="7">
        <f t="shared" si="33"/>
        <v>-0.34238933433677449</v>
      </c>
      <c r="W52" s="2"/>
      <c r="X52" s="6">
        <f t="shared" si="34"/>
        <v>15959.21</v>
      </c>
      <c r="Y52" s="2"/>
      <c r="Z52" s="7">
        <f t="shared" si="35"/>
        <v>-0.21525999123540937</v>
      </c>
    </row>
    <row r="53" spans="1:26" s="27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SUM(OSRRefD22_5x_0)</f>
        <v>0</v>
      </c>
      <c r="E53" s="1"/>
      <c r="F53" s="5">
        <f t="shared" ref="F53:F60" si="36">IF(D$12=0,0,D53/D$12)</f>
        <v>0</v>
      </c>
      <c r="G53" s="1"/>
      <c r="H53" s="1">
        <f>SUM(OSRRefH22_5x_0)</f>
        <v>0</v>
      </c>
      <c r="I53" s="1"/>
      <c r="J53" s="5">
        <f t="shared" ref="J53:J60" si="37">IF(H$12=0,0,H53/H$12)</f>
        <v>0</v>
      </c>
      <c r="K53" s="1"/>
      <c r="L53" s="1">
        <f t="shared" ref="L53:L60" si="38">+D53-H53</f>
        <v>0</v>
      </c>
      <c r="M53" s="1"/>
      <c r="N53" s="5">
        <f t="shared" ref="N53:N60" si="39">IF(H53=0,0,L53/H53)</f>
        <v>0</v>
      </c>
      <c r="O53" s="13"/>
      <c r="P53" s="1">
        <f>SUM(OSRRefP22_5x_0)</f>
        <v>80.17</v>
      </c>
      <c r="Q53" s="1"/>
      <c r="R53" s="5">
        <f t="shared" ref="R53:R60" si="40">IF(P$12=0,0,P53/P$12)</f>
        <v>2.2766655553592935E-3</v>
      </c>
      <c r="S53" s="1"/>
      <c r="T53" s="1">
        <f>SUM(OSRRefT22_5x_0)</f>
        <v>83.47</v>
      </c>
      <c r="U53" s="1"/>
      <c r="V53" s="5">
        <f t="shared" ref="V53:V60" si="41">IF(T$12=0,0,T53/T$12)</f>
        <v>3.8548063875347188E-4</v>
      </c>
      <c r="W53" s="1"/>
      <c r="X53" s="1">
        <f t="shared" ref="X53:X60" si="42">+P53-T53</f>
        <v>-3.2999999999999972</v>
      </c>
      <c r="Y53" s="1"/>
      <c r="Z53" s="5">
        <f t="shared" ref="Z53:Z60" si="43">IF(T53=0,0,X53/T53)</f>
        <v>-3.9535162333772578E-2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6"/>
        <v>0</v>
      </c>
      <c r="G54" s="2"/>
      <c r="H54" s="6"/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80.17</v>
      </c>
      <c r="Q54" s="2"/>
      <c r="R54" s="7">
        <f t="shared" si="40"/>
        <v>2.2766655553592935E-3</v>
      </c>
      <c r="S54" s="2"/>
      <c r="T54" s="6">
        <v>83.47</v>
      </c>
      <c r="U54" s="2"/>
      <c r="V54" s="7">
        <f t="shared" si="41"/>
        <v>3.8548063875347188E-4</v>
      </c>
      <c r="W54" s="2"/>
      <c r="X54" s="6">
        <f t="shared" si="42"/>
        <v>-3.2999999999999972</v>
      </c>
      <c r="Y54" s="2"/>
      <c r="Z54" s="7">
        <f t="shared" si="43"/>
        <v>-3.9535162333772578E-2</v>
      </c>
    </row>
    <row r="55" spans="1:26" s="27" customFormat="1" outlineLevel="1" collapsed="1" x14ac:dyDescent="0.25">
      <c r="A55" s="25"/>
      <c r="B55" s="13" t="str">
        <f>CONCATENATE("     ","Inventory Adjustment                              ")</f>
        <v xml:space="preserve">     Inventory Adjustment                              </v>
      </c>
      <c r="C55" s="13"/>
      <c r="D55" s="1">
        <f>SUM(OSRRefD22_6x_0)</f>
        <v>100</v>
      </c>
      <c r="E55" s="1"/>
      <c r="F55" s="5">
        <f t="shared" si="36"/>
        <v>7.3627943277032497E-3</v>
      </c>
      <c r="G55" s="1"/>
      <c r="H55" s="1">
        <f>SUM(OSRRefH22_6x_0)</f>
        <v>100</v>
      </c>
      <c r="I55" s="1"/>
      <c r="J55" s="5">
        <f t="shared" si="37"/>
        <v>1.0571545311493227E-3</v>
      </c>
      <c r="K55" s="1"/>
      <c r="L55" s="1">
        <f t="shared" si="38"/>
        <v>0</v>
      </c>
      <c r="M55" s="1"/>
      <c r="N55" s="5">
        <f t="shared" si="39"/>
        <v>0</v>
      </c>
      <c r="O55" s="13"/>
      <c r="P55" s="1">
        <f>SUM(OSRRefP22_6x_0)</f>
        <v>1000</v>
      </c>
      <c r="Q55" s="1"/>
      <c r="R55" s="5">
        <f t="shared" si="40"/>
        <v>2.8397973747777142E-2</v>
      </c>
      <c r="S55" s="1"/>
      <c r="T55" s="1">
        <f>SUM(OSRRefT22_6x_0)</f>
        <v>1100</v>
      </c>
      <c r="U55" s="1"/>
      <c r="V55" s="5">
        <f t="shared" si="41"/>
        <v>5.0800132098816229E-3</v>
      </c>
      <c r="W55" s="1"/>
      <c r="X55" s="1">
        <f t="shared" si="42"/>
        <v>-100</v>
      </c>
      <c r="Y55" s="1"/>
      <c r="Z55" s="5">
        <f t="shared" si="43"/>
        <v>-9.0909090909090912E-2</v>
      </c>
    </row>
    <row r="56" spans="1:26" s="24" customFormat="1" hidden="1" outlineLevel="2" x14ac:dyDescent="0.25">
      <c r="A56" s="26"/>
      <c r="B56" s="11" t="str">
        <f>CONCATENATE("          ", "6408", " - ", "INVENTORY ADJUSTMENT")</f>
        <v xml:space="preserve">          6408 - INVENTORY ADJUSTMENT</v>
      </c>
      <c r="C56" s="11"/>
      <c r="D56" s="6">
        <v>100</v>
      </c>
      <c r="E56" s="2"/>
      <c r="F56" s="7">
        <f t="shared" si="36"/>
        <v>7.3627943277032497E-3</v>
      </c>
      <c r="G56" s="2"/>
      <c r="H56" s="6">
        <v>100</v>
      </c>
      <c r="I56" s="2"/>
      <c r="J56" s="7">
        <f t="shared" si="37"/>
        <v>1.0571545311493227E-3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1000</v>
      </c>
      <c r="Q56" s="2"/>
      <c r="R56" s="7">
        <f t="shared" si="40"/>
        <v>2.8397973747777142E-2</v>
      </c>
      <c r="S56" s="2"/>
      <c r="T56" s="6">
        <v>1100</v>
      </c>
      <c r="U56" s="2"/>
      <c r="V56" s="7">
        <f t="shared" si="41"/>
        <v>5.0800132098816229E-3</v>
      </c>
      <c r="W56" s="2"/>
      <c r="X56" s="6">
        <f t="shared" si="42"/>
        <v>-100</v>
      </c>
      <c r="Y56" s="2"/>
      <c r="Z56" s="7">
        <f t="shared" si="43"/>
        <v>-9.0909090909090912E-2</v>
      </c>
    </row>
    <row r="57" spans="1:26" s="27" customFormat="1" outlineLevel="1" collapsed="1" x14ac:dyDescent="0.25">
      <c r="A57" s="25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SUM(OSRRefD22_7x_0)</f>
        <v>279.32</v>
      </c>
      <c r="E57" s="1"/>
      <c r="F57" s="5">
        <f t="shared" si="36"/>
        <v>2.0565757116140716E-2</v>
      </c>
      <c r="G57" s="1"/>
      <c r="H57" s="1">
        <f>SUM(OSRRefH22_7x_0)</f>
        <v>565.39</v>
      </c>
      <c r="I57" s="1"/>
      <c r="J57" s="5">
        <f t="shared" si="37"/>
        <v>5.9770460036651556E-3</v>
      </c>
      <c r="K57" s="1"/>
      <c r="L57" s="1">
        <f t="shared" si="38"/>
        <v>-286.07</v>
      </c>
      <c r="M57" s="1"/>
      <c r="N57" s="5">
        <f t="shared" si="39"/>
        <v>-0.50596933090433149</v>
      </c>
      <c r="O57" s="13"/>
      <c r="P57" s="1">
        <f>SUM(OSRRefP22_7x_0)</f>
        <v>8213.1</v>
      </c>
      <c r="Q57" s="1"/>
      <c r="R57" s="5">
        <f t="shared" si="40"/>
        <v>0.23323539818786848</v>
      </c>
      <c r="S57" s="1"/>
      <c r="T57" s="1">
        <f>SUM(OSRRefT22_7x_0)</f>
        <v>12213.51</v>
      </c>
      <c r="U57" s="1"/>
      <c r="V57" s="5">
        <f t="shared" si="41"/>
        <v>5.6404356490019368E-2</v>
      </c>
      <c r="W57" s="1"/>
      <c r="X57" s="1">
        <f t="shared" si="42"/>
        <v>-4000.41</v>
      </c>
      <c r="Y57" s="1"/>
      <c r="Z57" s="5">
        <f t="shared" si="43"/>
        <v>-0.3275397490156392</v>
      </c>
    </row>
    <row r="58" spans="1:26" s="24" customFormat="1" hidden="1" outlineLevel="2" x14ac:dyDescent="0.25">
      <c r="A58" s="26"/>
      <c r="B58" s="11" t="str">
        <f>CONCATENATE("          ", "6241", " - ", "OFFICE EXPENSE")</f>
        <v xml:space="preserve">          6241 - OFFICE EXPENSE</v>
      </c>
      <c r="C58" s="11"/>
      <c r="D58" s="6"/>
      <c r="E58" s="2"/>
      <c r="F58" s="7">
        <f t="shared" si="36"/>
        <v>0</v>
      </c>
      <c r="G58" s="2"/>
      <c r="H58" s="6">
        <v>19.87</v>
      </c>
      <c r="I58" s="2"/>
      <c r="J58" s="7">
        <f t="shared" si="37"/>
        <v>2.1005660533937042E-4</v>
      </c>
      <c r="K58" s="2"/>
      <c r="L58" s="6">
        <f t="shared" si="38"/>
        <v>-19.87</v>
      </c>
      <c r="M58" s="2"/>
      <c r="N58" s="7">
        <f t="shared" si="39"/>
        <v>-1</v>
      </c>
      <c r="O58" s="11"/>
      <c r="P58" s="6">
        <v>135.26</v>
      </c>
      <c r="Q58" s="2"/>
      <c r="R58" s="7">
        <f t="shared" si="40"/>
        <v>3.8411099291243362E-3</v>
      </c>
      <c r="S58" s="2"/>
      <c r="T58" s="6">
        <v>41.11</v>
      </c>
      <c r="U58" s="2"/>
      <c r="V58" s="7">
        <f t="shared" si="41"/>
        <v>1.8985394823475775E-4</v>
      </c>
      <c r="W58" s="2"/>
      <c r="X58" s="6">
        <f t="shared" si="42"/>
        <v>94.149999999999991</v>
      </c>
      <c r="Y58" s="2"/>
      <c r="Z58" s="7">
        <f t="shared" si="43"/>
        <v>2.2901970323522254</v>
      </c>
    </row>
    <row r="59" spans="1:26" s="24" customFormat="1" hidden="1" outlineLevel="2" x14ac:dyDescent="0.25">
      <c r="A59" s="26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36"/>
        <v>0</v>
      </c>
      <c r="G59" s="2"/>
      <c r="H59" s="6">
        <v>45.86</v>
      </c>
      <c r="I59" s="2"/>
      <c r="J59" s="7">
        <f t="shared" si="37"/>
        <v>4.8481106798507935E-4</v>
      </c>
      <c r="K59" s="2"/>
      <c r="L59" s="6">
        <f t="shared" si="38"/>
        <v>-45.86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45.86</v>
      </c>
      <c r="U59" s="2"/>
      <c r="V59" s="7">
        <f t="shared" si="41"/>
        <v>2.1179036891379204E-4</v>
      </c>
      <c r="W59" s="2"/>
      <c r="X59" s="6">
        <f t="shared" si="42"/>
        <v>-45.86</v>
      </c>
      <c r="Y59" s="2"/>
      <c r="Z59" s="7">
        <f t="shared" si="43"/>
        <v>-1</v>
      </c>
    </row>
    <row r="60" spans="1:26" s="24" customFormat="1" hidden="1" outlineLevel="2" x14ac:dyDescent="0.25">
      <c r="A60" s="26"/>
      <c r="B60" s="11" t="str">
        <f>CONCATENATE("          ", "6247", " - ", "STORE SUPPLIES")</f>
        <v xml:space="preserve">          6247 - STORE SUPPLIES</v>
      </c>
      <c r="C60" s="11"/>
      <c r="D60" s="6">
        <v>279.32</v>
      </c>
      <c r="E60" s="2"/>
      <c r="F60" s="7">
        <f t="shared" si="36"/>
        <v>2.0565757116140716E-2</v>
      </c>
      <c r="G60" s="2"/>
      <c r="H60" s="6">
        <v>499.66</v>
      </c>
      <c r="I60" s="2"/>
      <c r="J60" s="7">
        <f t="shared" si="37"/>
        <v>5.2821783303407055E-3</v>
      </c>
      <c r="K60" s="2"/>
      <c r="L60" s="6">
        <f t="shared" si="38"/>
        <v>-220.34000000000003</v>
      </c>
      <c r="M60" s="2"/>
      <c r="N60" s="7">
        <f t="shared" si="39"/>
        <v>-0.4409798663090902</v>
      </c>
      <c r="O60" s="11"/>
      <c r="P60" s="6">
        <v>8077.84</v>
      </c>
      <c r="Q60" s="2"/>
      <c r="R60" s="7">
        <f t="shared" si="40"/>
        <v>0.22939428825874414</v>
      </c>
      <c r="S60" s="2"/>
      <c r="T60" s="6">
        <v>12126.54</v>
      </c>
      <c r="U60" s="2"/>
      <c r="V60" s="7">
        <f t="shared" si="41"/>
        <v>5.6002712172870825E-2</v>
      </c>
      <c r="W60" s="2"/>
      <c r="X60" s="6">
        <f t="shared" si="42"/>
        <v>-4048.7000000000007</v>
      </c>
      <c r="Y60" s="2"/>
      <c r="Z60" s="7">
        <f t="shared" si="43"/>
        <v>-0.33387099700326722</v>
      </c>
    </row>
    <row r="61" spans="1:26" s="27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SUM(OSRRefD22_8x_0)</f>
        <v>36</v>
      </c>
      <c r="E61" s="1"/>
      <c r="F61" s="5">
        <f t="shared" ref="F61:F62" si="44">IF(D$12=0,0,D61/D$12)</f>
        <v>2.6506059579731699E-3</v>
      </c>
      <c r="G61" s="1"/>
      <c r="H61" s="1">
        <f>SUM(OSRRefH22_8x_0)</f>
        <v>114.1</v>
      </c>
      <c r="I61" s="1"/>
      <c r="J61" s="5">
        <f t="shared" ref="J61:J62" si="45">IF(H$12=0,0,H61/H$12)</f>
        <v>1.2062133200413771E-3</v>
      </c>
      <c r="K61" s="1"/>
      <c r="L61" s="1">
        <f t="shared" ref="L61:L62" si="46">+D61-H61</f>
        <v>-78.099999999999994</v>
      </c>
      <c r="M61" s="1"/>
      <c r="N61" s="5">
        <f t="shared" ref="N61:N62" si="47">IF(H61=0,0,L61/H61)</f>
        <v>-0.68448729184925505</v>
      </c>
      <c r="O61" s="13"/>
      <c r="P61" s="1">
        <f>SUM(OSRRefP22_8x_0)</f>
        <v>613.9</v>
      </c>
      <c r="Q61" s="1"/>
      <c r="R61" s="5">
        <f t="shared" ref="R61:R62" si="48">IF(P$12=0,0,P61/P$12)</f>
        <v>1.7433516083760387E-2</v>
      </c>
      <c r="S61" s="1"/>
      <c r="T61" s="1">
        <f>SUM(OSRRefT22_8x_0)</f>
        <v>1662.7</v>
      </c>
      <c r="U61" s="1"/>
      <c r="V61" s="5">
        <f t="shared" ref="V61:V62" si="49">IF(T$12=0,0,T61/T$12)</f>
        <v>7.6786708764274318E-3</v>
      </c>
      <c r="W61" s="1"/>
      <c r="X61" s="1">
        <f t="shared" ref="X61:X62" si="50">+P61-T61</f>
        <v>-1048.8000000000002</v>
      </c>
      <c r="Y61" s="1"/>
      <c r="Z61" s="5">
        <f t="shared" ref="Z61:Z62" si="51">IF(T61=0,0,X61/T61)</f>
        <v>-0.63078125939736585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36</v>
      </c>
      <c r="E62" s="2"/>
      <c r="F62" s="7">
        <f t="shared" si="44"/>
        <v>2.6506059579731699E-3</v>
      </c>
      <c r="G62" s="2"/>
      <c r="H62" s="6">
        <v>114.1</v>
      </c>
      <c r="I62" s="2"/>
      <c r="J62" s="7">
        <f t="shared" si="45"/>
        <v>1.2062133200413771E-3</v>
      </c>
      <c r="K62" s="2"/>
      <c r="L62" s="6">
        <f t="shared" si="46"/>
        <v>-78.099999999999994</v>
      </c>
      <c r="M62" s="2"/>
      <c r="N62" s="7">
        <f t="shared" si="47"/>
        <v>-0.68448729184925505</v>
      </c>
      <c r="O62" s="11"/>
      <c r="P62" s="6">
        <v>613.9</v>
      </c>
      <c r="Q62" s="2"/>
      <c r="R62" s="7">
        <f t="shared" si="48"/>
        <v>1.7433516083760387E-2</v>
      </c>
      <c r="S62" s="2"/>
      <c r="T62" s="6">
        <v>1662.7</v>
      </c>
      <c r="U62" s="2"/>
      <c r="V62" s="7">
        <f t="shared" si="49"/>
        <v>7.6786708764274318E-3</v>
      </c>
      <c r="W62" s="2"/>
      <c r="X62" s="6">
        <f t="shared" si="50"/>
        <v>-1048.8000000000002</v>
      </c>
      <c r="Y62" s="2"/>
      <c r="Z62" s="7">
        <f t="shared" si="51"/>
        <v>-0.63078125939736585</v>
      </c>
    </row>
    <row r="63" spans="1:26" s="58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54711.64</v>
      </c>
      <c r="E64" s="4"/>
      <c r="F64" s="12">
        <f t="shared" ref="F64:F69" si="52">IF(D$12=0,0,D64/D$12)</f>
        <v>4.0283055265134218</v>
      </c>
      <c r="G64" s="4"/>
      <c r="H64" s="4">
        <f>SUM(OSRRefH25x_0)</f>
        <v>70733.279999999999</v>
      </c>
      <c r="I64" s="4"/>
      <c r="J64" s="12">
        <f t="shared" ref="J64:J69" si="53">IF(H$12=0,0,H64/H$12)</f>
        <v>0.74776007455053761</v>
      </c>
      <c r="K64" s="4"/>
      <c r="L64" s="4">
        <f t="shared" ref="L64:L69" si="54">+D64-H64</f>
        <v>-16021.64</v>
      </c>
      <c r="M64" s="4"/>
      <c r="N64" s="12">
        <f t="shared" ref="N64:N69" si="55">IF(H64=0,0,L64/H64)</f>
        <v>-0.22650780509542326</v>
      </c>
      <c r="O64" s="10"/>
      <c r="P64" s="4">
        <f>SUM(OSRRefP25x_0)</f>
        <v>513349.45</v>
      </c>
      <c r="Q64" s="4"/>
      <c r="R64" s="12">
        <f t="shared" ref="R64:R69" si="56">IF(P$12=0,0,P64/P$12)</f>
        <v>14.578084204535836</v>
      </c>
      <c r="S64" s="4"/>
      <c r="T64" s="4">
        <f>SUM(OSRRefT25x_0)</f>
        <v>571908.88</v>
      </c>
      <c r="U64" s="4"/>
      <c r="V64" s="12">
        <f t="shared" ref="V64:V69" si="57">IF(T$12=0,0,T64/T$12)</f>
        <v>2.641186059316913</v>
      </c>
      <c r="W64" s="4"/>
      <c r="X64" s="4">
        <f t="shared" ref="X64:X69" si="58">+P64-T64</f>
        <v>-58559.429999999993</v>
      </c>
      <c r="Y64" s="4"/>
      <c r="Z64" s="12">
        <f t="shared" ref="Z64:Z69" si="59">IF(T64=0,0,X64/T64)</f>
        <v>-0.10239293714061581</v>
      </c>
    </row>
    <row r="65" spans="1:26" s="24" customFormat="1" hidden="1" outlineLevel="1" x14ac:dyDescent="0.25">
      <c r="A65" s="44"/>
      <c r="B65" s="11" t="str">
        <f>CONCATENATE("          ", "4098", " - ", "TAXABLE SALES-GRAD RENTALS")</f>
        <v xml:space="preserve">          4098 - TAXABLE SALES-GRAD RENTALS</v>
      </c>
      <c r="C65" s="11"/>
      <c r="D65" s="2">
        <f>-152</f>
        <v>-152</v>
      </c>
      <c r="E65" s="2"/>
      <c r="F65" s="19">
        <f t="shared" si="52"/>
        <v>-1.1191447378108938E-2</v>
      </c>
      <c r="G65" s="2"/>
      <c r="H65" s="2">
        <f>--70358.28</f>
        <v>70358.28</v>
      </c>
      <c r="I65" s="2"/>
      <c r="J65" s="19">
        <f t="shared" si="53"/>
        <v>0.7437957450587277</v>
      </c>
      <c r="K65" s="2"/>
      <c r="L65" s="2">
        <f t="shared" si="54"/>
        <v>-70510.28</v>
      </c>
      <c r="M65" s="2"/>
      <c r="N65" s="19">
        <f t="shared" si="55"/>
        <v>-1.0021603711745086</v>
      </c>
      <c r="O65" s="11"/>
      <c r="P65" s="2">
        <f>--1946.85</f>
        <v>1946.85</v>
      </c>
      <c r="Q65" s="2"/>
      <c r="R65" s="19">
        <f t="shared" si="56"/>
        <v>5.5286595190859933E-2</v>
      </c>
      <c r="S65" s="2"/>
      <c r="T65" s="2">
        <f>--77432.28</f>
        <v>77432.28</v>
      </c>
      <c r="U65" s="2"/>
      <c r="V65" s="19">
        <f t="shared" si="57"/>
        <v>0.35759727751932058</v>
      </c>
      <c r="W65" s="2"/>
      <c r="X65" s="2">
        <f t="shared" si="58"/>
        <v>-75485.429999999993</v>
      </c>
      <c r="Y65" s="2"/>
      <c r="Z65" s="19">
        <f t="shared" si="59"/>
        <v>-0.97485738505956421</v>
      </c>
    </row>
    <row r="66" spans="1:26" s="24" customFormat="1" hidden="1" outlineLevel="1" x14ac:dyDescent="0.25">
      <c r="A66" s="44"/>
      <c r="B66" s="11" t="str">
        <f>CONCATENATE("          ", "4197", " - ", "NON-TAXABLE SALES-RETURNED CHE")</f>
        <v xml:space="preserve">          4197 - NON-TAXABLE SALES-RETURNED CHE</v>
      </c>
      <c r="C66" s="11"/>
      <c r="D66" s="2">
        <f>0</f>
        <v>0</v>
      </c>
      <c r="E66" s="2"/>
      <c r="F66" s="19">
        <f t="shared" si="52"/>
        <v>0</v>
      </c>
      <c r="G66" s="2"/>
      <c r="H66" s="2">
        <f>0</f>
        <v>0</v>
      </c>
      <c r="I66" s="2"/>
      <c r="J66" s="19">
        <f t="shared" si="53"/>
        <v>0</v>
      </c>
      <c r="K66" s="2"/>
      <c r="L66" s="2">
        <f t="shared" si="54"/>
        <v>0</v>
      </c>
      <c r="M66" s="2"/>
      <c r="N66" s="19">
        <f t="shared" si="55"/>
        <v>0</v>
      </c>
      <c r="O66" s="11"/>
      <c r="P66" s="2">
        <f>--30</f>
        <v>30</v>
      </c>
      <c r="Q66" s="2"/>
      <c r="R66" s="19">
        <f t="shared" si="56"/>
        <v>8.5193921243331434E-4</v>
      </c>
      <c r="S66" s="2"/>
      <c r="T66" s="2">
        <f>--335</f>
        <v>335</v>
      </c>
      <c r="U66" s="2"/>
      <c r="V66" s="19">
        <f t="shared" si="57"/>
        <v>1.5470949321003125E-3</v>
      </c>
      <c r="W66" s="2"/>
      <c r="X66" s="2">
        <f t="shared" si="58"/>
        <v>-305</v>
      </c>
      <c r="Y66" s="2"/>
      <c r="Z66" s="19">
        <f t="shared" si="59"/>
        <v>-0.91044776119402981</v>
      </c>
    </row>
    <row r="67" spans="1:26" s="24" customFormat="1" hidden="1" outlineLevel="1" x14ac:dyDescent="0.25">
      <c r="A67" s="44"/>
      <c r="B67" s="11" t="str">
        <f>CONCATENATE("          ", "4198", " - ", "NON-TAXABLE SALES-GRAD RENTALS")</f>
        <v xml:space="preserve">          4198 - NON-TAXABLE SALES-GRAD RENTALS</v>
      </c>
      <c r="C67" s="11"/>
      <c r="D67" s="2">
        <f>-3469.7</f>
        <v>-3469.7</v>
      </c>
      <c r="E67" s="2"/>
      <c r="F67" s="19">
        <f t="shared" si="52"/>
        <v>-0.25546687478831964</v>
      </c>
      <c r="G67" s="2"/>
      <c r="H67" s="2">
        <f>--1245</f>
        <v>1245</v>
      </c>
      <c r="I67" s="2"/>
      <c r="J67" s="19">
        <f t="shared" si="53"/>
        <v>1.3161573912809067E-2</v>
      </c>
      <c r="K67" s="2"/>
      <c r="L67" s="2">
        <f t="shared" si="54"/>
        <v>-4714.7</v>
      </c>
      <c r="M67" s="2"/>
      <c r="N67" s="19">
        <f t="shared" si="55"/>
        <v>-3.7869076305220881</v>
      </c>
      <c r="O67" s="11"/>
      <c r="P67" s="2">
        <f>--163.76</f>
        <v>163.76</v>
      </c>
      <c r="Q67" s="2"/>
      <c r="R67" s="19">
        <f t="shared" si="56"/>
        <v>4.6504521809359852E-3</v>
      </c>
      <c r="S67" s="2"/>
      <c r="T67" s="2">
        <f>--385810.85</f>
        <v>385810.85</v>
      </c>
      <c r="U67" s="2"/>
      <c r="V67" s="19">
        <f t="shared" si="57"/>
        <v>1.7817492859233248</v>
      </c>
      <c r="W67" s="2"/>
      <c r="X67" s="2">
        <f t="shared" si="58"/>
        <v>-385647.08999999997</v>
      </c>
      <c r="Y67" s="2"/>
      <c r="Z67" s="19">
        <f t="shared" si="59"/>
        <v>-0.99957554330055776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>0</f>
        <v>0</v>
      </c>
      <c r="E68" s="2"/>
      <c r="F68" s="19">
        <f t="shared" si="52"/>
        <v>0</v>
      </c>
      <c r="G68" s="2"/>
      <c r="H68" s="2">
        <f>-870</f>
        <v>-870</v>
      </c>
      <c r="I68" s="2"/>
      <c r="J68" s="19">
        <f t="shared" si="53"/>
        <v>-9.1972444209991074E-3</v>
      </c>
      <c r="K68" s="2"/>
      <c r="L68" s="2">
        <f t="shared" si="54"/>
        <v>870</v>
      </c>
      <c r="M68" s="2"/>
      <c r="N68" s="19">
        <f t="shared" si="55"/>
        <v>-1</v>
      </c>
      <c r="O68" s="11"/>
      <c r="P68" s="2">
        <f>--22475</f>
        <v>22475</v>
      </c>
      <c r="Q68" s="2"/>
      <c r="R68" s="19">
        <f t="shared" si="56"/>
        <v>0.63824445998129131</v>
      </c>
      <c r="S68" s="2"/>
      <c r="T68" s="2">
        <f>--40000</f>
        <v>40000</v>
      </c>
      <c r="U68" s="2"/>
      <c r="V68" s="19">
        <f t="shared" si="57"/>
        <v>0.1847277530866045</v>
      </c>
      <c r="W68" s="2"/>
      <c r="X68" s="2">
        <f t="shared" si="58"/>
        <v>-17525</v>
      </c>
      <c r="Y68" s="2"/>
      <c r="Z68" s="19">
        <f t="shared" si="59"/>
        <v>-0.43812499999999999</v>
      </c>
    </row>
    <row r="69" spans="1:26" s="24" customFormat="1" hidden="1" outlineLevel="1" x14ac:dyDescent="0.25">
      <c r="A69" s="44"/>
      <c r="B69" s="11" t="str">
        <f>CONCATENATE("          ", "9163", " - ", "MISC. INCOME")</f>
        <v xml:space="preserve">          9163 - MISC. INCOME</v>
      </c>
      <c r="C69" s="11"/>
      <c r="D69" s="2">
        <f>--58333.34</f>
        <v>58333.34</v>
      </c>
      <c r="E69" s="2"/>
      <c r="F69" s="19">
        <f t="shared" si="52"/>
        <v>4.29496384867985</v>
      </c>
      <c r="G69" s="2"/>
      <c r="H69" s="2">
        <f>0</f>
        <v>0</v>
      </c>
      <c r="I69" s="2"/>
      <c r="J69" s="19">
        <f t="shared" si="53"/>
        <v>0</v>
      </c>
      <c r="K69" s="2"/>
      <c r="L69" s="2">
        <f t="shared" si="54"/>
        <v>58333.34</v>
      </c>
      <c r="M69" s="2"/>
      <c r="N69" s="19">
        <f t="shared" si="55"/>
        <v>0</v>
      </c>
      <c r="O69" s="11"/>
      <c r="P69" s="2">
        <f>--488733.84</f>
        <v>488733.84</v>
      </c>
      <c r="Q69" s="2"/>
      <c r="R69" s="19">
        <f t="shared" si="56"/>
        <v>13.879050757970315</v>
      </c>
      <c r="S69" s="2"/>
      <c r="T69" s="2">
        <f>--68330.75</f>
        <v>68330.75</v>
      </c>
      <c r="U69" s="2"/>
      <c r="V69" s="19">
        <f t="shared" si="57"/>
        <v>0.31556464785556249</v>
      </c>
      <c r="W69" s="2"/>
      <c r="X69" s="2">
        <f t="shared" si="58"/>
        <v>420403.09</v>
      </c>
      <c r="Y69" s="2"/>
      <c r="Z69" s="19">
        <f t="shared" si="59"/>
        <v>6.152472934952419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1">
        <f>+D27-D29+D64</f>
        <v>57733.87</v>
      </c>
      <c r="E71" s="14"/>
      <c r="F71" s="20">
        <f>IF(D$12=0,0,D71/D$12)</f>
        <v>4.2508261055235685</v>
      </c>
      <c r="G71" s="14"/>
      <c r="H71" s="21">
        <f>+H27-H29+H64</f>
        <v>87473.4</v>
      </c>
      <c r="I71" s="14"/>
      <c r="J71" s="20">
        <f>IF(H$12=0,0,H71/H$12)</f>
        <v>0.92472901165037158</v>
      </c>
      <c r="K71" s="16"/>
      <c r="L71" s="21">
        <f>+D71-H71</f>
        <v>-29739.529999999992</v>
      </c>
      <c r="M71" s="16"/>
      <c r="N71" s="20">
        <f>IF(H71=0,0,L71/H71)</f>
        <v>-0.33998369790130478</v>
      </c>
      <c r="O71" s="28"/>
      <c r="P71" s="21">
        <f>+P27-P29+P64</f>
        <v>527607.61</v>
      </c>
      <c r="Q71" s="14"/>
      <c r="R71" s="20">
        <f>IF(P$12=0,0,P71/P$12)</f>
        <v>14.982987057907442</v>
      </c>
      <c r="S71" s="14"/>
      <c r="T71" s="21">
        <f>+T27-T29+T64</f>
        <v>656568.73</v>
      </c>
      <c r="U71" s="14"/>
      <c r="V71" s="20">
        <f>IF(T$12=0,0,T71/T$12)</f>
        <v>3.0321616559956373</v>
      </c>
      <c r="W71" s="16"/>
      <c r="X71" s="21">
        <f>+P71-T71</f>
        <v>-128961.12</v>
      </c>
      <c r="Y71" s="16"/>
      <c r="Z71" s="20">
        <f>IF(T71=0,0,X71/T71)</f>
        <v>-0.19641678640406771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1713.7</v>
      </c>
      <c r="E73" s="4"/>
      <c r="F73" s="12">
        <f>IF(D$12=0,0,D73/D$12)</f>
        <v>0.12617620639385058</v>
      </c>
      <c r="G73" s="4"/>
      <c r="H73" s="4">
        <v>9845.94</v>
      </c>
      <c r="I73" s="4"/>
      <c r="J73" s="12">
        <f>IF(H$12=0,0,H73/H$12)</f>
        <v>0.10408680084424363</v>
      </c>
      <c r="K73" s="4"/>
      <c r="L73" s="4">
        <f>+D73-H73</f>
        <v>-8132.2400000000007</v>
      </c>
      <c r="M73" s="4"/>
      <c r="N73" s="12">
        <f>IF(H73=0,0,L73/H73)</f>
        <v>-0.82594856357036506</v>
      </c>
      <c r="O73" s="10"/>
      <c r="P73" s="4">
        <v>4169.8599999999997</v>
      </c>
      <c r="Q73" s="4"/>
      <c r="R73" s="12">
        <f>IF(P$12=0,0,P73/P$12)</f>
        <v>0.118415574811906</v>
      </c>
      <c r="S73" s="4"/>
      <c r="T73" s="4">
        <v>22522.78</v>
      </c>
      <c r="U73" s="4"/>
      <c r="V73" s="12">
        <f>IF(T$12=0,0,T73/T$12)</f>
        <v>0.10401456356659784</v>
      </c>
      <c r="W73" s="4"/>
      <c r="X73" s="4">
        <f>+P73-T73</f>
        <v>-18352.919999999998</v>
      </c>
      <c r="Y73" s="4"/>
      <c r="Z73" s="12">
        <f>IF(T73=0,0,X73/T73)</f>
        <v>-0.81486033251667866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5">
        <f>+D71-D73</f>
        <v>56020.170000000006</v>
      </c>
      <c r="E75" s="14"/>
      <c r="F75" s="32">
        <f>IF(D$12=0,0,D75/D$12)</f>
        <v>4.124649899129718</v>
      </c>
      <c r="G75" s="14"/>
      <c r="H75" s="35">
        <f>+H71-H73</f>
        <v>77627.459999999992</v>
      </c>
      <c r="I75" s="14"/>
      <c r="J75" s="32">
        <f>IF(H$12=0,0,H75/H$12)</f>
        <v>0.82064221080612787</v>
      </c>
      <c r="K75" s="16"/>
      <c r="L75" s="35">
        <f>D75-H75</f>
        <v>-21607.289999999986</v>
      </c>
      <c r="M75" s="16"/>
      <c r="N75" s="32">
        <f>IF(H75=0,0,L75/H75)</f>
        <v>-0.27834596159657921</v>
      </c>
      <c r="O75" s="28"/>
      <c r="P75" s="35">
        <f>+P71-P73</f>
        <v>523437.75</v>
      </c>
      <c r="Q75" s="14"/>
      <c r="R75" s="32">
        <f>IF(P$12=0,0,P75/P$12)</f>
        <v>14.864571483095535</v>
      </c>
      <c r="S75" s="14"/>
      <c r="T75" s="35">
        <f>+T71-T73</f>
        <v>634045.94999999995</v>
      </c>
      <c r="U75" s="14"/>
      <c r="V75" s="32">
        <f>IF(T$12=0,0,T75/T$12)</f>
        <v>2.9281470924290391</v>
      </c>
      <c r="W75" s="16"/>
      <c r="X75" s="35">
        <f>P75-T75</f>
        <v>-110608.19999999995</v>
      </c>
      <c r="Y75" s="16"/>
      <c r="Z75" s="32">
        <f>IF(T75=0,0,X75/T75)</f>
        <v>-0.17444823991068781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6">
        <f>SUM(D75:D77)</f>
        <v>56020.170000000006</v>
      </c>
      <c r="E78" s="14"/>
      <c r="F78" s="33">
        <f>IF(D$12=0,0,D78/D$12)</f>
        <v>4.124649899129718</v>
      </c>
      <c r="G78" s="14"/>
      <c r="H78" s="36">
        <f>SUM(H75:H77)</f>
        <v>77627.459999999992</v>
      </c>
      <c r="I78" s="14"/>
      <c r="J78" s="33">
        <f>IF(H$12=0,0,H78/H$12)</f>
        <v>0.82064221080612787</v>
      </c>
      <c r="K78" s="16"/>
      <c r="L78" s="36">
        <f>+D78-H78</f>
        <v>-21607.289999999986</v>
      </c>
      <c r="M78" s="16"/>
      <c r="N78" s="33">
        <f>IF(H78=0,0,L78/H78)</f>
        <v>-0.27834596159657921</v>
      </c>
      <c r="O78" s="28"/>
      <c r="P78" s="36">
        <f>SUM(P75:P77)</f>
        <v>523437.75</v>
      </c>
      <c r="Q78" s="14"/>
      <c r="R78" s="33">
        <f>IF(P$12=0,0,P78/P$12)</f>
        <v>14.864571483095535</v>
      </c>
      <c r="S78" s="14"/>
      <c r="T78" s="36">
        <f>SUM(T75:T77)</f>
        <v>634045.94999999995</v>
      </c>
      <c r="U78" s="14"/>
      <c r="V78" s="33">
        <f>IF(T$12=0,0,T78/T$12)</f>
        <v>2.9281470924290391</v>
      </c>
      <c r="W78" s="16"/>
      <c r="X78" s="36">
        <f>+P78-T78</f>
        <v>-110608.19999999995</v>
      </c>
      <c r="Y78" s="16"/>
      <c r="Z78" s="33">
        <f>IF(T78=0,0,X78/T78)</f>
        <v>-0.17444823991068781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5">
        <v>43992.375665312502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2" t="s">
        <v>313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3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95555.69</v>
      </c>
      <c r="E12" s="4"/>
      <c r="F12" s="12"/>
      <c r="G12" s="4"/>
      <c r="H12" s="4">
        <f>SUM(OSRRefH13x_0)</f>
        <v>456340.75</v>
      </c>
      <c r="I12" s="4"/>
      <c r="J12" s="12"/>
      <c r="K12" s="4"/>
      <c r="L12" s="4">
        <f t="shared" ref="L12:L36" si="0">+D12-H12</f>
        <v>-360785.06</v>
      </c>
      <c r="M12" s="4"/>
      <c r="N12" s="12">
        <f t="shared" ref="N12:N36" si="1">IF(H12=0,0,L12/H12)</f>
        <v>-0.79060452085420818</v>
      </c>
      <c r="O12" s="10"/>
      <c r="P12" s="4">
        <f>SUM(OSRRefP13x_0)</f>
        <v>2437479.4200000004</v>
      </c>
      <c r="Q12" s="4"/>
      <c r="R12" s="12"/>
      <c r="S12" s="4"/>
      <c r="T12" s="4">
        <f>SUM(OSRRefT13x_0)</f>
        <v>2816364.47</v>
      </c>
      <c r="U12" s="4"/>
      <c r="V12" s="12"/>
      <c r="W12" s="4"/>
      <c r="X12" s="4">
        <f t="shared" ref="X12:X36" si="2">+P12-T12</f>
        <v>-378885.04999999981</v>
      </c>
      <c r="Y12" s="4"/>
      <c r="Z12" s="12">
        <f t="shared" ref="Z12:Z36" si="3">IF(T12=0,0,X12/T12)</f>
        <v>-0.1345298359057909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--1256.94</f>
        <v>1256.94</v>
      </c>
      <c r="E13" s="2"/>
      <c r="F13" s="19"/>
      <c r="G13" s="2"/>
      <c r="H13" s="2">
        <f>--6022.51</f>
        <v>6022.51</v>
      </c>
      <c r="I13" s="2"/>
      <c r="J13" s="19"/>
      <c r="K13" s="2"/>
      <c r="L13" s="2">
        <f t="shared" si="0"/>
        <v>-4765.57</v>
      </c>
      <c r="M13" s="2"/>
      <c r="N13" s="19">
        <f t="shared" si="1"/>
        <v>-0.79129299909838247</v>
      </c>
      <c r="O13" s="11"/>
      <c r="P13" s="2">
        <f>--313160.03</f>
        <v>313160.03000000003</v>
      </c>
      <c r="Q13" s="2"/>
      <c r="R13" s="19"/>
      <c r="S13" s="2"/>
      <c r="T13" s="2">
        <f>--231110.9</f>
        <v>231110.9</v>
      </c>
      <c r="U13" s="2"/>
      <c r="V13" s="19"/>
      <c r="W13" s="2"/>
      <c r="X13" s="2">
        <f t="shared" si="2"/>
        <v>82049.130000000034</v>
      </c>
      <c r="Y13" s="2"/>
      <c r="Z13" s="19">
        <f t="shared" si="3"/>
        <v>0.35502059833612365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--55929.1</f>
        <v>55929.1</v>
      </c>
      <c r="E14" s="2"/>
      <c r="F14" s="19"/>
      <c r="G14" s="2"/>
      <c r="H14" s="2">
        <f>--422847.28</f>
        <v>422847.28</v>
      </c>
      <c r="I14" s="2"/>
      <c r="J14" s="19"/>
      <c r="K14" s="2"/>
      <c r="L14" s="2">
        <f t="shared" si="0"/>
        <v>-366918.18000000005</v>
      </c>
      <c r="M14" s="2"/>
      <c r="N14" s="19">
        <f t="shared" si="1"/>
        <v>-0.86773215142828874</v>
      </c>
      <c r="O14" s="11"/>
      <c r="P14" s="2">
        <f>--1982238.78</f>
        <v>1982238.78</v>
      </c>
      <c r="Q14" s="2"/>
      <c r="R14" s="19"/>
      <c r="S14" s="2"/>
      <c r="T14" s="2">
        <f>--2161359.85</f>
        <v>2161359.85</v>
      </c>
      <c r="U14" s="2"/>
      <c r="V14" s="19"/>
      <c r="W14" s="2"/>
      <c r="X14" s="2">
        <f t="shared" si="2"/>
        <v>-179121.07000000007</v>
      </c>
      <c r="Y14" s="2"/>
      <c r="Z14" s="19">
        <f t="shared" si="3"/>
        <v>-8.2874246970026794E-2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--2640</f>
        <v>2640</v>
      </c>
      <c r="E15" s="2"/>
      <c r="F15" s="19"/>
      <c r="G15" s="2"/>
      <c r="H15" s="2">
        <f>--11088.67</f>
        <v>11088.67</v>
      </c>
      <c r="I15" s="2"/>
      <c r="J15" s="19"/>
      <c r="K15" s="2"/>
      <c r="L15" s="2">
        <f t="shared" si="0"/>
        <v>-8448.67</v>
      </c>
      <c r="M15" s="2"/>
      <c r="N15" s="19">
        <f t="shared" si="1"/>
        <v>-0.76191914810342454</v>
      </c>
      <c r="O15" s="11"/>
      <c r="P15" s="2">
        <f>--105504.07</f>
        <v>105504.07</v>
      </c>
      <c r="Q15" s="2"/>
      <c r="R15" s="19"/>
      <c r="S15" s="2"/>
      <c r="T15" s="2">
        <f>--132940.06</f>
        <v>132940.06</v>
      </c>
      <c r="U15" s="2"/>
      <c r="V15" s="19"/>
      <c r="W15" s="2"/>
      <c r="X15" s="2">
        <f t="shared" si="2"/>
        <v>-27435.989999999991</v>
      </c>
      <c r="Y15" s="2"/>
      <c r="Z15" s="19">
        <f t="shared" si="3"/>
        <v>-0.20637864914458434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 t="shared" ref="H16:H17" si="4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--20</f>
        <v>20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20</v>
      </c>
      <c r="M17" s="2"/>
      <c r="N17" s="19">
        <f t="shared" si="1"/>
        <v>0</v>
      </c>
      <c r="O17" s="11"/>
      <c r="P17" s="2">
        <f>--4587.93</f>
        <v>4587.93</v>
      </c>
      <c r="Q17" s="2"/>
      <c r="R17" s="19"/>
      <c r="S17" s="2"/>
      <c r="T17" s="2">
        <f>--13358.65</f>
        <v>13358.65</v>
      </c>
      <c r="U17" s="2"/>
      <c r="V17" s="19"/>
      <c r="W17" s="2"/>
      <c r="X17" s="2">
        <f t="shared" si="2"/>
        <v>-8770.7199999999993</v>
      </c>
      <c r="Y17" s="2"/>
      <c r="Z17" s="19">
        <f t="shared" si="3"/>
        <v>-0.65655736170945411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--357.44</f>
        <v>357.44</v>
      </c>
      <c r="E18" s="2"/>
      <c r="F18" s="19"/>
      <c r="G18" s="2"/>
      <c r="H18" s="2">
        <f>--4853.49</f>
        <v>4853.49</v>
      </c>
      <c r="I18" s="2"/>
      <c r="J18" s="19"/>
      <c r="K18" s="2"/>
      <c r="L18" s="2">
        <f t="shared" si="0"/>
        <v>-4496.05</v>
      </c>
      <c r="M18" s="2"/>
      <c r="N18" s="19">
        <f t="shared" si="1"/>
        <v>-0.926354025659886</v>
      </c>
      <c r="O18" s="11"/>
      <c r="P18" s="2">
        <f>--48715.72</f>
        <v>48715.72</v>
      </c>
      <c r="Q18" s="2"/>
      <c r="R18" s="19"/>
      <c r="S18" s="2"/>
      <c r="T18" s="2">
        <f>--89615.64</f>
        <v>89615.64</v>
      </c>
      <c r="U18" s="2"/>
      <c r="V18" s="19"/>
      <c r="W18" s="2"/>
      <c r="X18" s="2">
        <f t="shared" si="2"/>
        <v>-40899.919999999998</v>
      </c>
      <c r="Y18" s="2"/>
      <c r="Z18" s="19">
        <f t="shared" si="3"/>
        <v>-0.45639265646041249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--1120.94</f>
        <v>1120.94</v>
      </c>
      <c r="E19" s="2"/>
      <c r="F19" s="19"/>
      <c r="G19" s="2"/>
      <c r="H19" s="2">
        <f>--59.99</f>
        <v>59.99</v>
      </c>
      <c r="I19" s="2"/>
      <c r="J19" s="19"/>
      <c r="K19" s="2"/>
      <c r="L19" s="2">
        <f t="shared" si="0"/>
        <v>1060.95</v>
      </c>
      <c r="M19" s="2"/>
      <c r="N19" s="19">
        <f t="shared" si="1"/>
        <v>17.685447574595766</v>
      </c>
      <c r="O19" s="11"/>
      <c r="P19" s="2">
        <f>--2795.75</f>
        <v>2795.75</v>
      </c>
      <c r="Q19" s="2"/>
      <c r="R19" s="19"/>
      <c r="S19" s="2"/>
      <c r="T19" s="2">
        <f>--2120.77</f>
        <v>2120.77</v>
      </c>
      <c r="U19" s="2"/>
      <c r="V19" s="19"/>
      <c r="W19" s="2"/>
      <c r="X19" s="2">
        <f t="shared" si="2"/>
        <v>674.98</v>
      </c>
      <c r="Y19" s="2"/>
      <c r="Z19" s="19">
        <f t="shared" si="3"/>
        <v>0.31827119395313969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--424.46</f>
        <v>424.46</v>
      </c>
      <c r="E20" s="2"/>
      <c r="F20" s="19"/>
      <c r="G20" s="2"/>
      <c r="H20" s="2">
        <f>--1615.44</f>
        <v>1615.44</v>
      </c>
      <c r="I20" s="2"/>
      <c r="J20" s="19"/>
      <c r="K20" s="2"/>
      <c r="L20" s="2">
        <f t="shared" si="0"/>
        <v>-1190.98</v>
      </c>
      <c r="M20" s="2"/>
      <c r="N20" s="19">
        <f t="shared" si="1"/>
        <v>-0.73724805625711876</v>
      </c>
      <c r="O20" s="11"/>
      <c r="P20" s="2">
        <f>--2657.79</f>
        <v>2657.79</v>
      </c>
      <c r="Q20" s="2"/>
      <c r="R20" s="19"/>
      <c r="S20" s="2"/>
      <c r="T20" s="2">
        <f>--16132.52</f>
        <v>16132.52</v>
      </c>
      <c r="U20" s="2"/>
      <c r="V20" s="19"/>
      <c r="W20" s="2"/>
      <c r="X20" s="2">
        <f t="shared" si="2"/>
        <v>-13474.73</v>
      </c>
      <c r="Y20" s="2"/>
      <c r="Z20" s="19">
        <f t="shared" si="3"/>
        <v>-0.83525264496805207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--28134.6</f>
        <v>28134.6</v>
      </c>
      <c r="E21" s="2"/>
      <c r="F21" s="19"/>
      <c r="G21" s="2"/>
      <c r="H21" s="2">
        <f>--16142.98</f>
        <v>16142.98</v>
      </c>
      <c r="I21" s="2"/>
      <c r="J21" s="19"/>
      <c r="K21" s="2"/>
      <c r="L21" s="2">
        <f t="shared" si="0"/>
        <v>11991.619999999999</v>
      </c>
      <c r="M21" s="2"/>
      <c r="N21" s="19">
        <f t="shared" si="1"/>
        <v>0.74283806335633196</v>
      </c>
      <c r="O21" s="11"/>
      <c r="P21" s="2">
        <f>--176201.54</f>
        <v>176201.54</v>
      </c>
      <c r="Q21" s="2"/>
      <c r="R21" s="19"/>
      <c r="S21" s="2"/>
      <c r="T21" s="2">
        <f>--235821.82</f>
        <v>235821.82</v>
      </c>
      <c r="U21" s="2"/>
      <c r="V21" s="19"/>
      <c r="W21" s="2"/>
      <c r="X21" s="2">
        <f t="shared" si="2"/>
        <v>-59620.28</v>
      </c>
      <c r="Y21" s="2"/>
      <c r="Z21" s="19">
        <f t="shared" si="3"/>
        <v>-0.25281918356833982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--1895.54</f>
        <v>1895.54</v>
      </c>
      <c r="E22" s="2"/>
      <c r="F22" s="19"/>
      <c r="G22" s="2"/>
      <c r="H22" s="2">
        <f>--111.99</f>
        <v>111.99</v>
      </c>
      <c r="I22" s="2"/>
      <c r="J22" s="19"/>
      <c r="K22" s="2"/>
      <c r="L22" s="2">
        <f t="shared" si="0"/>
        <v>1783.55</v>
      </c>
      <c r="M22" s="2"/>
      <c r="N22" s="19">
        <f t="shared" si="1"/>
        <v>15.92597553352978</v>
      </c>
      <c r="O22" s="11"/>
      <c r="P22" s="2">
        <f>--11427.56</f>
        <v>11427.56</v>
      </c>
      <c r="Q22" s="2"/>
      <c r="R22" s="19"/>
      <c r="S22" s="2"/>
      <c r="T22" s="2">
        <f>--9758.94</f>
        <v>9758.94</v>
      </c>
      <c r="U22" s="2"/>
      <c r="V22" s="19"/>
      <c r="W22" s="2"/>
      <c r="X22" s="2">
        <f t="shared" si="2"/>
        <v>1668.619999999999</v>
      </c>
      <c r="Y22" s="2"/>
      <c r="Z22" s="19">
        <f t="shared" si="3"/>
        <v>0.1709837338891313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--4176.74</f>
        <v>4176.74</v>
      </c>
      <c r="E24" s="2"/>
      <c r="F24" s="19"/>
      <c r="G24" s="2"/>
      <c r="H24" s="2">
        <f>--786.98</f>
        <v>786.98</v>
      </c>
      <c r="I24" s="2"/>
      <c r="J24" s="19"/>
      <c r="K24" s="2"/>
      <c r="L24" s="2">
        <f t="shared" si="0"/>
        <v>3389.7599999999998</v>
      </c>
      <c r="M24" s="2"/>
      <c r="N24" s="19">
        <f t="shared" si="1"/>
        <v>4.3073013291316169</v>
      </c>
      <c r="O24" s="11"/>
      <c r="P24" s="2">
        <f>--20524.35</f>
        <v>20524.349999999999</v>
      </c>
      <c r="Q24" s="2"/>
      <c r="R24" s="19"/>
      <c r="S24" s="2"/>
      <c r="T24" s="2">
        <f>--6566.76</f>
        <v>6566.76</v>
      </c>
      <c r="U24" s="2"/>
      <c r="V24" s="19"/>
      <c r="W24" s="2"/>
      <c r="X24" s="2">
        <f t="shared" si="2"/>
        <v>13957.589999999998</v>
      </c>
      <c r="Y24" s="2"/>
      <c r="Z24" s="19">
        <f t="shared" si="3"/>
        <v>2.1254911097710285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--85.95</f>
        <v>85.95</v>
      </c>
      <c r="E25" s="2"/>
      <c r="F25" s="19"/>
      <c r="G25" s="2"/>
      <c r="H25" s="2">
        <f>--139.93</f>
        <v>139.93</v>
      </c>
      <c r="I25" s="2"/>
      <c r="J25" s="19"/>
      <c r="K25" s="2"/>
      <c r="L25" s="2">
        <f t="shared" si="0"/>
        <v>-53.980000000000004</v>
      </c>
      <c r="M25" s="2"/>
      <c r="N25" s="19">
        <f t="shared" si="1"/>
        <v>-0.38576431072679196</v>
      </c>
      <c r="O25" s="11"/>
      <c r="P25" s="2">
        <f>--2926.08</f>
        <v>2926.08</v>
      </c>
      <c r="Q25" s="2"/>
      <c r="R25" s="19"/>
      <c r="S25" s="2"/>
      <c r="T25" s="2">
        <f>--6165.35</f>
        <v>6165.35</v>
      </c>
      <c r="U25" s="2"/>
      <c r="V25" s="19"/>
      <c r="W25" s="2"/>
      <c r="X25" s="2">
        <f t="shared" si="2"/>
        <v>-3239.2700000000004</v>
      </c>
      <c r="Y25" s="2"/>
      <c r="Z25" s="19">
        <f t="shared" si="3"/>
        <v>-0.52539920685768049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--123.98</f>
        <v>123.98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123.98</v>
      </c>
      <c r="M26" s="2"/>
      <c r="N26" s="19">
        <f t="shared" si="1"/>
        <v>0</v>
      </c>
      <c r="O26" s="11"/>
      <c r="P26" s="2">
        <f>--343.94</f>
        <v>343.94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143.96</v>
      </c>
      <c r="Y26" s="2"/>
      <c r="Z26" s="19">
        <f t="shared" si="3"/>
        <v>0.71987198719871992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-159</f>
        <v>-159</v>
      </c>
      <c r="E27" s="2"/>
      <c r="F27" s="19"/>
      <c r="G27" s="2"/>
      <c r="H27" s="2">
        <f>-335.94</f>
        <v>-335.94</v>
      </c>
      <c r="I27" s="2"/>
      <c r="J27" s="19"/>
      <c r="K27" s="2"/>
      <c r="L27" s="2">
        <f t="shared" si="0"/>
        <v>176.94</v>
      </c>
      <c r="M27" s="2"/>
      <c r="N27" s="19">
        <f t="shared" si="1"/>
        <v>-0.52670119664225756</v>
      </c>
      <c r="O27" s="11"/>
      <c r="P27" s="2">
        <f>-7940.7</f>
        <v>-7940.7</v>
      </c>
      <c r="Q27" s="2"/>
      <c r="R27" s="19"/>
      <c r="S27" s="2"/>
      <c r="T27" s="2">
        <f>-7402.73</f>
        <v>-7402.73</v>
      </c>
      <c r="U27" s="2"/>
      <c r="V27" s="19"/>
      <c r="W27" s="2"/>
      <c r="X27" s="2">
        <f t="shared" si="2"/>
        <v>-537.97000000000025</v>
      </c>
      <c r="Y27" s="2"/>
      <c r="Z27" s="19">
        <f t="shared" si="3"/>
        <v>7.2671838632504537E-2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-183</f>
        <v>-183</v>
      </c>
      <c r="E28" s="2"/>
      <c r="F28" s="19"/>
      <c r="G28" s="2"/>
      <c r="H28" s="2">
        <f>-5989.01</f>
        <v>-5989.01</v>
      </c>
      <c r="I28" s="2"/>
      <c r="J28" s="19"/>
      <c r="K28" s="2"/>
      <c r="L28" s="2">
        <f t="shared" si="0"/>
        <v>5806.01</v>
      </c>
      <c r="M28" s="2"/>
      <c r="N28" s="19">
        <f t="shared" si="1"/>
        <v>-0.96944403165130799</v>
      </c>
      <c r="O28" s="11"/>
      <c r="P28" s="2">
        <f>-215628.8</f>
        <v>-215628.79999999999</v>
      </c>
      <c r="Q28" s="2"/>
      <c r="R28" s="19"/>
      <c r="S28" s="2"/>
      <c r="T28" s="2">
        <f>-72352.83</f>
        <v>-72352.83</v>
      </c>
      <c r="U28" s="2"/>
      <c r="V28" s="19"/>
      <c r="W28" s="2"/>
      <c r="X28" s="2">
        <f t="shared" si="2"/>
        <v>-143275.96999999997</v>
      </c>
      <c r="Y28" s="2"/>
      <c r="Z28" s="19">
        <f t="shared" si="3"/>
        <v>1.9802400265476827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-119</f>
        <v>-119</v>
      </c>
      <c r="E29" s="2"/>
      <c r="F29" s="19"/>
      <c r="G29" s="2"/>
      <c r="H29" s="2">
        <f>-182.97</f>
        <v>-182.97</v>
      </c>
      <c r="I29" s="2"/>
      <c r="J29" s="19"/>
      <c r="K29" s="2"/>
      <c r="L29" s="2">
        <f t="shared" si="0"/>
        <v>63.97</v>
      </c>
      <c r="M29" s="2"/>
      <c r="N29" s="19">
        <f t="shared" si="1"/>
        <v>-0.34962015630977755</v>
      </c>
      <c r="O29" s="11"/>
      <c r="P29" s="2">
        <f>-6708.02</f>
        <v>-6708.02</v>
      </c>
      <c r="Q29" s="2"/>
      <c r="R29" s="19"/>
      <c r="S29" s="2"/>
      <c r="T29" s="2">
        <f>-7498.73</f>
        <v>-7498.73</v>
      </c>
      <c r="U29" s="2"/>
      <c r="V29" s="19"/>
      <c r="W29" s="2"/>
      <c r="X29" s="2">
        <f t="shared" si="2"/>
        <v>790.70999999999913</v>
      </c>
      <c r="Y29" s="2"/>
      <c r="Z29" s="19">
        <f t="shared" si="3"/>
        <v>-0.10544585549819759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2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5"/>
        <v>0</v>
      </c>
      <c r="E32" s="2"/>
      <c r="F32" s="19"/>
      <c r="G32" s="2"/>
      <c r="H32" s="2">
        <f>-742.63</f>
        <v>-742.63</v>
      </c>
      <c r="I32" s="2"/>
      <c r="J32" s="19"/>
      <c r="K32" s="2"/>
      <c r="L32" s="2">
        <f t="shared" si="0"/>
        <v>742.63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-5533.86</f>
        <v>-5533.86</v>
      </c>
      <c r="U32" s="2"/>
      <c r="V32" s="19"/>
      <c r="W32" s="2"/>
      <c r="X32" s="2">
        <f t="shared" si="2"/>
        <v>1872.9999999999995</v>
      </c>
      <c r="Y32" s="2"/>
      <c r="Z32" s="19">
        <f t="shared" si="3"/>
        <v>-0.33846176086854379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>-149</f>
        <v>-149</v>
      </c>
      <c r="E33" s="2"/>
      <c r="F33" s="19"/>
      <c r="G33" s="2"/>
      <c r="H33" s="2">
        <f>-47.99</f>
        <v>-47.99</v>
      </c>
      <c r="I33" s="2"/>
      <c r="J33" s="19"/>
      <c r="K33" s="2"/>
      <c r="L33" s="2">
        <f t="shared" si="0"/>
        <v>-101.00999999999999</v>
      </c>
      <c r="M33" s="2"/>
      <c r="N33" s="19">
        <f t="shared" si="1"/>
        <v>2.1048135028130859</v>
      </c>
      <c r="O33" s="11"/>
      <c r="P33" s="2">
        <f>-152.99</f>
        <v>-152.99</v>
      </c>
      <c r="Q33" s="2"/>
      <c r="R33" s="19"/>
      <c r="S33" s="2"/>
      <c r="T33" s="2">
        <f>-64.98</f>
        <v>-64.98</v>
      </c>
      <c r="U33" s="2"/>
      <c r="V33" s="19"/>
      <c r="W33" s="2"/>
      <c r="X33" s="2">
        <f t="shared" si="2"/>
        <v>-88.01</v>
      </c>
      <c r="Y33" s="2"/>
      <c r="Z33" s="19">
        <f t="shared" si="3"/>
        <v>1.3544167436134196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ref="D34:D36" si="7">0</f>
        <v>0</v>
      </c>
      <c r="E34" s="2"/>
      <c r="F34" s="19"/>
      <c r="G34" s="2"/>
      <c r="H34" s="2">
        <f>-29.97</f>
        <v>-29.97</v>
      </c>
      <c r="I34" s="2"/>
      <c r="J34" s="19"/>
      <c r="K34" s="2"/>
      <c r="L34" s="2">
        <f t="shared" si="0"/>
        <v>29.97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-247.82</f>
        <v>-247.82</v>
      </c>
      <c r="U34" s="2"/>
      <c r="V34" s="19"/>
      <c r="W34" s="2"/>
      <c r="X34" s="2">
        <f t="shared" si="2"/>
        <v>-1032.02</v>
      </c>
      <c r="Y34" s="2"/>
      <c r="Z34" s="19">
        <f t="shared" si="3"/>
        <v>4.1643935114195791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7"/>
        <v>0</v>
      </c>
      <c r="E35" s="2"/>
      <c r="F35" s="19"/>
      <c r="G35" s="2"/>
      <c r="H35" s="2">
        <f t="shared" ref="H35:H36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89462.35</v>
      </c>
      <c r="E38" s="4"/>
      <c r="F38" s="12">
        <f t="shared" ref="F38:F53" si="9">IF(D$12=0,0,D38/D$12)</f>
        <v>0.93623257809137272</v>
      </c>
      <c r="G38" s="4"/>
      <c r="H38" s="4">
        <f>SUM(OSRRefH16x_0)</f>
        <v>389808.56999999995</v>
      </c>
      <c r="I38" s="4"/>
      <c r="J38" s="12">
        <f t="shared" ref="J38:J53" si="10">IF(H$12=0,0,H38/H$12)</f>
        <v>0.85420504305171074</v>
      </c>
      <c r="K38" s="4"/>
      <c r="L38" s="4">
        <f t="shared" ref="L38:L53" si="11">+D38-H38</f>
        <v>-300346.21999999997</v>
      </c>
      <c r="M38" s="4"/>
      <c r="N38" s="12">
        <f t="shared" ref="N38:N53" si="12">IF(H38=0,0,L38/H38)</f>
        <v>-0.77049670816626736</v>
      </c>
      <c r="O38" s="10"/>
      <c r="P38" s="4">
        <f>SUM(OSRRefP16x_0)</f>
        <v>2121756.5999999992</v>
      </c>
      <c r="Q38" s="4"/>
      <c r="R38" s="12">
        <f t="shared" ref="R38:R53" si="13">IF(P$12=0,0,P38/P$12)</f>
        <v>0.87047159561248677</v>
      </c>
      <c r="S38" s="4"/>
      <c r="T38" s="4">
        <f>SUM(OSRRefT16x_0)</f>
        <v>2388192.77</v>
      </c>
      <c r="U38" s="4"/>
      <c r="V38" s="12">
        <f t="shared" ref="V38:V53" si="14">IF(T$12=0,0,T38/T$12)</f>
        <v>0.84797006759569005</v>
      </c>
      <c r="W38" s="4"/>
      <c r="X38" s="4">
        <f t="shared" ref="X38:X53" si="15">+P38-T38</f>
        <v>-266436.17000000086</v>
      </c>
      <c r="Y38" s="4"/>
      <c r="Z38" s="12">
        <f t="shared" ref="Z38:Z53" si="16">IF(T38=0,0,X38/T38)</f>
        <v>-0.11156392957340745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1637.44</v>
      </c>
      <c r="E39" s="2"/>
      <c r="F39" s="19">
        <f t="shared" si="9"/>
        <v>1.7135975890080434E-2</v>
      </c>
      <c r="G39" s="2"/>
      <c r="H39" s="2">
        <v>13552.13</v>
      </c>
      <c r="I39" s="2"/>
      <c r="J39" s="19">
        <f t="shared" si="10"/>
        <v>2.9697391696884397E-2</v>
      </c>
      <c r="K39" s="2"/>
      <c r="L39" s="2">
        <f t="shared" si="11"/>
        <v>-11914.689999999999</v>
      </c>
      <c r="M39" s="2"/>
      <c r="N39" s="19">
        <f t="shared" si="12"/>
        <v>-0.87917471275733039</v>
      </c>
      <c r="O39" s="11"/>
      <c r="P39" s="2">
        <v>258461.58000000002</v>
      </c>
      <c r="Q39" s="2"/>
      <c r="R39" s="19">
        <f t="shared" si="13"/>
        <v>0.1060364152736108</v>
      </c>
      <c r="S39" s="2"/>
      <c r="T39" s="2">
        <v>206634.89</v>
      </c>
      <c r="U39" s="2"/>
      <c r="V39" s="19">
        <f t="shared" si="14"/>
        <v>7.3369371116942125E-2</v>
      </c>
      <c r="W39" s="2"/>
      <c r="X39" s="2">
        <f t="shared" si="15"/>
        <v>51826.69</v>
      </c>
      <c r="Y39" s="2"/>
      <c r="Z39" s="19">
        <f t="shared" si="16"/>
        <v>0.25081287095320642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140818.03</v>
      </c>
      <c r="E40" s="2"/>
      <c r="F40" s="19">
        <f t="shared" si="9"/>
        <v>1.4736749847131028</v>
      </c>
      <c r="G40" s="2"/>
      <c r="H40" s="2">
        <v>302415.51</v>
      </c>
      <c r="I40" s="2"/>
      <c r="J40" s="19">
        <f t="shared" si="10"/>
        <v>0.66269670197106001</v>
      </c>
      <c r="K40" s="2"/>
      <c r="L40" s="2">
        <f t="shared" si="11"/>
        <v>-161597.48000000001</v>
      </c>
      <c r="M40" s="2"/>
      <c r="N40" s="19">
        <f t="shared" si="12"/>
        <v>-0.53435579411915746</v>
      </c>
      <c r="O40" s="11"/>
      <c r="P40" s="2">
        <v>1641300.3</v>
      </c>
      <c r="Q40" s="2"/>
      <c r="R40" s="19">
        <f t="shared" si="13"/>
        <v>0.67335965445812862</v>
      </c>
      <c r="S40" s="2"/>
      <c r="T40" s="2">
        <v>1910267.36</v>
      </c>
      <c r="U40" s="2"/>
      <c r="V40" s="19">
        <f t="shared" si="14"/>
        <v>0.67827420078197476</v>
      </c>
      <c r="W40" s="2"/>
      <c r="X40" s="2">
        <f t="shared" si="15"/>
        <v>-268967.06000000006</v>
      </c>
      <c r="Y40" s="2"/>
      <c r="Z40" s="19">
        <f t="shared" si="16"/>
        <v>-0.1408007411067318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14533.49</v>
      </c>
      <c r="E41" s="2"/>
      <c r="F41" s="19">
        <f t="shared" si="9"/>
        <v>0.15209444879734529</v>
      </c>
      <c r="G41" s="2"/>
      <c r="H41" s="2">
        <v>6514.91</v>
      </c>
      <c r="I41" s="2"/>
      <c r="J41" s="19">
        <f t="shared" si="10"/>
        <v>1.4276415156875645E-2</v>
      </c>
      <c r="K41" s="2"/>
      <c r="L41" s="2">
        <f t="shared" si="11"/>
        <v>8018.58</v>
      </c>
      <c r="M41" s="2"/>
      <c r="N41" s="19">
        <f t="shared" si="12"/>
        <v>1.2308044163311542</v>
      </c>
      <c r="O41" s="11"/>
      <c r="P41" s="2">
        <v>94550.76</v>
      </c>
      <c r="Q41" s="2"/>
      <c r="R41" s="19">
        <f t="shared" si="13"/>
        <v>3.8790382894802029E-2</v>
      </c>
      <c r="S41" s="2"/>
      <c r="T41" s="2">
        <v>107691.03</v>
      </c>
      <c r="U41" s="2"/>
      <c r="V41" s="19">
        <f t="shared" si="14"/>
        <v>3.8237604240192673E-2</v>
      </c>
      <c r="W41" s="2"/>
      <c r="X41" s="2">
        <f t="shared" si="15"/>
        <v>-13140.270000000004</v>
      </c>
      <c r="Y41" s="2"/>
      <c r="Z41" s="19">
        <f t="shared" si="16"/>
        <v>-0.12201824051641073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1.1191889365777699E-3</v>
      </c>
      <c r="S42" s="2"/>
      <c r="T42" s="2">
        <v>5183</v>
      </c>
      <c r="U42" s="2"/>
      <c r="V42" s="19">
        <f t="shared" si="14"/>
        <v>1.8403157883894194E-3</v>
      </c>
      <c r="W42" s="2"/>
      <c r="X42" s="2">
        <f t="shared" si="15"/>
        <v>-2455</v>
      </c>
      <c r="Y42" s="2"/>
      <c r="Z42" s="19">
        <f t="shared" si="16"/>
        <v>-0.47366390121551227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3661.64</v>
      </c>
      <c r="E43" s="2"/>
      <c r="F43" s="19">
        <f t="shared" si="9"/>
        <v>3.8319434457539887E-2</v>
      </c>
      <c r="G43" s="2"/>
      <c r="H43" s="2">
        <v>1875</v>
      </c>
      <c r="I43" s="2"/>
      <c r="J43" s="19">
        <f t="shared" si="10"/>
        <v>4.108771789501595E-3</v>
      </c>
      <c r="K43" s="2"/>
      <c r="L43" s="2">
        <f t="shared" si="11"/>
        <v>1786.6399999999999</v>
      </c>
      <c r="M43" s="2"/>
      <c r="N43" s="19">
        <f t="shared" si="12"/>
        <v>0.95287466666666665</v>
      </c>
      <c r="O43" s="11"/>
      <c r="P43" s="2">
        <v>15328.14</v>
      </c>
      <c r="Q43" s="2"/>
      <c r="R43" s="19">
        <f t="shared" si="13"/>
        <v>6.2885207867724264E-3</v>
      </c>
      <c r="S43" s="2"/>
      <c r="T43" s="2">
        <v>12735.37</v>
      </c>
      <c r="U43" s="2"/>
      <c r="V43" s="19">
        <f t="shared" si="14"/>
        <v>4.5219182870887449E-3</v>
      </c>
      <c r="W43" s="2"/>
      <c r="X43" s="2">
        <f t="shared" si="15"/>
        <v>2592.7699999999986</v>
      </c>
      <c r="Y43" s="2"/>
      <c r="Z43" s="19">
        <f t="shared" si="16"/>
        <v>0.20358811718858569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-67.5</v>
      </c>
      <c r="E44" s="2"/>
      <c r="F44" s="19">
        <f t="shared" si="9"/>
        <v>-7.0639435495677963E-4</v>
      </c>
      <c r="G44" s="2"/>
      <c r="H44" s="2">
        <v>4684</v>
      </c>
      <c r="I44" s="2"/>
      <c r="J44" s="19">
        <f t="shared" si="10"/>
        <v>1.0264259766413585E-2</v>
      </c>
      <c r="K44" s="2"/>
      <c r="L44" s="2">
        <f t="shared" si="11"/>
        <v>-4751.5</v>
      </c>
      <c r="M44" s="2"/>
      <c r="N44" s="19">
        <f t="shared" si="12"/>
        <v>-1.0144107600341588</v>
      </c>
      <c r="O44" s="11"/>
      <c r="P44" s="2">
        <v>29883.05</v>
      </c>
      <c r="Q44" s="2"/>
      <c r="R44" s="19">
        <f t="shared" si="13"/>
        <v>1.2259816331085164E-2</v>
      </c>
      <c r="S44" s="2"/>
      <c r="T44" s="2">
        <v>60095.68</v>
      </c>
      <c r="U44" s="2"/>
      <c r="V44" s="19">
        <f t="shared" si="14"/>
        <v>2.1338033709820233E-2</v>
      </c>
      <c r="W44" s="2"/>
      <c r="X44" s="2">
        <f t="shared" si="15"/>
        <v>-30212.63</v>
      </c>
      <c r="Y44" s="2"/>
      <c r="Z44" s="19">
        <f t="shared" si="16"/>
        <v>-0.50274212722112477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1949</v>
      </c>
      <c r="I45" s="2"/>
      <c r="J45" s="19">
        <f t="shared" si="10"/>
        <v>4.2709313161272576E-3</v>
      </c>
      <c r="K45" s="2"/>
      <c r="L45" s="2">
        <f t="shared" si="11"/>
        <v>-1949</v>
      </c>
      <c r="M45" s="2"/>
      <c r="N45" s="19">
        <f t="shared" si="12"/>
        <v>-1</v>
      </c>
      <c r="O45" s="11"/>
      <c r="P45" s="2">
        <v>95.65</v>
      </c>
      <c r="Q45" s="2"/>
      <c r="R45" s="19">
        <f t="shared" si="13"/>
        <v>3.9241356958821008E-5</v>
      </c>
      <c r="S45" s="2"/>
      <c r="T45" s="2">
        <v>1949</v>
      </c>
      <c r="U45" s="2"/>
      <c r="V45" s="19">
        <f t="shared" si="14"/>
        <v>6.9202690942909094E-4</v>
      </c>
      <c r="W45" s="2"/>
      <c r="X45" s="2">
        <f t="shared" si="15"/>
        <v>-1853.35</v>
      </c>
      <c r="Y45" s="2"/>
      <c r="Z45" s="19">
        <f t="shared" si="16"/>
        <v>-0.95092355053873778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-160624</v>
      </c>
      <c r="E46" s="2"/>
      <c r="F46" s="19">
        <f t="shared" si="9"/>
        <v>-1.6809464721567078</v>
      </c>
      <c r="G46" s="2"/>
      <c r="H46" s="2">
        <v>-331009</v>
      </c>
      <c r="I46" s="2"/>
      <c r="J46" s="19">
        <f t="shared" si="10"/>
        <v>-0.72535490201127117</v>
      </c>
      <c r="K46" s="2"/>
      <c r="L46" s="2">
        <f t="shared" si="11"/>
        <v>170385</v>
      </c>
      <c r="M46" s="2"/>
      <c r="N46" s="19">
        <f t="shared" si="12"/>
        <v>-0.51474431208819094</v>
      </c>
      <c r="O46" s="11"/>
      <c r="P46" s="2">
        <v>-2043044.0000000002</v>
      </c>
      <c r="Q46" s="2"/>
      <c r="R46" s="19">
        <f t="shared" si="13"/>
        <v>-0.83817897424545229</v>
      </c>
      <c r="S46" s="2"/>
      <c r="T46" s="2">
        <v>-2305043</v>
      </c>
      <c r="U46" s="2"/>
      <c r="V46" s="19">
        <f t="shared" si="14"/>
        <v>-0.8184462716219395</v>
      </c>
      <c r="W46" s="2"/>
      <c r="X46" s="2">
        <f t="shared" si="15"/>
        <v>261998.99999999977</v>
      </c>
      <c r="Y46" s="2"/>
      <c r="Z46" s="19">
        <f t="shared" si="16"/>
        <v>-0.11366338935976456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89462</v>
      </c>
      <c r="E47" s="2"/>
      <c r="F47" s="19">
        <f t="shared" si="9"/>
        <v>0.93622891530582841</v>
      </c>
      <c r="G47" s="2"/>
      <c r="H47" s="2">
        <v>389809</v>
      </c>
      <c r="I47" s="2"/>
      <c r="J47" s="19">
        <f t="shared" si="10"/>
        <v>0.85420598533004122</v>
      </c>
      <c r="K47" s="2"/>
      <c r="L47" s="2">
        <f t="shared" si="11"/>
        <v>-300347</v>
      </c>
      <c r="M47" s="2"/>
      <c r="N47" s="19">
        <f t="shared" si="12"/>
        <v>-0.77049785920797109</v>
      </c>
      <c r="O47" s="11"/>
      <c r="P47" s="2">
        <v>2121754</v>
      </c>
      <c r="Q47" s="2"/>
      <c r="R47" s="19">
        <f t="shared" si="13"/>
        <v>0.87047052893681442</v>
      </c>
      <c r="S47" s="2"/>
      <c r="T47" s="2">
        <v>2388180</v>
      </c>
      <c r="U47" s="2"/>
      <c r="V47" s="19">
        <f t="shared" si="14"/>
        <v>0.84796553338140923</v>
      </c>
      <c r="W47" s="2"/>
      <c r="X47" s="2">
        <f t="shared" si="15"/>
        <v>-266426</v>
      </c>
      <c r="Y47" s="2"/>
      <c r="Z47" s="19">
        <f t="shared" si="16"/>
        <v>-0.11156026765151705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/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4.999352942412315E-6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>
        <v>31.25</v>
      </c>
      <c r="E49" s="2"/>
      <c r="F49" s="19">
        <f t="shared" si="9"/>
        <v>3.2703442359110167E-4</v>
      </c>
      <c r="G49" s="2"/>
      <c r="H49" s="2"/>
      <c r="I49" s="2"/>
      <c r="J49" s="19">
        <f t="shared" si="10"/>
        <v>0</v>
      </c>
      <c r="K49" s="2"/>
      <c r="L49" s="2">
        <f t="shared" si="11"/>
        <v>31.25</v>
      </c>
      <c r="M49" s="2"/>
      <c r="N49" s="19">
        <f t="shared" si="12"/>
        <v>0</v>
      </c>
      <c r="O49" s="11"/>
      <c r="P49" s="2">
        <v>137</v>
      </c>
      <c r="Q49" s="2"/>
      <c r="R49" s="19">
        <f t="shared" si="13"/>
        <v>5.6205602753355753E-5</v>
      </c>
      <c r="S49" s="2"/>
      <c r="T49" s="2"/>
      <c r="U49" s="2"/>
      <c r="V49" s="19">
        <f t="shared" si="14"/>
        <v>0</v>
      </c>
      <c r="W49" s="2"/>
      <c r="X49" s="2">
        <f t="shared" si="15"/>
        <v>137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154.30000000000001</v>
      </c>
      <c r="Q50" s="2"/>
      <c r="R50" s="19">
        <f t="shared" si="13"/>
        <v>6.330309857549484E-5</v>
      </c>
      <c r="S50" s="2"/>
      <c r="T50" s="2">
        <v>12</v>
      </c>
      <c r="U50" s="2"/>
      <c r="V50" s="19">
        <f t="shared" si="14"/>
        <v>4.2608121668286771E-6</v>
      </c>
      <c r="W50" s="2"/>
      <c r="X50" s="2">
        <f t="shared" si="15"/>
        <v>142.30000000000001</v>
      </c>
      <c r="Y50" s="2"/>
      <c r="Z50" s="19">
        <f t="shared" si="16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4.04</v>
      </c>
      <c r="I51" s="2"/>
      <c r="J51" s="19">
        <f t="shared" si="10"/>
        <v>8.8530336157794374E-6</v>
      </c>
      <c r="K51" s="2"/>
      <c r="L51" s="2">
        <f t="shared" si="11"/>
        <v>-4.04</v>
      </c>
      <c r="M51" s="2"/>
      <c r="N51" s="19">
        <f t="shared" si="12"/>
        <v>-1</v>
      </c>
      <c r="O51" s="11"/>
      <c r="P51" s="2">
        <v>96.55</v>
      </c>
      <c r="Q51" s="2"/>
      <c r="R51" s="19">
        <f t="shared" si="13"/>
        <v>3.9610590845521877E-5</v>
      </c>
      <c r="S51" s="2"/>
      <c r="T51" s="2">
        <v>93.42</v>
      </c>
      <c r="U51" s="2"/>
      <c r="V51" s="19">
        <f t="shared" si="14"/>
        <v>3.3170422718761256E-5</v>
      </c>
      <c r="W51" s="2"/>
      <c r="X51" s="2">
        <f t="shared" si="15"/>
        <v>3.1299999999999955</v>
      </c>
      <c r="Y51" s="2"/>
      <c r="Z51" s="19">
        <f t="shared" si="16"/>
        <v>3.3504602868764666E-2</v>
      </c>
    </row>
    <row r="52" spans="1:26" s="24" customFormat="1" hidden="1" outlineLevel="1" x14ac:dyDescent="0.25">
      <c r="A52" s="44"/>
      <c r="B52" s="11" t="str">
        <f>CONCATENATE("          ", "5585", " - ", "FREIGHT-IN-SOFTWARE")</f>
        <v xml:space="preserve">          5585 - FREIGHT-IN-SOFTWARE</v>
      </c>
      <c r="C52" s="11"/>
      <c r="D52" s="2">
        <v>10</v>
      </c>
      <c r="E52" s="2"/>
      <c r="F52" s="19">
        <f t="shared" si="9"/>
        <v>1.0465101554915254E-4</v>
      </c>
      <c r="G52" s="2"/>
      <c r="H52" s="2"/>
      <c r="I52" s="2"/>
      <c r="J52" s="19">
        <f t="shared" si="10"/>
        <v>0</v>
      </c>
      <c r="K52" s="2"/>
      <c r="L52" s="2">
        <f t="shared" si="11"/>
        <v>10</v>
      </c>
      <c r="M52" s="2"/>
      <c r="N52" s="19">
        <f t="shared" si="12"/>
        <v>0</v>
      </c>
      <c r="O52" s="11"/>
      <c r="P52" s="2">
        <v>10</v>
      </c>
      <c r="Q52" s="2"/>
      <c r="R52" s="19">
        <f t="shared" si="13"/>
        <v>4.1025987411208579E-6</v>
      </c>
      <c r="S52" s="2"/>
      <c r="T52" s="2"/>
      <c r="U52" s="2"/>
      <c r="V52" s="19">
        <f t="shared" si="14"/>
        <v>0</v>
      </c>
      <c r="W52" s="2"/>
      <c r="X52" s="2">
        <f t="shared" si="15"/>
        <v>10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"5586", " - ", "FREIGHT-IN-COMPUTER SUPPLIES")</f>
        <v xml:space="preserve">          5586 - FREIGHT-IN-COMPUTER SUPPLIES</v>
      </c>
      <c r="C53" s="11"/>
      <c r="D53" s="2"/>
      <c r="E53" s="2"/>
      <c r="F53" s="19">
        <f t="shared" si="9"/>
        <v>0</v>
      </c>
      <c r="G53" s="2"/>
      <c r="H53" s="2">
        <v>13.98</v>
      </c>
      <c r="I53" s="2"/>
      <c r="J53" s="19">
        <f t="shared" si="10"/>
        <v>3.0635002462523892E-5</v>
      </c>
      <c r="K53" s="2"/>
      <c r="L53" s="2">
        <f t="shared" si="11"/>
        <v>-13.98</v>
      </c>
      <c r="M53" s="2"/>
      <c r="N53" s="19">
        <f t="shared" si="12"/>
        <v>-1</v>
      </c>
      <c r="O53" s="11"/>
      <c r="P53" s="2">
        <v>301.27</v>
      </c>
      <c r="Q53" s="2"/>
      <c r="R53" s="19">
        <f t="shared" si="13"/>
        <v>1.2359899227374808E-4</v>
      </c>
      <c r="S53" s="2"/>
      <c r="T53" s="2">
        <v>379.94</v>
      </c>
      <c r="U53" s="2"/>
      <c r="V53" s="19">
        <f t="shared" si="14"/>
        <v>1.3490441455540729E-4</v>
      </c>
      <c r="W53" s="2"/>
      <c r="X53" s="2">
        <f t="shared" si="15"/>
        <v>-78.670000000000016</v>
      </c>
      <c r="Y53" s="2"/>
      <c r="Z53" s="19">
        <f t="shared" si="16"/>
        <v>-0.20705900931726065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6</v>
      </c>
      <c r="C55" s="29"/>
      <c r="D55" s="21">
        <f>D12-D38</f>
        <v>6093.3399999999965</v>
      </c>
      <c r="E55" s="14"/>
      <c r="F55" s="20">
        <f>IF(D$12=0,0,D55/D$12)</f>
        <v>6.3767421908627275E-2</v>
      </c>
      <c r="G55" s="14"/>
      <c r="H55" s="21">
        <f>H12-H38</f>
        <v>66532.180000000051</v>
      </c>
      <c r="I55" s="14"/>
      <c r="J55" s="20">
        <f>IF(H$12=0,0,H55/H$12)</f>
        <v>0.14579495694828931</v>
      </c>
      <c r="K55" s="16"/>
      <c r="L55" s="21">
        <f>+D55-H55</f>
        <v>-60438.840000000055</v>
      </c>
      <c r="M55" s="16"/>
      <c r="N55" s="20">
        <f>IF(H55=0,0,L55/H55)</f>
        <v>-0.90841514587377126</v>
      </c>
      <c r="O55" s="28"/>
      <c r="P55" s="21">
        <f>P12-P38</f>
        <v>315722.82000000123</v>
      </c>
      <c r="Q55" s="14"/>
      <c r="R55" s="20">
        <f>IF(P$12=0,0,P55/P$12)</f>
        <v>0.12952840438751323</v>
      </c>
      <c r="S55" s="14"/>
      <c r="T55" s="21">
        <f>T12-T38</f>
        <v>428171.70000000019</v>
      </c>
      <c r="U55" s="14"/>
      <c r="V55" s="20">
        <f>IF(T$12=0,0,T55/T$12)</f>
        <v>0.15202993240430993</v>
      </c>
      <c r="W55" s="16"/>
      <c r="X55" s="21">
        <f>+P55-T55</f>
        <v>-112448.87999999896</v>
      </c>
      <c r="Y55" s="16"/>
      <c r="Z55" s="20">
        <f>IF(T55=0,0,X55/T55)</f>
        <v>-0.26262567096330491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9</v>
      </c>
      <c r="C57" s="10"/>
      <c r="D57" s="22">
        <f>SUM(OSRRefD22x_0)</f>
        <v>12120.14</v>
      </c>
      <c r="E57" s="22"/>
      <c r="F57" s="31">
        <f t="shared" ref="F57:F67" si="17">IF(D$12=0,0,D57/D$12)</f>
        <v>0.12683849595979055</v>
      </c>
      <c r="G57" s="22"/>
      <c r="H57" s="22">
        <f>SUM(OSRRefH22x_0)</f>
        <v>20962.34</v>
      </c>
      <c r="I57" s="22"/>
      <c r="J57" s="31">
        <f t="shared" ref="J57:J67" si="18">IF(H$12=0,0,H57/H$12)</f>
        <v>4.5935717991435129E-2</v>
      </c>
      <c r="K57" s="4"/>
      <c r="L57" s="22">
        <f t="shared" ref="L57:L67" si="19">+D57-H57</f>
        <v>-8842.2000000000007</v>
      </c>
      <c r="M57" s="4"/>
      <c r="N57" s="31">
        <f t="shared" ref="N57:N67" si="20">IF(H57=0,0,L57/H57)</f>
        <v>-0.42181359523793627</v>
      </c>
      <c r="O57" s="10"/>
      <c r="P57" s="22">
        <f>SUM(OSRRefP22x_0)</f>
        <v>210123.29000000007</v>
      </c>
      <c r="Q57" s="22"/>
      <c r="R57" s="31">
        <f t="shared" ref="R57:R67" si="21">IF(P$12=0,0,P57/P$12)</f>
        <v>8.6205154503417314E-2</v>
      </c>
      <c r="S57" s="22"/>
      <c r="T57" s="22">
        <f>SUM(OSRRefT22x_0)</f>
        <v>245675.26</v>
      </c>
      <c r="U57" s="22"/>
      <c r="V57" s="31">
        <f t="shared" ref="V57:V67" si="22">IF(T$12=0,0,T57/T$12)</f>
        <v>8.7231344741399888E-2</v>
      </c>
      <c r="W57" s="4"/>
      <c r="X57" s="22">
        <f t="shared" ref="X57:X67" si="23">+P57-T57</f>
        <v>-35551.969999999943</v>
      </c>
      <c r="Y57" s="4"/>
      <c r="Z57" s="31">
        <f t="shared" ref="Z57:Z67" si="24">IF(T57=0,0,X57/T57)</f>
        <v>-0.14471123384584977</v>
      </c>
    </row>
    <row r="58" spans="1:26" s="27" customFormat="1" outlineLevel="1" collapsed="1" x14ac:dyDescent="0.25">
      <c r="A58" s="25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2481.5900000000006</v>
      </c>
      <c r="E58" s="1"/>
      <c r="F58" s="5">
        <f t="shared" si="17"/>
        <v>2.5970091367662151E-2</v>
      </c>
      <c r="G58" s="1"/>
      <c r="H58" s="1">
        <f>SUM(OSRRefH22_0x_0)</f>
        <v>2639.33</v>
      </c>
      <c r="I58" s="1"/>
      <c r="J58" s="5">
        <f t="shared" si="18"/>
        <v>5.7836824784987971E-3</v>
      </c>
      <c r="K58" s="1"/>
      <c r="L58" s="1">
        <f t="shared" si="19"/>
        <v>-157.73999999999933</v>
      </c>
      <c r="M58" s="1"/>
      <c r="N58" s="5">
        <f t="shared" si="20"/>
        <v>-5.9765167675129419E-2</v>
      </c>
      <c r="O58" s="13"/>
      <c r="P58" s="1">
        <f>SUM(OSRRefP22_0x_0)</f>
        <v>26890.37</v>
      </c>
      <c r="Q58" s="1"/>
      <c r="R58" s="5">
        <f t="shared" si="21"/>
        <v>1.1032039811027407E-2</v>
      </c>
      <c r="S58" s="1"/>
      <c r="T58" s="1">
        <f>SUM(OSRRefT22_0x_0)</f>
        <v>25482.95</v>
      </c>
      <c r="U58" s="1"/>
      <c r="V58" s="5">
        <f t="shared" si="22"/>
        <v>9.0481719505572378E-3</v>
      </c>
      <c r="W58" s="1"/>
      <c r="X58" s="1">
        <f t="shared" si="23"/>
        <v>1407.4199999999983</v>
      </c>
      <c r="Y58" s="1"/>
      <c r="Z58" s="5">
        <f t="shared" si="24"/>
        <v>5.5229869383254221E-2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6">
        <v>411.12</v>
      </c>
      <c r="E59" s="2"/>
      <c r="F59" s="7">
        <f t="shared" si="17"/>
        <v>4.3024125512567592E-3</v>
      </c>
      <c r="G59" s="2"/>
      <c r="H59" s="6">
        <v>688.49</v>
      </c>
      <c r="I59" s="2"/>
      <c r="J59" s="7">
        <f t="shared" si="18"/>
        <v>1.5087190876554417E-3</v>
      </c>
      <c r="K59" s="2"/>
      <c r="L59" s="6">
        <f t="shared" si="19"/>
        <v>-277.37</v>
      </c>
      <c r="M59" s="2"/>
      <c r="N59" s="7">
        <f t="shared" si="20"/>
        <v>-0.40286714403985535</v>
      </c>
      <c r="O59" s="11"/>
      <c r="P59" s="6">
        <v>7614.51</v>
      </c>
      <c r="Q59" s="2"/>
      <c r="R59" s="7">
        <f t="shared" si="21"/>
        <v>3.1239279140252182E-3</v>
      </c>
      <c r="S59" s="2"/>
      <c r="T59" s="6">
        <v>5390.84</v>
      </c>
      <c r="U59" s="2"/>
      <c r="V59" s="7">
        <f t="shared" si="22"/>
        <v>1.9141130551188921E-3</v>
      </c>
      <c r="W59" s="2"/>
      <c r="X59" s="6">
        <f t="shared" si="23"/>
        <v>2223.67</v>
      </c>
      <c r="Y59" s="2"/>
      <c r="Z59" s="7">
        <f t="shared" si="24"/>
        <v>0.41249044675783364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6">
        <v>78.989999999999995</v>
      </c>
      <c r="E60" s="2"/>
      <c r="F60" s="7">
        <f t="shared" si="17"/>
        <v>8.2663837182275584E-4</v>
      </c>
      <c r="G60" s="2"/>
      <c r="H60" s="6">
        <v>104.01</v>
      </c>
      <c r="I60" s="2"/>
      <c r="J60" s="7">
        <f t="shared" si="18"/>
        <v>2.2792178870723249E-4</v>
      </c>
      <c r="K60" s="2"/>
      <c r="L60" s="6">
        <f t="shared" si="19"/>
        <v>-25.02000000000001</v>
      </c>
      <c r="M60" s="2"/>
      <c r="N60" s="7">
        <f t="shared" si="20"/>
        <v>-0.2405537929045285</v>
      </c>
      <c r="O60" s="11"/>
      <c r="P60" s="6">
        <v>1995.7</v>
      </c>
      <c r="Q60" s="2"/>
      <c r="R60" s="7">
        <f t="shared" si="21"/>
        <v>8.1875563076548954E-4</v>
      </c>
      <c r="S60" s="2"/>
      <c r="T60" s="6">
        <v>959.96</v>
      </c>
      <c r="U60" s="2"/>
      <c r="V60" s="7">
        <f t="shared" si="22"/>
        <v>3.4085077063907146E-4</v>
      </c>
      <c r="W60" s="2"/>
      <c r="X60" s="6">
        <f t="shared" si="23"/>
        <v>1035.74</v>
      </c>
      <c r="Y60" s="2"/>
      <c r="Z60" s="7">
        <f t="shared" si="24"/>
        <v>1.0789407891995499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6">
        <v>1035.69</v>
      </c>
      <c r="E61" s="2"/>
      <c r="F61" s="7">
        <f t="shared" si="17"/>
        <v>1.0838601029410181E-2</v>
      </c>
      <c r="G61" s="2"/>
      <c r="H61" s="6">
        <v>964.88</v>
      </c>
      <c r="I61" s="2"/>
      <c r="J61" s="7">
        <f t="shared" si="18"/>
        <v>2.1143849196022927E-3</v>
      </c>
      <c r="K61" s="2"/>
      <c r="L61" s="6">
        <f t="shared" si="19"/>
        <v>70.810000000000059</v>
      </c>
      <c r="M61" s="2"/>
      <c r="N61" s="7">
        <f t="shared" si="20"/>
        <v>7.3387364231821642E-2</v>
      </c>
      <c r="O61" s="11"/>
      <c r="P61" s="6">
        <v>12591.69</v>
      </c>
      <c r="Q61" s="2"/>
      <c r="R61" s="7">
        <f t="shared" si="21"/>
        <v>5.1658651542584094E-3</v>
      </c>
      <c r="S61" s="2"/>
      <c r="T61" s="6">
        <v>10363.06</v>
      </c>
      <c r="U61" s="2"/>
      <c r="V61" s="7">
        <f t="shared" si="22"/>
        <v>3.679587677797966E-3</v>
      </c>
      <c r="W61" s="2"/>
      <c r="X61" s="6">
        <f t="shared" si="23"/>
        <v>2228.630000000001</v>
      </c>
      <c r="Y61" s="2"/>
      <c r="Z61" s="7">
        <f t="shared" si="24"/>
        <v>0.2150552057017909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6">
        <v>19.559999999999999</v>
      </c>
      <c r="E62" s="2"/>
      <c r="F62" s="7">
        <f t="shared" si="17"/>
        <v>2.0469738641414235E-4</v>
      </c>
      <c r="G62" s="2"/>
      <c r="H62" s="6">
        <v>22.73</v>
      </c>
      <c r="I62" s="2"/>
      <c r="J62" s="7">
        <f t="shared" si="18"/>
        <v>4.980927081353134E-5</v>
      </c>
      <c r="K62" s="2"/>
      <c r="L62" s="6">
        <f t="shared" si="19"/>
        <v>-3.1700000000000017</v>
      </c>
      <c r="M62" s="2"/>
      <c r="N62" s="7">
        <f t="shared" si="20"/>
        <v>-0.13946326440827109</v>
      </c>
      <c r="O62" s="11"/>
      <c r="P62" s="6">
        <v>322.33</v>
      </c>
      <c r="Q62" s="2"/>
      <c r="R62" s="7">
        <f t="shared" si="21"/>
        <v>1.3223906522254861E-4</v>
      </c>
      <c r="S62" s="2"/>
      <c r="T62" s="6">
        <v>268.67</v>
      </c>
      <c r="U62" s="2"/>
      <c r="V62" s="7">
        <f t="shared" si="22"/>
        <v>9.5396033738488395E-5</v>
      </c>
      <c r="W62" s="2"/>
      <c r="X62" s="6">
        <f t="shared" si="23"/>
        <v>53.659999999999968</v>
      </c>
      <c r="Y62" s="2"/>
      <c r="Z62" s="7">
        <f t="shared" si="24"/>
        <v>0.1997245691740796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6">
        <v>159.41999999999999</v>
      </c>
      <c r="E63" s="2"/>
      <c r="F63" s="7">
        <f t="shared" si="17"/>
        <v>1.6683464898845897E-3</v>
      </c>
      <c r="G63" s="2"/>
      <c r="H63" s="6">
        <v>174.42</v>
      </c>
      <c r="I63" s="2"/>
      <c r="J63" s="7">
        <f t="shared" si="18"/>
        <v>3.8221438694659637E-4</v>
      </c>
      <c r="K63" s="2"/>
      <c r="L63" s="6">
        <f t="shared" si="19"/>
        <v>-15</v>
      </c>
      <c r="M63" s="2"/>
      <c r="N63" s="7">
        <f t="shared" si="20"/>
        <v>-8.5999312005503967E-2</v>
      </c>
      <c r="O63" s="11"/>
      <c r="P63" s="6">
        <v>2648.28</v>
      </c>
      <c r="Q63" s="2"/>
      <c r="R63" s="7">
        <f t="shared" si="21"/>
        <v>1.0864830194135546E-3</v>
      </c>
      <c r="S63" s="2"/>
      <c r="T63" s="6">
        <v>2090.5</v>
      </c>
      <c r="U63" s="2"/>
      <c r="V63" s="7">
        <f t="shared" si="22"/>
        <v>7.4226898622961244E-4</v>
      </c>
      <c r="W63" s="2"/>
      <c r="X63" s="6">
        <f t="shared" si="23"/>
        <v>557.7800000000002</v>
      </c>
      <c r="Y63" s="2"/>
      <c r="Z63" s="7">
        <f t="shared" si="24"/>
        <v>0.26681655106433877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6">
        <v>130.25</v>
      </c>
      <c r="E64" s="2"/>
      <c r="F64" s="7">
        <f t="shared" si="17"/>
        <v>1.3630794775277117E-3</v>
      </c>
      <c r="G64" s="2"/>
      <c r="H64" s="6">
        <v>141.83000000000001</v>
      </c>
      <c r="I64" s="2"/>
      <c r="J64" s="7">
        <f t="shared" si="18"/>
        <v>3.107984548826727E-4</v>
      </c>
      <c r="K64" s="2"/>
      <c r="L64" s="6">
        <f t="shared" si="19"/>
        <v>-11.580000000000013</v>
      </c>
      <c r="M64" s="2"/>
      <c r="N64" s="7">
        <f t="shared" si="20"/>
        <v>-8.1647042233660094E-2</v>
      </c>
      <c r="O64" s="11"/>
      <c r="P64" s="6">
        <v>1904.04</v>
      </c>
      <c r="Q64" s="2"/>
      <c r="R64" s="7">
        <f t="shared" si="21"/>
        <v>7.8115121070437582E-4</v>
      </c>
      <c r="S64" s="2"/>
      <c r="T64" s="6">
        <v>1400.61</v>
      </c>
      <c r="U64" s="2"/>
      <c r="V64" s="7">
        <f t="shared" si="22"/>
        <v>4.9731134408182614E-4</v>
      </c>
      <c r="W64" s="2"/>
      <c r="X64" s="6">
        <f t="shared" si="23"/>
        <v>503.43000000000006</v>
      </c>
      <c r="Y64" s="2"/>
      <c r="Z64" s="7">
        <f t="shared" si="24"/>
        <v>0.35943624563583015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6">
        <v>257.8</v>
      </c>
      <c r="E65" s="2"/>
      <c r="F65" s="7">
        <f t="shared" si="17"/>
        <v>2.6979031808571524E-3</v>
      </c>
      <c r="G65" s="2"/>
      <c r="H65" s="6">
        <v>220.35</v>
      </c>
      <c r="I65" s="2"/>
      <c r="J65" s="7">
        <f t="shared" si="18"/>
        <v>4.8286286070222745E-4</v>
      </c>
      <c r="K65" s="2"/>
      <c r="L65" s="6">
        <f t="shared" si="19"/>
        <v>37.450000000000017</v>
      </c>
      <c r="M65" s="2"/>
      <c r="N65" s="7">
        <f t="shared" si="20"/>
        <v>0.16995688677104615</v>
      </c>
      <c r="O65" s="11"/>
      <c r="P65" s="6">
        <v>3045.35</v>
      </c>
      <c r="Q65" s="2"/>
      <c r="R65" s="7">
        <f t="shared" si="21"/>
        <v>1.2493849076272404E-3</v>
      </c>
      <c r="S65" s="2"/>
      <c r="T65" s="6">
        <v>1912.72</v>
      </c>
      <c r="U65" s="2"/>
      <c r="V65" s="7">
        <f t="shared" si="22"/>
        <v>6.7914505397804559E-4</v>
      </c>
      <c r="W65" s="2"/>
      <c r="X65" s="6">
        <f t="shared" si="23"/>
        <v>1132.6299999999999</v>
      </c>
      <c r="Y65" s="2"/>
      <c r="Z65" s="7">
        <f t="shared" si="24"/>
        <v>0.59215671922706925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6">
        <v>256.57</v>
      </c>
      <c r="E66" s="2"/>
      <c r="F66" s="7">
        <f t="shared" si="17"/>
        <v>2.6850311059446064E-3</v>
      </c>
      <c r="G66" s="2"/>
      <c r="H66" s="6">
        <v>176.37</v>
      </c>
      <c r="I66" s="2"/>
      <c r="J66" s="7">
        <f t="shared" si="18"/>
        <v>3.8648750960767803E-4</v>
      </c>
      <c r="K66" s="2"/>
      <c r="L66" s="6">
        <f t="shared" si="19"/>
        <v>80.199999999999989</v>
      </c>
      <c r="M66" s="2"/>
      <c r="N66" s="7">
        <f t="shared" si="20"/>
        <v>0.45472586040709861</v>
      </c>
      <c r="O66" s="11"/>
      <c r="P66" s="6">
        <v>-5090.13</v>
      </c>
      <c r="Q66" s="2"/>
      <c r="R66" s="7">
        <f t="shared" si="21"/>
        <v>-2.0882760930141511E-3</v>
      </c>
      <c r="S66" s="2"/>
      <c r="T66" s="6">
        <v>1579.03</v>
      </c>
      <c r="U66" s="2"/>
      <c r="V66" s="7">
        <f t="shared" si="22"/>
        <v>5.6066251964895719E-4</v>
      </c>
      <c r="W66" s="2"/>
      <c r="X66" s="6">
        <f t="shared" si="23"/>
        <v>-6669.16</v>
      </c>
      <c r="Y66" s="2"/>
      <c r="Z66" s="7">
        <f t="shared" si="24"/>
        <v>-4.2235802992976703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6">
        <v>132.19</v>
      </c>
      <c r="E67" s="2"/>
      <c r="F67" s="7">
        <f t="shared" si="17"/>
        <v>1.3833817745442475E-3</v>
      </c>
      <c r="G67" s="2"/>
      <c r="H67" s="6">
        <v>146.25</v>
      </c>
      <c r="I67" s="2"/>
      <c r="J67" s="7">
        <f t="shared" si="18"/>
        <v>3.2048419958112442E-4</v>
      </c>
      <c r="K67" s="2"/>
      <c r="L67" s="6">
        <f t="shared" si="19"/>
        <v>-14.060000000000002</v>
      </c>
      <c r="M67" s="2"/>
      <c r="N67" s="7">
        <f t="shared" si="20"/>
        <v>-9.6136752136752157E-2</v>
      </c>
      <c r="O67" s="11"/>
      <c r="P67" s="6">
        <v>1858.6</v>
      </c>
      <c r="Q67" s="2"/>
      <c r="R67" s="7">
        <f t="shared" si="21"/>
        <v>7.6250900202472259E-4</v>
      </c>
      <c r="S67" s="2"/>
      <c r="T67" s="6">
        <v>1517.56</v>
      </c>
      <c r="U67" s="2"/>
      <c r="V67" s="7">
        <f t="shared" si="22"/>
        <v>5.3883650932437727E-4</v>
      </c>
      <c r="W67" s="2"/>
      <c r="X67" s="6">
        <f t="shared" si="23"/>
        <v>341.03999999999996</v>
      </c>
      <c r="Y67" s="2"/>
      <c r="Z67" s="7">
        <f t="shared" si="24"/>
        <v>0.22472917051055641</v>
      </c>
    </row>
    <row r="68" spans="1:26" s="27" customFormat="1" outlineLevel="1" collapsed="1" x14ac:dyDescent="0.25">
      <c r="A68" s="25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4569.1499999999996</v>
      </c>
      <c r="E68" s="1"/>
      <c r="F68" s="5">
        <f t="shared" ref="F68:F73" si="25">IF(D$12=0,0,D68/D$12)</f>
        <v>4.781661876964103E-2</v>
      </c>
      <c r="G68" s="1"/>
      <c r="H68" s="1">
        <f>SUM(OSRRefH22_1x_0)</f>
        <v>10424.24</v>
      </c>
      <c r="I68" s="1"/>
      <c r="J68" s="5">
        <f t="shared" ref="J68:J73" si="26">IF(H$12=0,0,H68/H$12)</f>
        <v>2.2843105727463522E-2</v>
      </c>
      <c r="K68" s="1"/>
      <c r="L68" s="1">
        <f t="shared" ref="L68:L73" si="27">+D68-H68</f>
        <v>-5855.09</v>
      </c>
      <c r="M68" s="1"/>
      <c r="N68" s="5">
        <f t="shared" ref="N68:N73" si="28">IF(H68=0,0,L68/H68)</f>
        <v>-0.56168027597215719</v>
      </c>
      <c r="O68" s="13"/>
      <c r="P68" s="1">
        <f>SUM(OSRRefP22_1x_0)</f>
        <v>100791.28</v>
      </c>
      <c r="Q68" s="1"/>
      <c r="R68" s="5">
        <f t="shared" ref="R68:R73" si="29">IF(P$12=0,0,P68/P$12)</f>
        <v>4.135061784439599E-2</v>
      </c>
      <c r="S68" s="1"/>
      <c r="T68" s="1">
        <f>SUM(OSRRefT22_1x_0)</f>
        <v>101136.23999999999</v>
      </c>
      <c r="U68" s="1"/>
      <c r="V68" s="5">
        <f t="shared" ref="V68:V73" si="30">IF(T$12=0,0,T68/T$12)</f>
        <v>3.5910210158275425E-2</v>
      </c>
      <c r="W68" s="1"/>
      <c r="X68" s="1">
        <f t="shared" ref="X68:X73" si="31">+P68-T68</f>
        <v>-344.95999999999185</v>
      </c>
      <c r="Y68" s="1"/>
      <c r="Z68" s="5">
        <f t="shared" ref="Z68:Z73" si="32">IF(T68=0,0,X68/T68)</f>
        <v>-3.4108446190998587E-3</v>
      </c>
    </row>
    <row r="69" spans="1:26" s="24" customFormat="1" hidden="1" outlineLevel="2" x14ac:dyDescent="0.25">
      <c r="A69" s="26"/>
      <c r="B69" s="11" t="str">
        <f>CONCATENATE("          ", "6002", " - ", "STAFF SALARIES")</f>
        <v xml:space="preserve">          6002 - STAFF SALARIES</v>
      </c>
      <c r="C69" s="11"/>
      <c r="D69" s="6">
        <v>1825.84</v>
      </c>
      <c r="E69" s="2"/>
      <c r="F69" s="7">
        <f t="shared" si="25"/>
        <v>1.9107601023026468E-2</v>
      </c>
      <c r="G69" s="2"/>
      <c r="H69" s="6">
        <v>3058.34</v>
      </c>
      <c r="I69" s="2"/>
      <c r="J69" s="7">
        <f t="shared" si="26"/>
        <v>6.701877927842298E-3</v>
      </c>
      <c r="K69" s="2"/>
      <c r="L69" s="6">
        <f t="shared" si="27"/>
        <v>-1232.5000000000002</v>
      </c>
      <c r="M69" s="2"/>
      <c r="N69" s="7">
        <f t="shared" si="28"/>
        <v>-0.40299639673809978</v>
      </c>
      <c r="O69" s="11"/>
      <c r="P69" s="6">
        <v>34223.57</v>
      </c>
      <c r="Q69" s="2"/>
      <c r="R69" s="7">
        <f t="shared" si="29"/>
        <v>1.4040557519866156E-2</v>
      </c>
      <c r="S69" s="2"/>
      <c r="T69" s="6">
        <v>29188.34</v>
      </c>
      <c r="U69" s="2"/>
      <c r="V69" s="7">
        <f t="shared" si="30"/>
        <v>1.0363836183461013E-2</v>
      </c>
      <c r="W69" s="2"/>
      <c r="X69" s="6">
        <f t="shared" si="31"/>
        <v>5035.2299999999996</v>
      </c>
      <c r="Y69" s="2"/>
      <c r="Z69" s="7">
        <f t="shared" si="32"/>
        <v>0.17250826871278049</v>
      </c>
    </row>
    <row r="70" spans="1:26" s="24" customFormat="1" hidden="1" outlineLevel="2" x14ac:dyDescent="0.25">
      <c r="A70" s="26"/>
      <c r="B70" s="11" t="str">
        <f>CONCATENATE("          ", "6004", " - ", "STAFF HOURLY")</f>
        <v xml:space="preserve">          6004 - STAFF HOURLY</v>
      </c>
      <c r="C70" s="11"/>
      <c r="D70" s="6">
        <v>2743.31</v>
      </c>
      <c r="E70" s="2"/>
      <c r="F70" s="7">
        <f t="shared" si="25"/>
        <v>2.8709017746614565E-2</v>
      </c>
      <c r="G70" s="2"/>
      <c r="H70" s="6"/>
      <c r="I70" s="2"/>
      <c r="J70" s="7">
        <f t="shared" si="26"/>
        <v>0</v>
      </c>
      <c r="K70" s="2"/>
      <c r="L70" s="6">
        <f t="shared" si="27"/>
        <v>2743.31</v>
      </c>
      <c r="M70" s="2"/>
      <c r="N70" s="7">
        <f t="shared" si="28"/>
        <v>0</v>
      </c>
      <c r="O70" s="11"/>
      <c r="P70" s="6">
        <v>8575.16</v>
      </c>
      <c r="Q70" s="2"/>
      <c r="R70" s="7">
        <f t="shared" si="29"/>
        <v>3.5180440620909935E-3</v>
      </c>
      <c r="S70" s="2"/>
      <c r="T70" s="6"/>
      <c r="U70" s="2"/>
      <c r="V70" s="7">
        <f t="shared" si="30"/>
        <v>0</v>
      </c>
      <c r="W70" s="2"/>
      <c r="X70" s="6">
        <f t="shared" si="31"/>
        <v>8575.16</v>
      </c>
      <c r="Y70" s="2"/>
      <c r="Z70" s="7">
        <f t="shared" si="32"/>
        <v>0</v>
      </c>
    </row>
    <row r="71" spans="1:26" s="24" customFormat="1" hidden="1" outlineLevel="2" x14ac:dyDescent="0.25">
      <c r="A71" s="26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5"/>
        <v>0</v>
      </c>
      <c r="G71" s="2"/>
      <c r="H71" s="6">
        <v>4392.96</v>
      </c>
      <c r="I71" s="2"/>
      <c r="J71" s="7">
        <f t="shared" si="26"/>
        <v>9.6264907308847604E-3</v>
      </c>
      <c r="K71" s="2"/>
      <c r="L71" s="6">
        <f t="shared" si="27"/>
        <v>-4392.96</v>
      </c>
      <c r="M71" s="2"/>
      <c r="N71" s="7">
        <f t="shared" si="28"/>
        <v>-1</v>
      </c>
      <c r="O71" s="11"/>
      <c r="P71" s="6">
        <v>29960.57</v>
      </c>
      <c r="Q71" s="2"/>
      <c r="R71" s="7">
        <f t="shared" si="29"/>
        <v>1.2291619676526333E-2</v>
      </c>
      <c r="S71" s="2"/>
      <c r="T71" s="6">
        <v>27951.17</v>
      </c>
      <c r="U71" s="2"/>
      <c r="V71" s="7">
        <f t="shared" si="30"/>
        <v>9.9245571010913927E-3</v>
      </c>
      <c r="W71" s="2"/>
      <c r="X71" s="6">
        <f t="shared" si="31"/>
        <v>2009.4000000000015</v>
      </c>
      <c r="Y71" s="2"/>
      <c r="Z71" s="7">
        <f t="shared" si="32"/>
        <v>7.1889656139617827E-2</v>
      </c>
    </row>
    <row r="72" spans="1:26" s="24" customFormat="1" hidden="1" outlineLevel="2" x14ac:dyDescent="0.25">
      <c r="A72" s="26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5"/>
        <v>0</v>
      </c>
      <c r="G72" s="2"/>
      <c r="H72" s="6"/>
      <c r="I72" s="2"/>
      <c r="J72" s="7">
        <f t="shared" si="26"/>
        <v>0</v>
      </c>
      <c r="K72" s="2"/>
      <c r="L72" s="6">
        <f t="shared" si="27"/>
        <v>0</v>
      </c>
      <c r="M72" s="2"/>
      <c r="N72" s="7">
        <f t="shared" si="28"/>
        <v>0</v>
      </c>
      <c r="O72" s="11"/>
      <c r="P72" s="6">
        <v>9008.99</v>
      </c>
      <c r="Q72" s="2"/>
      <c r="R72" s="7">
        <f t="shared" si="29"/>
        <v>3.6960271032770394E-3</v>
      </c>
      <c r="S72" s="2"/>
      <c r="T72" s="6"/>
      <c r="U72" s="2"/>
      <c r="V72" s="7">
        <f t="shared" si="30"/>
        <v>0</v>
      </c>
      <c r="W72" s="2"/>
      <c r="X72" s="6">
        <f t="shared" si="31"/>
        <v>9008.99</v>
      </c>
      <c r="Y72" s="2"/>
      <c r="Z72" s="7">
        <f t="shared" si="32"/>
        <v>0</v>
      </c>
    </row>
    <row r="73" spans="1:26" s="24" customFormat="1" hidden="1" outlineLevel="2" x14ac:dyDescent="0.25">
      <c r="A73" s="26"/>
      <c r="B73" s="11" t="str">
        <f>CONCATENATE("          ", "6007", " - ", "STUDENT HOURLY")</f>
        <v xml:space="preserve">          6007 - STUDENT HOURLY</v>
      </c>
      <c r="C73" s="11"/>
      <c r="D73" s="6"/>
      <c r="E73" s="2"/>
      <c r="F73" s="7">
        <f t="shared" si="25"/>
        <v>0</v>
      </c>
      <c r="G73" s="2"/>
      <c r="H73" s="6">
        <v>2972.94</v>
      </c>
      <c r="I73" s="2"/>
      <c r="J73" s="7">
        <f t="shared" si="26"/>
        <v>6.5147370687364649E-3</v>
      </c>
      <c r="K73" s="2"/>
      <c r="L73" s="6">
        <f t="shared" si="27"/>
        <v>-2972.94</v>
      </c>
      <c r="M73" s="2"/>
      <c r="N73" s="7">
        <f t="shared" si="28"/>
        <v>-1</v>
      </c>
      <c r="O73" s="11"/>
      <c r="P73" s="6">
        <v>19022.990000000002</v>
      </c>
      <c r="Q73" s="2"/>
      <c r="R73" s="7">
        <f t="shared" si="29"/>
        <v>7.8043694826354674E-3</v>
      </c>
      <c r="S73" s="2"/>
      <c r="T73" s="6">
        <v>43996.729999999996</v>
      </c>
      <c r="U73" s="2"/>
      <c r="V73" s="7">
        <f t="shared" si="30"/>
        <v>1.5621816873723021E-2</v>
      </c>
      <c r="W73" s="2"/>
      <c r="X73" s="6">
        <f t="shared" si="31"/>
        <v>-24973.739999999994</v>
      </c>
      <c r="Y73" s="2"/>
      <c r="Z73" s="7">
        <f t="shared" si="32"/>
        <v>-0.56762718502034126</v>
      </c>
    </row>
    <row r="74" spans="1:26" s="27" customFormat="1" outlineLevel="1" collapsed="1" x14ac:dyDescent="0.25">
      <c r="A74" s="25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0</v>
      </c>
      <c r="E74" s="1"/>
      <c r="F74" s="5">
        <f t="shared" ref="F74:F86" si="33">IF(D$12=0,0,D74/D$12)</f>
        <v>0</v>
      </c>
      <c r="G74" s="1"/>
      <c r="H74" s="1">
        <f>SUM(OSRRefH22_2x_0)</f>
        <v>198.19</v>
      </c>
      <c r="I74" s="1"/>
      <c r="J74" s="5">
        <f t="shared" ref="J74:J86" si="34">IF(H$12=0,0,H74/H$12)</f>
        <v>4.3430265651270457E-4</v>
      </c>
      <c r="K74" s="1"/>
      <c r="L74" s="1">
        <f t="shared" ref="L74:L86" si="35">+D74-H74</f>
        <v>-198.19</v>
      </c>
      <c r="M74" s="1"/>
      <c r="N74" s="5">
        <f t="shared" ref="N74:N86" si="36">IF(H74=0,0,L74/H74)</f>
        <v>-1</v>
      </c>
      <c r="O74" s="13"/>
      <c r="P74" s="1">
        <f>SUM(OSRRefP22_2x_0)</f>
        <v>1745.92</v>
      </c>
      <c r="Q74" s="1"/>
      <c r="R74" s="5">
        <f t="shared" ref="R74:R86" si="37">IF(P$12=0,0,P74/P$12)</f>
        <v>7.1628091940977284E-4</v>
      </c>
      <c r="S74" s="1"/>
      <c r="T74" s="1">
        <f>SUM(OSRRefT22_2x_0)</f>
        <v>4014.77</v>
      </c>
      <c r="U74" s="1"/>
      <c r="V74" s="5">
        <f t="shared" ref="V74:V86" si="38">IF(T$12=0,0,T74/T$12)</f>
        <v>1.4255150719182307E-3</v>
      </c>
      <c r="W74" s="1"/>
      <c r="X74" s="1">
        <f t="shared" ref="X74:X86" si="39">+P74-T74</f>
        <v>-2268.85</v>
      </c>
      <c r="Y74" s="1"/>
      <c r="Z74" s="5">
        <f t="shared" ref="Z74:Z86" si="40">IF(T74=0,0,X74/T74)</f>
        <v>-0.56512577308289136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6"/>
      <c r="E75" s="2"/>
      <c r="F75" s="7">
        <f t="shared" si="33"/>
        <v>0</v>
      </c>
      <c r="G75" s="2"/>
      <c r="H75" s="6">
        <v>198.19</v>
      </c>
      <c r="I75" s="2"/>
      <c r="J75" s="7">
        <f t="shared" si="34"/>
        <v>4.3430265651270457E-4</v>
      </c>
      <c r="K75" s="2"/>
      <c r="L75" s="6">
        <f t="shared" si="35"/>
        <v>-198.19</v>
      </c>
      <c r="M75" s="2"/>
      <c r="N75" s="7">
        <f t="shared" si="36"/>
        <v>-1</v>
      </c>
      <c r="O75" s="11"/>
      <c r="P75" s="6">
        <v>1745.92</v>
      </c>
      <c r="Q75" s="2"/>
      <c r="R75" s="7">
        <f t="shared" si="37"/>
        <v>7.1628091940977284E-4</v>
      </c>
      <c r="S75" s="2"/>
      <c r="T75" s="6">
        <v>4014.77</v>
      </c>
      <c r="U75" s="2"/>
      <c r="V75" s="7">
        <f t="shared" si="38"/>
        <v>1.4255150719182307E-3</v>
      </c>
      <c r="W75" s="2"/>
      <c r="X75" s="6">
        <f t="shared" si="39"/>
        <v>-2268.85</v>
      </c>
      <c r="Y75" s="2"/>
      <c r="Z75" s="7">
        <f t="shared" si="40"/>
        <v>-0.56512577308289136</v>
      </c>
    </row>
    <row r="76" spans="1:26" s="27" customFormat="1" outlineLevel="1" collapsed="1" x14ac:dyDescent="0.25">
      <c r="A76" s="25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33"/>
        <v>2.9348330800604339E-3</v>
      </c>
      <c r="G76" s="1"/>
      <c r="H76" s="1">
        <f>SUM(OSRRefH22_3x_0)</f>
        <v>280.44</v>
      </c>
      <c r="I76" s="1"/>
      <c r="J76" s="5">
        <f t="shared" si="34"/>
        <v>6.1454077901217455E-4</v>
      </c>
      <c r="K76" s="1"/>
      <c r="L76" s="1">
        <f t="shared" si="35"/>
        <v>0</v>
      </c>
      <c r="M76" s="1"/>
      <c r="N76" s="5">
        <f t="shared" si="36"/>
        <v>0</v>
      </c>
      <c r="O76" s="13"/>
      <c r="P76" s="1">
        <f>SUM(OSRRefP22_3x_0)</f>
        <v>3084.84</v>
      </c>
      <c r="Q76" s="1"/>
      <c r="R76" s="5">
        <f t="shared" si="37"/>
        <v>1.2655860700559267E-3</v>
      </c>
      <c r="S76" s="1"/>
      <c r="T76" s="1">
        <f>SUM(OSRRefT22_3x_0)</f>
        <v>3084.84</v>
      </c>
      <c r="U76" s="1"/>
      <c r="V76" s="5">
        <f t="shared" si="38"/>
        <v>1.0953269837266481E-3</v>
      </c>
      <c r="W76" s="1"/>
      <c r="X76" s="1">
        <f t="shared" si="39"/>
        <v>0</v>
      </c>
      <c r="Y76" s="1"/>
      <c r="Z76" s="5">
        <f t="shared" si="40"/>
        <v>0</v>
      </c>
    </row>
    <row r="77" spans="1:26" s="24" customFormat="1" hidden="1" outlineLevel="2" x14ac:dyDescent="0.25">
      <c r="A77" s="26"/>
      <c r="B77" s="11" t="str">
        <f>CONCATENATE("          ", "6322", " - ", "EQUIPMENT DEPRECIATION EXPENSE")</f>
        <v xml:space="preserve">          6322 - EQUIPMENT DEPRECIATION EXPENSE</v>
      </c>
      <c r="C77" s="11"/>
      <c r="D77" s="6">
        <v>280.44</v>
      </c>
      <c r="E77" s="2"/>
      <c r="F77" s="7">
        <f t="shared" si="33"/>
        <v>2.9348330800604339E-3</v>
      </c>
      <c r="G77" s="2"/>
      <c r="H77" s="6">
        <v>280.44</v>
      </c>
      <c r="I77" s="2"/>
      <c r="J77" s="7">
        <f t="shared" si="34"/>
        <v>6.1454077901217455E-4</v>
      </c>
      <c r="K77" s="2"/>
      <c r="L77" s="6">
        <f t="shared" si="35"/>
        <v>0</v>
      </c>
      <c r="M77" s="2"/>
      <c r="N77" s="7">
        <f t="shared" si="36"/>
        <v>0</v>
      </c>
      <c r="O77" s="11"/>
      <c r="P77" s="6">
        <v>3084.84</v>
      </c>
      <c r="Q77" s="2"/>
      <c r="R77" s="7">
        <f t="shared" si="37"/>
        <v>1.2655860700559267E-3</v>
      </c>
      <c r="S77" s="2"/>
      <c r="T77" s="6">
        <v>3084.84</v>
      </c>
      <c r="U77" s="2"/>
      <c r="V77" s="7">
        <f t="shared" si="38"/>
        <v>1.0953269837266481E-3</v>
      </c>
      <c r="W77" s="2"/>
      <c r="X77" s="6">
        <f t="shared" si="39"/>
        <v>0</v>
      </c>
      <c r="Y77" s="2"/>
      <c r="Z77" s="7">
        <f t="shared" si="40"/>
        <v>0</v>
      </c>
    </row>
    <row r="78" spans="1:26" s="27" customFormat="1" outlineLevel="1" collapsed="1" x14ac:dyDescent="0.25">
      <c r="A78" s="25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4596.96</v>
      </c>
      <c r="E78" s="1"/>
      <c r="F78" s="5">
        <f t="shared" si="33"/>
        <v>4.8107653243883226E-2</v>
      </c>
      <c r="G78" s="1"/>
      <c r="H78" s="1">
        <f>SUM(OSRRefH22_4x_0)</f>
        <v>6266.97</v>
      </c>
      <c r="I78" s="1"/>
      <c r="J78" s="5">
        <f t="shared" si="34"/>
        <v>1.3733093088881499E-2</v>
      </c>
      <c r="K78" s="1"/>
      <c r="L78" s="1">
        <f t="shared" si="35"/>
        <v>-1670.0100000000002</v>
      </c>
      <c r="M78" s="1"/>
      <c r="N78" s="5">
        <f t="shared" si="36"/>
        <v>-0.26647805877481467</v>
      </c>
      <c r="O78" s="13"/>
      <c r="P78" s="1">
        <f>SUM(OSRRefP22_4x_0)</f>
        <v>74357.2</v>
      </c>
      <c r="Q78" s="1"/>
      <c r="R78" s="5">
        <f t="shared" si="37"/>
        <v>3.0505775511327184E-2</v>
      </c>
      <c r="S78" s="1"/>
      <c r="T78" s="1">
        <f>SUM(OSRRefT22_4x_0)</f>
        <v>92214.34</v>
      </c>
      <c r="U78" s="1"/>
      <c r="V78" s="5">
        <f t="shared" si="38"/>
        <v>3.2742331819006362E-2</v>
      </c>
      <c r="W78" s="1"/>
      <c r="X78" s="1">
        <f t="shared" si="39"/>
        <v>-17857.14</v>
      </c>
      <c r="Y78" s="1"/>
      <c r="Z78" s="5">
        <f t="shared" si="40"/>
        <v>-0.19364818964165442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6">
        <v>4596.96</v>
      </c>
      <c r="E79" s="2"/>
      <c r="F79" s="7">
        <f t="shared" si="33"/>
        <v>4.8107653243883226E-2</v>
      </c>
      <c r="G79" s="2"/>
      <c r="H79" s="6">
        <v>6266.97</v>
      </c>
      <c r="I79" s="2"/>
      <c r="J79" s="7">
        <f t="shared" si="34"/>
        <v>1.3733093088881499E-2</v>
      </c>
      <c r="K79" s="2"/>
      <c r="L79" s="6">
        <f t="shared" si="35"/>
        <v>-1670.0100000000002</v>
      </c>
      <c r="M79" s="2"/>
      <c r="N79" s="7">
        <f t="shared" si="36"/>
        <v>-0.26647805877481467</v>
      </c>
      <c r="O79" s="11"/>
      <c r="P79" s="6">
        <v>74357.2</v>
      </c>
      <c r="Q79" s="2"/>
      <c r="R79" s="7">
        <f t="shared" si="37"/>
        <v>3.0505775511327184E-2</v>
      </c>
      <c r="S79" s="2"/>
      <c r="T79" s="6">
        <v>92214.34</v>
      </c>
      <c r="U79" s="2"/>
      <c r="V79" s="7">
        <f t="shared" si="38"/>
        <v>3.2742331819006362E-2</v>
      </c>
      <c r="W79" s="2"/>
      <c r="X79" s="6">
        <f t="shared" si="39"/>
        <v>-17857.14</v>
      </c>
      <c r="Y79" s="2"/>
      <c r="Z79" s="7">
        <f t="shared" si="40"/>
        <v>-0.19364818964165442</v>
      </c>
    </row>
    <row r="80" spans="1:26" s="27" customFormat="1" outlineLevel="1" collapsed="1" x14ac:dyDescent="0.25">
      <c r="A80" s="25"/>
      <c r="B80" s="13" t="str">
        <f>CONCATENATE("     ","Donations                                         ")</f>
        <v xml:space="preserve">     Donations                                         </v>
      </c>
      <c r="C80" s="13"/>
      <c r="D80" s="1">
        <f>SUM(OSRRefD22_5x_0)</f>
        <v>0</v>
      </c>
      <c r="E80" s="1"/>
      <c r="F80" s="5">
        <f t="shared" si="33"/>
        <v>0</v>
      </c>
      <c r="G80" s="1"/>
      <c r="H80" s="1">
        <f>SUM(OSRRefH22_5x_0)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3"/>
      <c r="P80" s="1">
        <f>SUM(OSRRefP22_5x_0)</f>
        <v>0</v>
      </c>
      <c r="Q80" s="1"/>
      <c r="R80" s="5">
        <f t="shared" si="37"/>
        <v>0</v>
      </c>
      <c r="S80" s="1"/>
      <c r="T80" s="1">
        <f>SUM(OSRRefT22_5x_0)</f>
        <v>0</v>
      </c>
      <c r="U80" s="1"/>
      <c r="V80" s="5">
        <f t="shared" si="38"/>
        <v>0</v>
      </c>
      <c r="W80" s="1"/>
      <c r="X80" s="1">
        <f t="shared" si="39"/>
        <v>0</v>
      </c>
      <c r="Y80" s="1"/>
      <c r="Z80" s="5">
        <f t="shared" si="40"/>
        <v>0</v>
      </c>
    </row>
    <row r="81" spans="1:26" s="24" customFormat="1" hidden="1" outlineLevel="2" x14ac:dyDescent="0.25">
      <c r="A81" s="26"/>
      <c r="B81" s="11" t="str">
        <f>CONCATENATE("          ", "6399", " - ", "DONATION-ON CAMPUS")</f>
        <v xml:space="preserve">          6399 - DONATION-ON CAMPUS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/>
      <c r="Q81" s="2"/>
      <c r="R81" s="7">
        <f t="shared" si="37"/>
        <v>0</v>
      </c>
      <c r="S81" s="2"/>
      <c r="T81" s="6">
        <v>0</v>
      </c>
      <c r="U81" s="2"/>
      <c r="V81" s="7">
        <f t="shared" si="38"/>
        <v>0</v>
      </c>
      <c r="W81" s="2"/>
      <c r="X81" s="6">
        <f t="shared" si="39"/>
        <v>0</v>
      </c>
      <c r="Y81" s="2"/>
      <c r="Z81" s="7">
        <f t="shared" si="40"/>
        <v>0</v>
      </c>
    </row>
    <row r="82" spans="1:26" s="27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SUM(OSRRefD22_6x_0)</f>
        <v>0</v>
      </c>
      <c r="E82" s="1"/>
      <c r="F82" s="5">
        <f t="shared" si="33"/>
        <v>0</v>
      </c>
      <c r="G82" s="1"/>
      <c r="H82" s="1">
        <f>SUM(OSRRefH22_6x_0)</f>
        <v>0</v>
      </c>
      <c r="I82" s="1"/>
      <c r="J82" s="5">
        <f t="shared" si="34"/>
        <v>0</v>
      </c>
      <c r="K82" s="1"/>
      <c r="L82" s="1">
        <f t="shared" si="35"/>
        <v>0</v>
      </c>
      <c r="M82" s="1"/>
      <c r="N82" s="5">
        <f t="shared" si="36"/>
        <v>0</v>
      </c>
      <c r="O82" s="13"/>
      <c r="P82" s="1">
        <f>SUM(OSRRefP22_6x_0)</f>
        <v>0</v>
      </c>
      <c r="Q82" s="1"/>
      <c r="R82" s="5">
        <f t="shared" si="37"/>
        <v>0</v>
      </c>
      <c r="S82" s="1"/>
      <c r="T82" s="1">
        <f>SUM(OSRRefT22_6x_0)</f>
        <v>266.14999999999998</v>
      </c>
      <c r="U82" s="1"/>
      <c r="V82" s="5">
        <f t="shared" si="38"/>
        <v>9.4501263183454368E-5</v>
      </c>
      <c r="W82" s="1"/>
      <c r="X82" s="1">
        <f t="shared" si="39"/>
        <v>-266.14999999999998</v>
      </c>
      <c r="Y82" s="1"/>
      <c r="Z82" s="5">
        <f t="shared" si="40"/>
        <v>-1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3"/>
        <v>0</v>
      </c>
      <c r="G83" s="2"/>
      <c r="H83" s="6"/>
      <c r="I83" s="2"/>
      <c r="J83" s="7">
        <f t="shared" si="34"/>
        <v>0</v>
      </c>
      <c r="K83" s="2"/>
      <c r="L83" s="6">
        <f t="shared" si="35"/>
        <v>0</v>
      </c>
      <c r="M83" s="2"/>
      <c r="N83" s="7">
        <f t="shared" si="36"/>
        <v>0</v>
      </c>
      <c r="O83" s="11"/>
      <c r="P83" s="6"/>
      <c r="Q83" s="2"/>
      <c r="R83" s="7">
        <f t="shared" si="37"/>
        <v>0</v>
      </c>
      <c r="S83" s="2"/>
      <c r="T83" s="6">
        <v>266.14999999999998</v>
      </c>
      <c r="U83" s="2"/>
      <c r="V83" s="7">
        <f t="shared" si="38"/>
        <v>9.4501263183454368E-5</v>
      </c>
      <c r="W83" s="2"/>
      <c r="X83" s="6">
        <f t="shared" si="39"/>
        <v>-266.14999999999998</v>
      </c>
      <c r="Y83" s="2"/>
      <c r="Z83" s="7">
        <f t="shared" si="40"/>
        <v>-1</v>
      </c>
    </row>
    <row r="84" spans="1:26" s="27" customFormat="1" outlineLevel="1" collapsed="1" x14ac:dyDescent="0.25">
      <c r="A84" s="25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SUM(OSRRefD22_7x_0)</f>
        <v>0</v>
      </c>
      <c r="E84" s="1"/>
      <c r="F84" s="5">
        <f t="shared" si="33"/>
        <v>0</v>
      </c>
      <c r="G84" s="1"/>
      <c r="H84" s="1">
        <f>SUM(OSRRefH22_7x_0)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3"/>
      <c r="P84" s="1">
        <f>SUM(OSRRefP22_7x_0)</f>
        <v>120.59</v>
      </c>
      <c r="Q84" s="1"/>
      <c r="R84" s="5">
        <f t="shared" si="37"/>
        <v>4.9473238219176426E-5</v>
      </c>
      <c r="S84" s="1"/>
      <c r="T84" s="1">
        <f>SUM(OSRRefT22_7x_0)</f>
        <v>272.76</v>
      </c>
      <c r="U84" s="1"/>
      <c r="V84" s="5">
        <f t="shared" si="38"/>
        <v>9.6848260552015827E-5</v>
      </c>
      <c r="W84" s="1"/>
      <c r="X84" s="1">
        <f t="shared" si="39"/>
        <v>-152.16999999999999</v>
      </c>
      <c r="Y84" s="1"/>
      <c r="Z84" s="5">
        <f t="shared" si="40"/>
        <v>-0.55788971990027858</v>
      </c>
    </row>
    <row r="85" spans="1:26" s="24" customFormat="1" hidden="1" outlineLevel="2" x14ac:dyDescent="0.25">
      <c r="A85" s="26"/>
      <c r="B85" s="11" t="str">
        <f>CONCATENATE("          ", "6305", " - ", "FREIGHT OUT")</f>
        <v xml:space="preserve">          6305 - FREIGHT OUT</v>
      </c>
      <c r="C85" s="11"/>
      <c r="D85" s="6"/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1"/>
      <c r="P85" s="6">
        <v>120.59</v>
      </c>
      <c r="Q85" s="2"/>
      <c r="R85" s="7">
        <f t="shared" si="37"/>
        <v>4.9473238219176426E-5</v>
      </c>
      <c r="S85" s="2"/>
      <c r="T85" s="6">
        <v>251.93</v>
      </c>
      <c r="U85" s="2"/>
      <c r="V85" s="7">
        <f t="shared" si="38"/>
        <v>8.9452200765762396E-5</v>
      </c>
      <c r="W85" s="2"/>
      <c r="X85" s="6">
        <f t="shared" si="39"/>
        <v>-131.34</v>
      </c>
      <c r="Y85" s="2"/>
      <c r="Z85" s="7">
        <f t="shared" si="40"/>
        <v>-0.52133529154923985</v>
      </c>
    </row>
    <row r="86" spans="1:26" s="24" customFormat="1" hidden="1" outlineLevel="2" x14ac:dyDescent="0.25">
      <c r="A86" s="26"/>
      <c r="B86" s="11" t="str">
        <f>CONCATENATE("          ", "6307", " - ", "POSTAGE")</f>
        <v xml:space="preserve">          6307 - POSTAGE</v>
      </c>
      <c r="C86" s="11"/>
      <c r="D86" s="6"/>
      <c r="E86" s="2"/>
      <c r="F86" s="7">
        <f t="shared" si="33"/>
        <v>0</v>
      </c>
      <c r="G86" s="2"/>
      <c r="H86" s="6"/>
      <c r="I86" s="2"/>
      <c r="J86" s="7">
        <f t="shared" si="34"/>
        <v>0</v>
      </c>
      <c r="K86" s="2"/>
      <c r="L86" s="6">
        <f t="shared" si="35"/>
        <v>0</v>
      </c>
      <c r="M86" s="2"/>
      <c r="N86" s="7">
        <f t="shared" si="36"/>
        <v>0</v>
      </c>
      <c r="O86" s="11"/>
      <c r="P86" s="6"/>
      <c r="Q86" s="2"/>
      <c r="R86" s="7">
        <f t="shared" si="37"/>
        <v>0</v>
      </c>
      <c r="S86" s="2"/>
      <c r="T86" s="6">
        <v>20.83</v>
      </c>
      <c r="U86" s="2"/>
      <c r="V86" s="7">
        <f t="shared" si="38"/>
        <v>7.3960597862534448E-6</v>
      </c>
      <c r="W86" s="2"/>
      <c r="X86" s="6">
        <f t="shared" si="39"/>
        <v>-20.83</v>
      </c>
      <c r="Y86" s="2"/>
      <c r="Z86" s="7">
        <f t="shared" si="40"/>
        <v>-1</v>
      </c>
    </row>
    <row r="87" spans="1:26" s="27" customFormat="1" outlineLevel="1" collapsed="1" x14ac:dyDescent="0.25">
      <c r="A87" s="25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SUM(OSRRefD22_8x_0)</f>
        <v>-80</v>
      </c>
      <c r="E87" s="1"/>
      <c r="F87" s="5">
        <f t="shared" ref="F87:F97" si="41">IF(D$12=0,0,D87/D$12)</f>
        <v>-8.3720812439322032E-4</v>
      </c>
      <c r="G87" s="1"/>
      <c r="H87" s="1">
        <f>SUM(OSRRefH22_8x_0)</f>
        <v>0</v>
      </c>
      <c r="I87" s="1"/>
      <c r="J87" s="5">
        <f t="shared" ref="J87:J97" si="42">IF(H$12=0,0,H87/H$12)</f>
        <v>0</v>
      </c>
      <c r="K87" s="1"/>
      <c r="L87" s="1">
        <f t="shared" ref="L87:L97" si="43">+D87-H87</f>
        <v>-80</v>
      </c>
      <c r="M87" s="1"/>
      <c r="N87" s="5">
        <f t="shared" ref="N87:N97" si="44">IF(H87=0,0,L87/H87)</f>
        <v>0</v>
      </c>
      <c r="O87" s="13"/>
      <c r="P87" s="1">
        <f>SUM(OSRRefP22_8x_0)</f>
        <v>205</v>
      </c>
      <c r="Q87" s="1"/>
      <c r="R87" s="5">
        <f t="shared" ref="R87:R97" si="45">IF(P$12=0,0,P87/P$12)</f>
        <v>8.4103274192977586E-5</v>
      </c>
      <c r="S87" s="1"/>
      <c r="T87" s="1">
        <f>SUM(OSRRefT22_8x_0)</f>
        <v>597.39</v>
      </c>
      <c r="U87" s="1"/>
      <c r="V87" s="5">
        <f t="shared" ref="V87:V97" si="46">IF(T$12=0,0,T87/T$12)</f>
        <v>2.1211388169514861E-4</v>
      </c>
      <c r="W87" s="1"/>
      <c r="X87" s="1">
        <f t="shared" ref="X87:X97" si="47">+P87-T87</f>
        <v>-392.39</v>
      </c>
      <c r="Y87" s="1"/>
      <c r="Z87" s="5">
        <f t="shared" ref="Z87:Z97" si="48">IF(T87=0,0,X87/T87)</f>
        <v>-0.65684058989939564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6">
        <v>-80</v>
      </c>
      <c r="E88" s="2"/>
      <c r="F88" s="7">
        <f t="shared" si="41"/>
        <v>-8.3720812439322032E-4</v>
      </c>
      <c r="G88" s="2"/>
      <c r="H88" s="6"/>
      <c r="I88" s="2"/>
      <c r="J88" s="7">
        <f t="shared" si="42"/>
        <v>0</v>
      </c>
      <c r="K88" s="2"/>
      <c r="L88" s="6">
        <f t="shared" si="43"/>
        <v>-80</v>
      </c>
      <c r="M88" s="2"/>
      <c r="N88" s="7">
        <f t="shared" si="44"/>
        <v>0</v>
      </c>
      <c r="O88" s="11"/>
      <c r="P88" s="6">
        <v>205</v>
      </c>
      <c r="Q88" s="2"/>
      <c r="R88" s="7">
        <f t="shared" si="45"/>
        <v>8.4103274192977586E-5</v>
      </c>
      <c r="S88" s="2"/>
      <c r="T88" s="6">
        <v>597.39</v>
      </c>
      <c r="U88" s="2"/>
      <c r="V88" s="7">
        <f t="shared" si="46"/>
        <v>2.1211388169514861E-4</v>
      </c>
      <c r="W88" s="2"/>
      <c r="X88" s="6">
        <f t="shared" si="47"/>
        <v>-392.39</v>
      </c>
      <c r="Y88" s="2"/>
      <c r="Z88" s="7">
        <f t="shared" si="48"/>
        <v>-0.65684058989939564</v>
      </c>
    </row>
    <row r="89" spans="1:26" s="27" customFormat="1" outlineLevel="1" collapsed="1" x14ac:dyDescent="0.25">
      <c r="A89" s="25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SUM(OSRRefD22_9x_0)</f>
        <v>0</v>
      </c>
      <c r="E89" s="1"/>
      <c r="F89" s="5">
        <f t="shared" si="41"/>
        <v>0</v>
      </c>
      <c r="G89" s="1"/>
      <c r="H89" s="1">
        <f>SUM(OSRRefH22_9x_0)</f>
        <v>1250</v>
      </c>
      <c r="I89" s="1"/>
      <c r="J89" s="5">
        <f t="shared" si="42"/>
        <v>2.7391811930010633E-3</v>
      </c>
      <c r="K89" s="1"/>
      <c r="L89" s="1">
        <f t="shared" si="43"/>
        <v>-1250</v>
      </c>
      <c r="M89" s="1"/>
      <c r="N89" s="5">
        <f t="shared" si="44"/>
        <v>-1</v>
      </c>
      <c r="O89" s="13"/>
      <c r="P89" s="1">
        <f>SUM(OSRRefP22_9x_0)</f>
        <v>0</v>
      </c>
      <c r="Q89" s="1"/>
      <c r="R89" s="5">
        <f t="shared" si="45"/>
        <v>0</v>
      </c>
      <c r="S89" s="1"/>
      <c r="T89" s="1">
        <f>SUM(OSRRefT22_9x_0)</f>
        <v>14150</v>
      </c>
      <c r="U89" s="1"/>
      <c r="V89" s="5">
        <f t="shared" si="46"/>
        <v>5.0242076800521484E-3</v>
      </c>
      <c r="W89" s="1"/>
      <c r="X89" s="1">
        <f t="shared" si="47"/>
        <v>-14150</v>
      </c>
      <c r="Y89" s="1"/>
      <c r="Z89" s="5">
        <f t="shared" si="48"/>
        <v>-1</v>
      </c>
    </row>
    <row r="90" spans="1:26" s="24" customFormat="1" hidden="1" outlineLevel="2" x14ac:dyDescent="0.25">
      <c r="A90" s="26"/>
      <c r="B90" s="11" t="str">
        <f>CONCATENATE("          ", "6408", " - ", "INVENTORY ADJUSTMENT")</f>
        <v xml:space="preserve">          6408 - INVENTORY ADJUSTMENT</v>
      </c>
      <c r="C90" s="11"/>
      <c r="D90" s="6"/>
      <c r="E90" s="2"/>
      <c r="F90" s="7">
        <f t="shared" si="41"/>
        <v>0</v>
      </c>
      <c r="G90" s="2"/>
      <c r="H90" s="6">
        <v>1250</v>
      </c>
      <c r="I90" s="2"/>
      <c r="J90" s="7">
        <f t="shared" si="42"/>
        <v>2.7391811930010633E-3</v>
      </c>
      <c r="K90" s="2"/>
      <c r="L90" s="6">
        <f t="shared" si="43"/>
        <v>-1250</v>
      </c>
      <c r="M90" s="2"/>
      <c r="N90" s="7">
        <f t="shared" si="44"/>
        <v>-1</v>
      </c>
      <c r="O90" s="11"/>
      <c r="P90" s="6"/>
      <c r="Q90" s="2"/>
      <c r="R90" s="7">
        <f t="shared" si="45"/>
        <v>0</v>
      </c>
      <c r="S90" s="2"/>
      <c r="T90" s="6">
        <v>14150</v>
      </c>
      <c r="U90" s="2"/>
      <c r="V90" s="7">
        <f t="shared" si="46"/>
        <v>5.0242076800521484E-3</v>
      </c>
      <c r="W90" s="2"/>
      <c r="X90" s="6">
        <f t="shared" si="47"/>
        <v>-14150</v>
      </c>
      <c r="Y90" s="2"/>
      <c r="Z90" s="7">
        <f t="shared" si="48"/>
        <v>-1</v>
      </c>
    </row>
    <row r="91" spans="1:26" s="27" customFormat="1" outlineLevel="1" collapsed="1" x14ac:dyDescent="0.25">
      <c r="A91" s="25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SUM(OSRRefD22_10x_0)</f>
        <v>0</v>
      </c>
      <c r="E91" s="1"/>
      <c r="F91" s="5">
        <f t="shared" si="41"/>
        <v>0</v>
      </c>
      <c r="G91" s="1"/>
      <c r="H91" s="1">
        <f>SUM(OSRRefH22_10x_0)</f>
        <v>0</v>
      </c>
      <c r="I91" s="1"/>
      <c r="J91" s="5">
        <f t="shared" si="42"/>
        <v>0</v>
      </c>
      <c r="K91" s="1"/>
      <c r="L91" s="1">
        <f t="shared" si="43"/>
        <v>0</v>
      </c>
      <c r="M91" s="1"/>
      <c r="N91" s="5">
        <f t="shared" si="44"/>
        <v>0</v>
      </c>
      <c r="O91" s="13"/>
      <c r="P91" s="1">
        <f>SUM(OSRRefP22_10x_0)</f>
        <v>197.18</v>
      </c>
      <c r="Q91" s="1"/>
      <c r="R91" s="5">
        <f t="shared" si="45"/>
        <v>8.0895041977421068E-5</v>
      </c>
      <c r="S91" s="1"/>
      <c r="T91" s="1">
        <f>SUM(OSRRefT22_10x_0)</f>
        <v>0</v>
      </c>
      <c r="U91" s="1"/>
      <c r="V91" s="5">
        <f t="shared" si="46"/>
        <v>0</v>
      </c>
      <c r="W91" s="1"/>
      <c r="X91" s="1">
        <f t="shared" si="47"/>
        <v>197.18</v>
      </c>
      <c r="Y91" s="1"/>
      <c r="Z91" s="5">
        <f t="shared" si="48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41"/>
        <v>0</v>
      </c>
      <c r="G92" s="2"/>
      <c r="H92" s="6"/>
      <c r="I92" s="2"/>
      <c r="J92" s="7">
        <f t="shared" si="42"/>
        <v>0</v>
      </c>
      <c r="K92" s="2"/>
      <c r="L92" s="6">
        <f t="shared" si="43"/>
        <v>0</v>
      </c>
      <c r="M92" s="2"/>
      <c r="N92" s="7">
        <f t="shared" si="44"/>
        <v>0</v>
      </c>
      <c r="O92" s="11"/>
      <c r="P92" s="6">
        <v>197.18</v>
      </c>
      <c r="Q92" s="2"/>
      <c r="R92" s="7">
        <f t="shared" si="45"/>
        <v>8.0895041977421068E-5</v>
      </c>
      <c r="S92" s="2"/>
      <c r="T92" s="6"/>
      <c r="U92" s="2"/>
      <c r="V92" s="7">
        <f t="shared" si="46"/>
        <v>0</v>
      </c>
      <c r="W92" s="2"/>
      <c r="X92" s="6">
        <f t="shared" si="47"/>
        <v>197.18</v>
      </c>
      <c r="Y92" s="2"/>
      <c r="Z92" s="7">
        <f t="shared" si="48"/>
        <v>0</v>
      </c>
    </row>
    <row r="93" spans="1:26" s="27" customFormat="1" outlineLevel="1" collapsed="1" x14ac:dyDescent="0.25">
      <c r="A93" s="25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SUM(OSRRefD22_11x_0)</f>
        <v>0</v>
      </c>
      <c r="E93" s="1"/>
      <c r="F93" s="5">
        <f t="shared" si="41"/>
        <v>0</v>
      </c>
      <c r="G93" s="1"/>
      <c r="H93" s="1">
        <f>SUM(OSRRefH22_11x_0)</f>
        <v>0</v>
      </c>
      <c r="I93" s="1"/>
      <c r="J93" s="5">
        <f t="shared" si="42"/>
        <v>0</v>
      </c>
      <c r="K93" s="1"/>
      <c r="L93" s="1">
        <f t="shared" si="43"/>
        <v>0</v>
      </c>
      <c r="M93" s="1"/>
      <c r="N93" s="5">
        <f t="shared" si="44"/>
        <v>0</v>
      </c>
      <c r="O93" s="13"/>
      <c r="P93" s="1">
        <f>SUM(OSRRefP22_11x_0)</f>
        <v>-4886.5</v>
      </c>
      <c r="Q93" s="1"/>
      <c r="R93" s="5">
        <f t="shared" si="45"/>
        <v>-2.0047348748487071E-3</v>
      </c>
      <c r="S93" s="1"/>
      <c r="T93" s="1">
        <f>SUM(OSRRefT22_11x_0)</f>
        <v>-3152.96</v>
      </c>
      <c r="U93" s="1"/>
      <c r="V93" s="5">
        <f t="shared" si="46"/>
        <v>-1.1195141941270123E-3</v>
      </c>
      <c r="W93" s="1"/>
      <c r="X93" s="1">
        <f t="shared" si="47"/>
        <v>-1733.54</v>
      </c>
      <c r="Y93" s="1"/>
      <c r="Z93" s="5">
        <f t="shared" si="48"/>
        <v>0.54981350857606814</v>
      </c>
    </row>
    <row r="94" spans="1:26" s="24" customFormat="1" hidden="1" outlineLevel="2" x14ac:dyDescent="0.25">
      <c r="A94" s="26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41"/>
        <v>0</v>
      </c>
      <c r="G94" s="2"/>
      <c r="H94" s="6"/>
      <c r="I94" s="2"/>
      <c r="J94" s="7">
        <f t="shared" si="42"/>
        <v>0</v>
      </c>
      <c r="K94" s="2"/>
      <c r="L94" s="6">
        <f t="shared" si="43"/>
        <v>0</v>
      </c>
      <c r="M94" s="2"/>
      <c r="N94" s="7">
        <f t="shared" si="44"/>
        <v>0</v>
      </c>
      <c r="O94" s="11"/>
      <c r="P94" s="6">
        <v>-4886.5</v>
      </c>
      <c r="Q94" s="2"/>
      <c r="R94" s="7">
        <f t="shared" si="45"/>
        <v>-2.0047348748487071E-3</v>
      </c>
      <c r="S94" s="2"/>
      <c r="T94" s="6">
        <v>-3152.96</v>
      </c>
      <c r="U94" s="2"/>
      <c r="V94" s="7">
        <f t="shared" si="46"/>
        <v>-1.1195141941270123E-3</v>
      </c>
      <c r="W94" s="2"/>
      <c r="X94" s="6">
        <f t="shared" si="47"/>
        <v>-1733.54</v>
      </c>
      <c r="Y94" s="2"/>
      <c r="Z94" s="7">
        <f t="shared" si="48"/>
        <v>0.54981350857606814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SUM(OSRRefD22_12x_0)</f>
        <v>59.25</v>
      </c>
      <c r="E95" s="1"/>
      <c r="F95" s="5">
        <f t="shared" si="41"/>
        <v>6.2005726712872878E-4</v>
      </c>
      <c r="G95" s="1"/>
      <c r="H95" s="1">
        <f>SUM(OSRRefH22_12x_0)</f>
        <v>42.98</v>
      </c>
      <c r="I95" s="1"/>
      <c r="J95" s="5">
        <f t="shared" si="42"/>
        <v>9.4184006140148562E-5</v>
      </c>
      <c r="K95" s="1"/>
      <c r="L95" s="1">
        <f t="shared" si="43"/>
        <v>16.270000000000003</v>
      </c>
      <c r="M95" s="1"/>
      <c r="N95" s="5">
        <f t="shared" si="44"/>
        <v>0.37854816193578417</v>
      </c>
      <c r="O95" s="13"/>
      <c r="P95" s="1">
        <f>SUM(OSRRefP22_12x_0)</f>
        <v>3194.5200000000004</v>
      </c>
      <c r="Q95" s="1"/>
      <c r="R95" s="5">
        <f t="shared" si="45"/>
        <v>1.3105833730485403E-3</v>
      </c>
      <c r="S95" s="1"/>
      <c r="T95" s="1">
        <f>SUM(OSRRefT22_12x_0)</f>
        <v>2214.7200000000003</v>
      </c>
      <c r="U95" s="1"/>
      <c r="V95" s="5">
        <f t="shared" si="46"/>
        <v>7.8637549350990077E-4</v>
      </c>
      <c r="W95" s="1"/>
      <c r="X95" s="1">
        <f t="shared" si="47"/>
        <v>979.80000000000018</v>
      </c>
      <c r="Y95" s="1"/>
      <c r="Z95" s="5">
        <f t="shared" si="48"/>
        <v>0.44240355439965329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6">
        <v>59.25</v>
      </c>
      <c r="E96" s="2"/>
      <c r="F96" s="7">
        <f t="shared" si="41"/>
        <v>6.2005726712872878E-4</v>
      </c>
      <c r="G96" s="2"/>
      <c r="H96" s="6">
        <v>42.98</v>
      </c>
      <c r="I96" s="2"/>
      <c r="J96" s="7">
        <f t="shared" si="42"/>
        <v>9.4184006140148562E-5</v>
      </c>
      <c r="K96" s="2"/>
      <c r="L96" s="6">
        <f t="shared" si="43"/>
        <v>16.270000000000003</v>
      </c>
      <c r="M96" s="2"/>
      <c r="N96" s="7">
        <f t="shared" si="44"/>
        <v>0.37854816193578417</v>
      </c>
      <c r="O96" s="11"/>
      <c r="P96" s="6">
        <v>1185.1400000000001</v>
      </c>
      <c r="Q96" s="2"/>
      <c r="R96" s="7">
        <f t="shared" si="45"/>
        <v>4.862153872051974E-4</v>
      </c>
      <c r="S96" s="2"/>
      <c r="T96" s="6">
        <v>1545.44</v>
      </c>
      <c r="U96" s="2"/>
      <c r="V96" s="7">
        <f t="shared" si="46"/>
        <v>5.4873579625864264E-4</v>
      </c>
      <c r="W96" s="2"/>
      <c r="X96" s="6">
        <f t="shared" si="47"/>
        <v>-360.29999999999995</v>
      </c>
      <c r="Y96" s="2"/>
      <c r="Z96" s="7">
        <f t="shared" si="48"/>
        <v>-0.23313748835283152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41"/>
        <v>0</v>
      </c>
      <c r="G97" s="2"/>
      <c r="H97" s="6"/>
      <c r="I97" s="2"/>
      <c r="J97" s="7">
        <f t="shared" si="42"/>
        <v>0</v>
      </c>
      <c r="K97" s="2"/>
      <c r="L97" s="6">
        <f t="shared" si="43"/>
        <v>0</v>
      </c>
      <c r="M97" s="2"/>
      <c r="N97" s="7">
        <f t="shared" si="44"/>
        <v>0</v>
      </c>
      <c r="O97" s="11"/>
      <c r="P97" s="6">
        <v>2009.38</v>
      </c>
      <c r="Q97" s="2"/>
      <c r="R97" s="7">
        <f t="shared" si="45"/>
        <v>8.2436798584334294E-4</v>
      </c>
      <c r="S97" s="2"/>
      <c r="T97" s="6">
        <v>669.28</v>
      </c>
      <c r="U97" s="2"/>
      <c r="V97" s="7">
        <f t="shared" si="46"/>
        <v>2.3763969725125808E-4</v>
      </c>
      <c r="W97" s="2"/>
      <c r="X97" s="6">
        <f t="shared" si="47"/>
        <v>1340.1000000000001</v>
      </c>
      <c r="Y97" s="2"/>
      <c r="Z97" s="7">
        <f t="shared" si="48"/>
        <v>2.0023009801577816</v>
      </c>
    </row>
    <row r="98" spans="1:26" s="27" customFormat="1" outlineLevel="1" collapsed="1" x14ac:dyDescent="0.25">
      <c r="A98" s="25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SUM(OSRRefD22_13x_0)</f>
        <v>212.75</v>
      </c>
      <c r="E98" s="1"/>
      <c r="F98" s="5">
        <f t="shared" ref="F98:F104" si="49">IF(D$12=0,0,D98/D$12)</f>
        <v>2.2264503558082202E-3</v>
      </c>
      <c r="G98" s="1"/>
      <c r="H98" s="1">
        <f>SUM(OSRRefH22_13x_0)</f>
        <v>223.35</v>
      </c>
      <c r="I98" s="1"/>
      <c r="J98" s="5">
        <f t="shared" ref="J98:J104" si="50">IF(H$12=0,0,H98/H$12)</f>
        <v>4.8943689556542997E-4</v>
      </c>
      <c r="K98" s="1"/>
      <c r="L98" s="1">
        <f t="shared" ref="L98:L104" si="51">+D98-H98</f>
        <v>-10.599999999999994</v>
      </c>
      <c r="M98" s="1"/>
      <c r="N98" s="5">
        <f t="shared" ref="N98:N104" si="52">IF(H98=0,0,L98/H98)</f>
        <v>-4.7459144839937295E-2</v>
      </c>
      <c r="O98" s="13"/>
      <c r="P98" s="1">
        <f>SUM(OSRRefP22_13x_0)</f>
        <v>2725.2</v>
      </c>
      <c r="Q98" s="1"/>
      <c r="R98" s="5">
        <f t="shared" ref="R98:R104" si="53">IF(P$12=0,0,P98/P$12)</f>
        <v>1.1180402089302562E-3</v>
      </c>
      <c r="S98" s="1"/>
      <c r="T98" s="1">
        <f>SUM(OSRRefT22_13x_0)</f>
        <v>3186.92</v>
      </c>
      <c r="U98" s="1"/>
      <c r="V98" s="5">
        <f t="shared" ref="V98:V104" si="54">IF(T$12=0,0,T98/T$12)</f>
        <v>1.1315722925591375E-3</v>
      </c>
      <c r="W98" s="1"/>
      <c r="X98" s="1">
        <f t="shared" ref="X98:X104" si="55">+P98-T98</f>
        <v>-461.72000000000025</v>
      </c>
      <c r="Y98" s="1"/>
      <c r="Z98" s="5">
        <f t="shared" ref="Z98:Z104" si="56">IF(T98=0,0,X98/T98)</f>
        <v>-0.14487969575640439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6">
        <v>212.75</v>
      </c>
      <c r="E99" s="2"/>
      <c r="F99" s="7">
        <f t="shared" si="49"/>
        <v>2.2264503558082202E-3</v>
      </c>
      <c r="G99" s="2"/>
      <c r="H99" s="6">
        <v>223.35</v>
      </c>
      <c r="I99" s="2"/>
      <c r="J99" s="7">
        <f t="shared" si="50"/>
        <v>4.8943689556542997E-4</v>
      </c>
      <c r="K99" s="2"/>
      <c r="L99" s="6">
        <f t="shared" si="51"/>
        <v>-10.599999999999994</v>
      </c>
      <c r="M99" s="2"/>
      <c r="N99" s="7">
        <f t="shared" si="52"/>
        <v>-4.7459144839937295E-2</v>
      </c>
      <c r="O99" s="11"/>
      <c r="P99" s="6">
        <v>2725.2</v>
      </c>
      <c r="Q99" s="2"/>
      <c r="R99" s="7">
        <f t="shared" si="53"/>
        <v>1.1180402089302562E-3</v>
      </c>
      <c r="S99" s="2"/>
      <c r="T99" s="6">
        <v>3186.92</v>
      </c>
      <c r="U99" s="2"/>
      <c r="V99" s="7">
        <f t="shared" si="54"/>
        <v>1.1315722925591375E-3</v>
      </c>
      <c r="W99" s="2"/>
      <c r="X99" s="6">
        <f t="shared" si="55"/>
        <v>-461.72000000000025</v>
      </c>
      <c r="Y99" s="2"/>
      <c r="Z99" s="7">
        <f t="shared" si="56"/>
        <v>-0.14487969575640439</v>
      </c>
    </row>
    <row r="100" spans="1:26" s="27" customFormat="1" outlineLevel="1" collapsed="1" x14ac:dyDescent="0.25">
      <c r="A100" s="25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SUM(OSRRefD22_14x_0)</f>
        <v>0</v>
      </c>
      <c r="E100" s="1"/>
      <c r="F100" s="5">
        <f t="shared" si="49"/>
        <v>0</v>
      </c>
      <c r="G100" s="1"/>
      <c r="H100" s="1">
        <f>SUM(OSRRefH22_14x_0)</f>
        <v>-697.97</v>
      </c>
      <c r="I100" s="1"/>
      <c r="J100" s="5">
        <f t="shared" si="50"/>
        <v>-1.5294930378231617E-3</v>
      </c>
      <c r="K100" s="1"/>
      <c r="L100" s="1">
        <f t="shared" si="51"/>
        <v>697.97</v>
      </c>
      <c r="M100" s="1"/>
      <c r="N100" s="5">
        <f t="shared" si="52"/>
        <v>-1</v>
      </c>
      <c r="O100" s="13"/>
      <c r="P100" s="1">
        <f>SUM(OSRRefP22_14x_0)</f>
        <v>1875.75</v>
      </c>
      <c r="Q100" s="1"/>
      <c r="R100" s="5">
        <f t="shared" si="53"/>
        <v>7.6954495886574488E-4</v>
      </c>
      <c r="S100" s="1"/>
      <c r="T100" s="1">
        <f>SUM(OSRRefT22_14x_0)</f>
        <v>568.94000000000005</v>
      </c>
      <c r="U100" s="1"/>
      <c r="V100" s="5">
        <f t="shared" si="54"/>
        <v>2.02012206182959E-4</v>
      </c>
      <c r="W100" s="1"/>
      <c r="X100" s="1">
        <f t="shared" si="55"/>
        <v>1306.81</v>
      </c>
      <c r="Y100" s="1"/>
      <c r="Z100" s="5">
        <f t="shared" si="56"/>
        <v>2.2969205891658167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49"/>
        <v>0</v>
      </c>
      <c r="G101" s="2"/>
      <c r="H101" s="6">
        <v>-697.97</v>
      </c>
      <c r="I101" s="2"/>
      <c r="J101" s="7">
        <f t="shared" si="50"/>
        <v>-1.5294930378231617E-3</v>
      </c>
      <c r="K101" s="2"/>
      <c r="L101" s="6">
        <f t="shared" si="51"/>
        <v>697.97</v>
      </c>
      <c r="M101" s="2"/>
      <c r="N101" s="7">
        <f t="shared" si="52"/>
        <v>-1</v>
      </c>
      <c r="O101" s="11"/>
      <c r="P101" s="6">
        <v>1875.75</v>
      </c>
      <c r="Q101" s="2"/>
      <c r="R101" s="7">
        <f t="shared" si="53"/>
        <v>7.6954495886574488E-4</v>
      </c>
      <c r="S101" s="2"/>
      <c r="T101" s="6">
        <v>568.94000000000005</v>
      </c>
      <c r="U101" s="2"/>
      <c r="V101" s="7">
        <f t="shared" si="54"/>
        <v>2.02012206182959E-4</v>
      </c>
      <c r="W101" s="2"/>
      <c r="X101" s="6">
        <f t="shared" si="55"/>
        <v>1306.81</v>
      </c>
      <c r="Y101" s="2"/>
      <c r="Z101" s="7">
        <f t="shared" si="56"/>
        <v>2.2969205891658167</v>
      </c>
    </row>
    <row r="102" spans="1:26" s="27" customFormat="1" outlineLevel="1" collapsed="1" x14ac:dyDescent="0.25">
      <c r="A102" s="25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SUM(OSRRefD22_15x_0)</f>
        <v>0</v>
      </c>
      <c r="E102" s="1"/>
      <c r="F102" s="5">
        <f t="shared" si="49"/>
        <v>0</v>
      </c>
      <c r="G102" s="1"/>
      <c r="H102" s="1">
        <f>SUM(OSRRefH22_15x_0)</f>
        <v>334.81</v>
      </c>
      <c r="I102" s="1"/>
      <c r="J102" s="5">
        <f t="shared" si="50"/>
        <v>7.3368420418294883E-4</v>
      </c>
      <c r="K102" s="1"/>
      <c r="L102" s="1">
        <f t="shared" si="51"/>
        <v>-334.81</v>
      </c>
      <c r="M102" s="1"/>
      <c r="N102" s="5">
        <f t="shared" si="52"/>
        <v>-1</v>
      </c>
      <c r="O102" s="13"/>
      <c r="P102" s="1">
        <f>SUM(OSRRefP22_15x_0)</f>
        <v>-178.06</v>
      </c>
      <c r="Q102" s="1"/>
      <c r="R102" s="5">
        <f t="shared" si="53"/>
        <v>-7.3050873184397997E-5</v>
      </c>
      <c r="S102" s="1"/>
      <c r="T102" s="1">
        <f>SUM(OSRRefT22_15x_0)</f>
        <v>1638.2</v>
      </c>
      <c r="U102" s="1"/>
      <c r="V102" s="5">
        <f t="shared" si="54"/>
        <v>5.8167187430822832E-4</v>
      </c>
      <c r="W102" s="1"/>
      <c r="X102" s="1">
        <f t="shared" si="55"/>
        <v>-1816.26</v>
      </c>
      <c r="Y102" s="1"/>
      <c r="Z102" s="5">
        <f t="shared" si="56"/>
        <v>-1.1086924673422047</v>
      </c>
    </row>
    <row r="103" spans="1:26" s="24" customFormat="1" hidden="1" outlineLevel="2" x14ac:dyDescent="0.25">
      <c r="A103" s="26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49"/>
        <v>0</v>
      </c>
      <c r="G103" s="2"/>
      <c r="H103" s="6">
        <v>334.81</v>
      </c>
      <c r="I103" s="2"/>
      <c r="J103" s="7">
        <f t="shared" si="50"/>
        <v>7.3368420418294883E-4</v>
      </c>
      <c r="K103" s="2"/>
      <c r="L103" s="6">
        <f t="shared" si="51"/>
        <v>-334.81</v>
      </c>
      <c r="M103" s="2"/>
      <c r="N103" s="7">
        <f t="shared" si="52"/>
        <v>-1</v>
      </c>
      <c r="O103" s="11"/>
      <c r="P103" s="6">
        <v>-178.06</v>
      </c>
      <c r="Q103" s="2"/>
      <c r="R103" s="7">
        <f t="shared" si="53"/>
        <v>-7.3050873184397997E-5</v>
      </c>
      <c r="S103" s="2"/>
      <c r="T103" s="6">
        <v>1333.64</v>
      </c>
      <c r="U103" s="2"/>
      <c r="V103" s="7">
        <f t="shared" si="54"/>
        <v>4.7353246151411645E-4</v>
      </c>
      <c r="W103" s="2"/>
      <c r="X103" s="6">
        <f t="shared" si="55"/>
        <v>-1511.7</v>
      </c>
      <c r="Y103" s="2"/>
      <c r="Z103" s="7">
        <f t="shared" si="56"/>
        <v>-1.133514291712906</v>
      </c>
    </row>
    <row r="104" spans="1:26" s="24" customFormat="1" hidden="1" outlineLevel="2" x14ac:dyDescent="0.25">
      <c r="A104" s="26"/>
      <c r="B104" s="11" t="str">
        <f>CONCATENATE("          ", "6294", " - ", "TRAVEL OPERATIONAL")</f>
        <v xml:space="preserve">          6294 - TRAVEL OPERATIONAL</v>
      </c>
      <c r="C104" s="11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/>
      <c r="Q104" s="2"/>
      <c r="R104" s="7">
        <f t="shared" si="53"/>
        <v>0</v>
      </c>
      <c r="S104" s="2"/>
      <c r="T104" s="6">
        <v>304.56</v>
      </c>
      <c r="U104" s="2"/>
      <c r="V104" s="7">
        <f t="shared" si="54"/>
        <v>1.0813941279411183E-4</v>
      </c>
      <c r="W104" s="2"/>
      <c r="X104" s="6">
        <f t="shared" si="55"/>
        <v>-304.56</v>
      </c>
      <c r="Y104" s="2"/>
      <c r="Z104" s="7">
        <f t="shared" si="56"/>
        <v>-1</v>
      </c>
    </row>
    <row r="105" spans="1:26" s="58" customFormat="1" x14ac:dyDescent="0.25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-294.75</v>
      </c>
      <c r="E106" s="4"/>
      <c r="F106" s="12">
        <f t="shared" ref="F106:F110" si="57">IF(D$12=0,0,D106/D$12)</f>
        <v>-3.0845886833112709E-3</v>
      </c>
      <c r="G106" s="4"/>
      <c r="H106" s="4">
        <f>SUM(OSRRefH25x_0)</f>
        <v>-276.20999999999998</v>
      </c>
      <c r="I106" s="4"/>
      <c r="J106" s="12">
        <f t="shared" ref="J106:J110" si="58">IF(H$12=0,0,H106/H$12)</f>
        <v>-6.0527138985505893E-4</v>
      </c>
      <c r="K106" s="4"/>
      <c r="L106" s="4">
        <f t="shared" ref="L106:L110" si="59">+D106-H106</f>
        <v>-18.54000000000002</v>
      </c>
      <c r="M106" s="4"/>
      <c r="N106" s="12">
        <f t="shared" ref="N106:N110" si="60">IF(H106=0,0,L106/H106)</f>
        <v>6.7122841316389778E-2</v>
      </c>
      <c r="O106" s="10"/>
      <c r="P106" s="4">
        <f>SUM(OSRRefP25x_0)</f>
        <v>13362.580000000002</v>
      </c>
      <c r="Q106" s="4"/>
      <c r="R106" s="12">
        <f t="shared" ref="R106:R110" si="61">IF(P$12=0,0,P106/P$12)</f>
        <v>5.4821303886126759E-3</v>
      </c>
      <c r="S106" s="4"/>
      <c r="T106" s="4">
        <f>SUM(OSRRefT25x_0)</f>
        <v>8610.5</v>
      </c>
      <c r="U106" s="4"/>
      <c r="V106" s="12">
        <f t="shared" ref="V106:V110" si="62">IF(T$12=0,0,T106/T$12)</f>
        <v>3.0573102635398607E-3</v>
      </c>
      <c r="W106" s="4"/>
      <c r="X106" s="4">
        <f t="shared" ref="X106:X110" si="63">+P106-T106</f>
        <v>4752.0800000000017</v>
      </c>
      <c r="Y106" s="4"/>
      <c r="Z106" s="12">
        <f t="shared" ref="Z106:Z110" si="64">IF(T106=0,0,X106/T106)</f>
        <v>0.55189361825677974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--99.99</f>
        <v>99.99</v>
      </c>
      <c r="E107" s="2"/>
      <c r="F107" s="19">
        <f t="shared" si="57"/>
        <v>1.0464055044759762E-3</v>
      </c>
      <c r="G107" s="2"/>
      <c r="H107" s="2">
        <f>--423.21</f>
        <v>423.21</v>
      </c>
      <c r="I107" s="2"/>
      <c r="J107" s="19">
        <f t="shared" si="58"/>
        <v>9.2739909815198402E-4</v>
      </c>
      <c r="K107" s="2"/>
      <c r="L107" s="2">
        <f t="shared" si="59"/>
        <v>-323.21999999999997</v>
      </c>
      <c r="M107" s="2"/>
      <c r="N107" s="19">
        <f t="shared" si="60"/>
        <v>-0.76373431629687383</v>
      </c>
      <c r="O107" s="11"/>
      <c r="P107" s="2">
        <f>--16283.19</f>
        <v>16283.19</v>
      </c>
      <c r="Q107" s="2"/>
      <c r="R107" s="19">
        <f t="shared" si="61"/>
        <v>6.6803394795431738E-3</v>
      </c>
      <c r="S107" s="2"/>
      <c r="T107" s="2">
        <f>--7255.58</f>
        <v>7255.58</v>
      </c>
      <c r="U107" s="2"/>
      <c r="V107" s="19">
        <f t="shared" si="62"/>
        <v>2.5762219617832343E-3</v>
      </c>
      <c r="W107" s="2"/>
      <c r="X107" s="2">
        <f t="shared" si="63"/>
        <v>9027.61</v>
      </c>
      <c r="Y107" s="2"/>
      <c r="Z107" s="19">
        <f t="shared" si="64"/>
        <v>1.2442299581839082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7"/>
        <v>0</v>
      </c>
      <c r="G108" s="2"/>
      <c r="H108" s="2">
        <f t="shared" ref="H108:H109" si="65">0</f>
        <v>0</v>
      </c>
      <c r="I108" s="2"/>
      <c r="J108" s="19">
        <f t="shared" si="58"/>
        <v>0</v>
      </c>
      <c r="K108" s="2"/>
      <c r="L108" s="2">
        <f t="shared" si="59"/>
        <v>0</v>
      </c>
      <c r="M108" s="2"/>
      <c r="N108" s="19">
        <f t="shared" si="60"/>
        <v>0</v>
      </c>
      <c r="O108" s="11"/>
      <c r="P108" s="2">
        <f>-7889</f>
        <v>-7889</v>
      </c>
      <c r="Q108" s="2"/>
      <c r="R108" s="19">
        <f t="shared" si="61"/>
        <v>-3.2365401468702447E-3</v>
      </c>
      <c r="S108" s="2"/>
      <c r="T108" s="2">
        <f>0</f>
        <v>0</v>
      </c>
      <c r="U108" s="2"/>
      <c r="V108" s="19">
        <f t="shared" si="62"/>
        <v>0</v>
      </c>
      <c r="W108" s="2"/>
      <c r="X108" s="2">
        <f t="shared" si="63"/>
        <v>-7889</v>
      </c>
      <c r="Y108" s="2"/>
      <c r="Z108" s="19">
        <f t="shared" si="64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--32.7</f>
        <v>32.700000000000003</v>
      </c>
      <c r="E109" s="2"/>
      <c r="F109" s="19">
        <f t="shared" si="57"/>
        <v>3.4220882084572883E-4</v>
      </c>
      <c r="G109" s="2"/>
      <c r="H109" s="2">
        <f t="shared" si="65"/>
        <v>0</v>
      </c>
      <c r="I109" s="2"/>
      <c r="J109" s="19">
        <f t="shared" si="58"/>
        <v>0</v>
      </c>
      <c r="K109" s="2"/>
      <c r="L109" s="2">
        <f t="shared" si="59"/>
        <v>32.700000000000003</v>
      </c>
      <c r="M109" s="2"/>
      <c r="N109" s="19">
        <f t="shared" si="60"/>
        <v>0</v>
      </c>
      <c r="O109" s="11"/>
      <c r="P109" s="2">
        <f>-72.06</f>
        <v>-72.06</v>
      </c>
      <c r="Q109" s="2"/>
      <c r="R109" s="19">
        <f t="shared" si="61"/>
        <v>-2.95633265285169E-5</v>
      </c>
      <c r="S109" s="2"/>
      <c r="T109" s="2">
        <f>-240.2</f>
        <v>-240.2</v>
      </c>
      <c r="U109" s="2"/>
      <c r="V109" s="19">
        <f t="shared" si="62"/>
        <v>-8.5287256872687358E-5</v>
      </c>
      <c r="W109" s="2"/>
      <c r="X109" s="2">
        <f t="shared" si="63"/>
        <v>168.14</v>
      </c>
      <c r="Y109" s="2"/>
      <c r="Z109" s="19">
        <f t="shared" si="64"/>
        <v>-0.7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-427.44</f>
        <v>-427.44</v>
      </c>
      <c r="E110" s="2"/>
      <c r="F110" s="19">
        <f t="shared" si="57"/>
        <v>-4.4732030086329757E-3</v>
      </c>
      <c r="G110" s="2"/>
      <c r="H110" s="2">
        <f>-699.42</f>
        <v>-699.42</v>
      </c>
      <c r="I110" s="2"/>
      <c r="J110" s="19">
        <f t="shared" si="58"/>
        <v>-1.5326704880070428E-3</v>
      </c>
      <c r="K110" s="2"/>
      <c r="L110" s="2">
        <f t="shared" si="59"/>
        <v>271.97999999999996</v>
      </c>
      <c r="M110" s="2"/>
      <c r="N110" s="19">
        <f t="shared" si="60"/>
        <v>-0.38886505962082868</v>
      </c>
      <c r="O110" s="11"/>
      <c r="P110" s="2">
        <f>--5040.45</f>
        <v>5040.45</v>
      </c>
      <c r="Q110" s="2"/>
      <c r="R110" s="19">
        <f t="shared" si="61"/>
        <v>2.0678943824682626E-3</v>
      </c>
      <c r="S110" s="2"/>
      <c r="T110" s="2">
        <f>--1595.12</f>
        <v>1595.12</v>
      </c>
      <c r="U110" s="2"/>
      <c r="V110" s="19">
        <f t="shared" si="62"/>
        <v>5.6637555862931331E-4</v>
      </c>
      <c r="W110" s="2"/>
      <c r="X110" s="2">
        <f t="shared" si="63"/>
        <v>3445.33</v>
      </c>
      <c r="Y110" s="2"/>
      <c r="Z110" s="19">
        <f t="shared" si="64"/>
        <v>2.1599190029590249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1">
        <f>+D55-D57+D106</f>
        <v>-6321.5500000000029</v>
      </c>
      <c r="E112" s="14"/>
      <c r="F112" s="20">
        <f>IF(D$12=0,0,D112/D$12)</f>
        <v>-6.6155662734474555E-2</v>
      </c>
      <c r="G112" s="14"/>
      <c r="H112" s="21">
        <f>+H55-H57+H106</f>
        <v>45293.630000000056</v>
      </c>
      <c r="I112" s="14"/>
      <c r="J112" s="20">
        <f>IF(H$12=0,0,H112/H$12)</f>
        <v>9.9253967566999127E-2</v>
      </c>
      <c r="K112" s="16"/>
      <c r="L112" s="21">
        <f>+D112-H112</f>
        <v>-51615.180000000058</v>
      </c>
      <c r="M112" s="16"/>
      <c r="N112" s="20">
        <f>IF(H112=0,0,L112/H112)</f>
        <v>-1.1395681909354582</v>
      </c>
      <c r="O112" s="28"/>
      <c r="P112" s="21">
        <f>+P55-P57+P106</f>
        <v>118962.11000000116</v>
      </c>
      <c r="Q112" s="14"/>
      <c r="R112" s="20">
        <f>IF(P$12=0,0,P112/P$12)</f>
        <v>4.880538027270858E-2</v>
      </c>
      <c r="S112" s="14"/>
      <c r="T112" s="21">
        <f>+T55-T57+T106</f>
        <v>191106.94000000018</v>
      </c>
      <c r="U112" s="14"/>
      <c r="V112" s="20">
        <f>IF(T$12=0,0,T112/T$12)</f>
        <v>6.7855897926449901E-2</v>
      </c>
      <c r="W112" s="16"/>
      <c r="X112" s="21">
        <f>+P112-T112</f>
        <v>-72144.829999999012</v>
      </c>
      <c r="Y112" s="16"/>
      <c r="Z112" s="20">
        <f>IF(T112=0,0,X112/T112)</f>
        <v>-0.37751025682269279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22726.95</v>
      </c>
      <c r="E114" s="4"/>
      <c r="F114" s="12">
        <f>IF(D$12=0,0,D114/D$12)</f>
        <v>0.23783983978348125</v>
      </c>
      <c r="G114" s="4"/>
      <c r="H114" s="4">
        <v>47598.3</v>
      </c>
      <c r="I114" s="4"/>
      <c r="J114" s="12">
        <f>IF(H$12=0,0,H114/H$12)</f>
        <v>0.10430429454305802</v>
      </c>
      <c r="K114" s="4"/>
      <c r="L114" s="4">
        <f>+D114-H114</f>
        <v>-24871.350000000002</v>
      </c>
      <c r="M114" s="4"/>
      <c r="N114" s="12">
        <f>IF(H114=0,0,L114/H114)</f>
        <v>-0.5225260145845545</v>
      </c>
      <c r="O114" s="10"/>
      <c r="P114" s="4">
        <v>288635.63</v>
      </c>
      <c r="Q114" s="4"/>
      <c r="R114" s="12">
        <f>IF(P$12=0,0,P114/P$12)</f>
        <v>0.11841561722806257</v>
      </c>
      <c r="S114" s="4"/>
      <c r="T114" s="4">
        <v>292942.94999999995</v>
      </c>
      <c r="U114" s="4"/>
      <c r="V114" s="12">
        <f>IF(T$12=0,0,T114/T$12)</f>
        <v>0.10401457379555705</v>
      </c>
      <c r="W114" s="4"/>
      <c r="X114" s="4">
        <f>+P114-T114</f>
        <v>-4307.3199999999488</v>
      </c>
      <c r="Y114" s="4"/>
      <c r="Z114" s="12">
        <f>IF(T114=0,0,X114/T114)</f>
        <v>-1.4703613792378173E-2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5">
        <f>+D112-D114</f>
        <v>-29048.500000000004</v>
      </c>
      <c r="E116" s="14"/>
      <c r="F116" s="32">
        <f>IF(D$12=0,0,D116/D$12)</f>
        <v>-0.30399550251795582</v>
      </c>
      <c r="G116" s="14"/>
      <c r="H116" s="35">
        <f>+H112-H114</f>
        <v>-2304.6699999999473</v>
      </c>
      <c r="I116" s="14"/>
      <c r="J116" s="32">
        <f>IF(H$12=0,0,H116/H$12)</f>
        <v>-5.0503269760588934E-3</v>
      </c>
      <c r="K116" s="16"/>
      <c r="L116" s="35">
        <f>D116-H116</f>
        <v>-26743.830000000056</v>
      </c>
      <c r="M116" s="16"/>
      <c r="N116" s="32">
        <f>IF(H116=0,0,L116/H116)</f>
        <v>11.604190621651112</v>
      </c>
      <c r="O116" s="28"/>
      <c r="P116" s="35">
        <f>+P112-P114</f>
        <v>-169673.51999999885</v>
      </c>
      <c r="Q116" s="14"/>
      <c r="R116" s="32">
        <f>IF(P$12=0,0,P116/P$12)</f>
        <v>-6.9610236955353996E-2</v>
      </c>
      <c r="S116" s="14"/>
      <c r="T116" s="35">
        <f>+T112-T114</f>
        <v>-101836.00999999978</v>
      </c>
      <c r="U116" s="14"/>
      <c r="V116" s="32">
        <f>IF(T$12=0,0,T116/T$12)</f>
        <v>-3.6158675869107156E-2</v>
      </c>
      <c r="W116" s="16"/>
      <c r="X116" s="35">
        <f>P116-T116</f>
        <v>-67837.509999999078</v>
      </c>
      <c r="Y116" s="16"/>
      <c r="Z116" s="32">
        <f>IF(T116=0,0,X116/T116)</f>
        <v>0.66614461819546178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6">
        <f>SUM(D116:D118)</f>
        <v>-29048.500000000004</v>
      </c>
      <c r="E119" s="14"/>
      <c r="F119" s="33">
        <f>IF(D$12=0,0,D119/D$12)</f>
        <v>-0.30399550251795582</v>
      </c>
      <c r="G119" s="14"/>
      <c r="H119" s="36">
        <f>SUM(H116:H118)</f>
        <v>-2304.6699999999473</v>
      </c>
      <c r="I119" s="14"/>
      <c r="J119" s="33">
        <f>IF(H$12=0,0,H119/H$12)</f>
        <v>-5.0503269760588934E-3</v>
      </c>
      <c r="K119" s="16"/>
      <c r="L119" s="36">
        <f>+D119-H119</f>
        <v>-26743.830000000056</v>
      </c>
      <c r="M119" s="16"/>
      <c r="N119" s="33">
        <f>IF(H119=0,0,L119/H119)</f>
        <v>11.604190621651112</v>
      </c>
      <c r="O119" s="28"/>
      <c r="P119" s="36">
        <f>SUM(P116:P118)</f>
        <v>-169673.51999999885</v>
      </c>
      <c r="Q119" s="14"/>
      <c r="R119" s="33">
        <f>IF(P$12=0,0,P119/P$12)</f>
        <v>-6.9610236955353996E-2</v>
      </c>
      <c r="S119" s="14"/>
      <c r="T119" s="36">
        <f>SUM(T116:T118)</f>
        <v>-101836.00999999978</v>
      </c>
      <c r="U119" s="14"/>
      <c r="V119" s="33">
        <f>IF(T$12=0,0,T119/T$12)</f>
        <v>-3.6158675869107156E-2</v>
      </c>
      <c r="W119" s="16"/>
      <c r="X119" s="36">
        <f>+P119-T119</f>
        <v>-67837.509999999078</v>
      </c>
      <c r="Y119" s="16"/>
      <c r="Z119" s="33">
        <f>IF(T119=0,0,X119/T119)</f>
        <v>0.66614461819546178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5">
        <v>43992.375082442129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A122" s="9"/>
      <c r="B122" s="62" t="s">
        <v>313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3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95555.69</v>
      </c>
      <c r="E12" s="4"/>
      <c r="F12" s="12"/>
      <c r="G12" s="4"/>
      <c r="H12" s="4">
        <f>SUM(OSRRefH13x_0)</f>
        <v>456340.75</v>
      </c>
      <c r="I12" s="4"/>
      <c r="J12" s="12"/>
      <c r="K12" s="4"/>
      <c r="L12" s="4">
        <f t="shared" ref="L12:L36" si="0">+D12-H12</f>
        <v>-360785.06</v>
      </c>
      <c r="M12" s="4"/>
      <c r="N12" s="12">
        <f t="shared" ref="N12:N36" si="1">IF(H12=0,0,L12/H12)</f>
        <v>-0.79060452085420818</v>
      </c>
      <c r="O12" s="10"/>
      <c r="P12" s="4">
        <f>SUM(OSRRefP13x_0)</f>
        <v>2437479.4200000004</v>
      </c>
      <c r="Q12" s="4"/>
      <c r="R12" s="12"/>
      <c r="S12" s="4"/>
      <c r="T12" s="4">
        <f>SUM(OSRRefT13x_0)</f>
        <v>2816364.47</v>
      </c>
      <c r="U12" s="4"/>
      <c r="V12" s="12"/>
      <c r="W12" s="4"/>
      <c r="X12" s="4">
        <f t="shared" ref="X12:X36" si="2">+P12-T12</f>
        <v>-378885.04999999981</v>
      </c>
      <c r="Y12" s="4"/>
      <c r="Z12" s="12">
        <f t="shared" ref="Z12:Z36" si="3">IF(T12=0,0,X12/T12)</f>
        <v>-0.1345298359057909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--1256.94</f>
        <v>1256.94</v>
      </c>
      <c r="E13" s="2"/>
      <c r="F13" s="19"/>
      <c r="G13" s="2"/>
      <c r="H13" s="2">
        <f>--6022.51</f>
        <v>6022.51</v>
      </c>
      <c r="I13" s="2"/>
      <c r="J13" s="19"/>
      <c r="K13" s="2"/>
      <c r="L13" s="2">
        <f t="shared" si="0"/>
        <v>-4765.57</v>
      </c>
      <c r="M13" s="2"/>
      <c r="N13" s="19">
        <f t="shared" si="1"/>
        <v>-0.79129299909838247</v>
      </c>
      <c r="O13" s="11"/>
      <c r="P13" s="2">
        <f>--313160.03</f>
        <v>313160.03000000003</v>
      </c>
      <c r="Q13" s="2"/>
      <c r="R13" s="19"/>
      <c r="S13" s="2"/>
      <c r="T13" s="2">
        <f>--231110.9</f>
        <v>231110.9</v>
      </c>
      <c r="U13" s="2"/>
      <c r="V13" s="19"/>
      <c r="W13" s="2"/>
      <c r="X13" s="2">
        <f t="shared" si="2"/>
        <v>82049.130000000034</v>
      </c>
      <c r="Y13" s="2"/>
      <c r="Z13" s="19">
        <f t="shared" si="3"/>
        <v>0.35502059833612365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--55929.1</f>
        <v>55929.1</v>
      </c>
      <c r="E14" s="2"/>
      <c r="F14" s="19"/>
      <c r="G14" s="2"/>
      <c r="H14" s="2">
        <f>--422847.28</f>
        <v>422847.28</v>
      </c>
      <c r="I14" s="2"/>
      <c r="J14" s="19"/>
      <c r="K14" s="2"/>
      <c r="L14" s="2">
        <f t="shared" si="0"/>
        <v>-366918.18000000005</v>
      </c>
      <c r="M14" s="2"/>
      <c r="N14" s="19">
        <f t="shared" si="1"/>
        <v>-0.86773215142828874</v>
      </c>
      <c r="O14" s="11"/>
      <c r="P14" s="2">
        <f>--1982238.78</f>
        <v>1982238.78</v>
      </c>
      <c r="Q14" s="2"/>
      <c r="R14" s="19"/>
      <c r="S14" s="2"/>
      <c r="T14" s="2">
        <f>--2161359.85</f>
        <v>2161359.85</v>
      </c>
      <c r="U14" s="2"/>
      <c r="V14" s="19"/>
      <c r="W14" s="2"/>
      <c r="X14" s="2">
        <f t="shared" si="2"/>
        <v>-179121.07000000007</v>
      </c>
      <c r="Y14" s="2"/>
      <c r="Z14" s="19">
        <f t="shared" si="3"/>
        <v>-8.2874246970026794E-2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--2640</f>
        <v>2640</v>
      </c>
      <c r="E15" s="2"/>
      <c r="F15" s="19"/>
      <c r="G15" s="2"/>
      <c r="H15" s="2">
        <f>--11088.67</f>
        <v>11088.67</v>
      </c>
      <c r="I15" s="2"/>
      <c r="J15" s="19"/>
      <c r="K15" s="2"/>
      <c r="L15" s="2">
        <f t="shared" si="0"/>
        <v>-8448.67</v>
      </c>
      <c r="M15" s="2"/>
      <c r="N15" s="19">
        <f t="shared" si="1"/>
        <v>-0.76191914810342454</v>
      </c>
      <c r="O15" s="11"/>
      <c r="P15" s="2">
        <f>--105504.07</f>
        <v>105504.07</v>
      </c>
      <c r="Q15" s="2"/>
      <c r="R15" s="19"/>
      <c r="S15" s="2"/>
      <c r="T15" s="2">
        <f>--132940.06</f>
        <v>132940.06</v>
      </c>
      <c r="U15" s="2"/>
      <c r="V15" s="19"/>
      <c r="W15" s="2"/>
      <c r="X15" s="2">
        <f t="shared" si="2"/>
        <v>-27435.989999999991</v>
      </c>
      <c r="Y15" s="2"/>
      <c r="Z15" s="19">
        <f t="shared" si="3"/>
        <v>-0.20637864914458434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>0</f>
        <v>0</v>
      </c>
      <c r="E16" s="2"/>
      <c r="F16" s="19"/>
      <c r="G16" s="2"/>
      <c r="H16" s="2">
        <f t="shared" ref="H16:H17" si="4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--129</f>
        <v>129</v>
      </c>
      <c r="Q16" s="2"/>
      <c r="R16" s="19"/>
      <c r="S16" s="2"/>
      <c r="T16" s="2">
        <f>--1563.99</f>
        <v>1563.99</v>
      </c>
      <c r="U16" s="2"/>
      <c r="V16" s="19"/>
      <c r="W16" s="2"/>
      <c r="X16" s="2">
        <f t="shared" si="2"/>
        <v>-1434.99</v>
      </c>
      <c r="Y16" s="2"/>
      <c r="Z16" s="19">
        <f t="shared" si="3"/>
        <v>-0.91751865421134404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>--20</f>
        <v>20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20</v>
      </c>
      <c r="M17" s="2"/>
      <c r="N17" s="19">
        <f t="shared" si="1"/>
        <v>0</v>
      </c>
      <c r="O17" s="11"/>
      <c r="P17" s="2">
        <f>--4587.93</f>
        <v>4587.93</v>
      </c>
      <c r="Q17" s="2"/>
      <c r="R17" s="19"/>
      <c r="S17" s="2"/>
      <c r="T17" s="2">
        <f>--13358.65</f>
        <v>13358.65</v>
      </c>
      <c r="U17" s="2"/>
      <c r="V17" s="19"/>
      <c r="W17" s="2"/>
      <c r="X17" s="2">
        <f t="shared" si="2"/>
        <v>-8770.7199999999993</v>
      </c>
      <c r="Y17" s="2"/>
      <c r="Z17" s="19">
        <f t="shared" si="3"/>
        <v>-0.65655736170945411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--357.44</f>
        <v>357.44</v>
      </c>
      <c r="E18" s="2"/>
      <c r="F18" s="19"/>
      <c r="G18" s="2"/>
      <c r="H18" s="2">
        <f>--4853.49</f>
        <v>4853.49</v>
      </c>
      <c r="I18" s="2"/>
      <c r="J18" s="19"/>
      <c r="K18" s="2"/>
      <c r="L18" s="2">
        <f t="shared" si="0"/>
        <v>-4496.05</v>
      </c>
      <c r="M18" s="2"/>
      <c r="N18" s="19">
        <f t="shared" si="1"/>
        <v>-0.926354025659886</v>
      </c>
      <c r="O18" s="11"/>
      <c r="P18" s="2">
        <f>--48715.72</f>
        <v>48715.72</v>
      </c>
      <c r="Q18" s="2"/>
      <c r="R18" s="19"/>
      <c r="S18" s="2"/>
      <c r="T18" s="2">
        <f>--89615.64</f>
        <v>89615.64</v>
      </c>
      <c r="U18" s="2"/>
      <c r="V18" s="19"/>
      <c r="W18" s="2"/>
      <c r="X18" s="2">
        <f t="shared" si="2"/>
        <v>-40899.919999999998</v>
      </c>
      <c r="Y18" s="2"/>
      <c r="Z18" s="19">
        <f t="shared" si="3"/>
        <v>-0.45639265646041249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--1120.94</f>
        <v>1120.94</v>
      </c>
      <c r="E19" s="2"/>
      <c r="F19" s="19"/>
      <c r="G19" s="2"/>
      <c r="H19" s="2">
        <f>--59.99</f>
        <v>59.99</v>
      </c>
      <c r="I19" s="2"/>
      <c r="J19" s="19"/>
      <c r="K19" s="2"/>
      <c r="L19" s="2">
        <f t="shared" si="0"/>
        <v>1060.95</v>
      </c>
      <c r="M19" s="2"/>
      <c r="N19" s="19">
        <f t="shared" si="1"/>
        <v>17.685447574595766</v>
      </c>
      <c r="O19" s="11"/>
      <c r="P19" s="2">
        <f>--2795.75</f>
        <v>2795.75</v>
      </c>
      <c r="Q19" s="2"/>
      <c r="R19" s="19"/>
      <c r="S19" s="2"/>
      <c r="T19" s="2">
        <f>--2120.77</f>
        <v>2120.77</v>
      </c>
      <c r="U19" s="2"/>
      <c r="V19" s="19"/>
      <c r="W19" s="2"/>
      <c r="X19" s="2">
        <f t="shared" si="2"/>
        <v>674.98</v>
      </c>
      <c r="Y19" s="2"/>
      <c r="Z19" s="19">
        <f t="shared" si="3"/>
        <v>0.31827119395313969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--424.46</f>
        <v>424.46</v>
      </c>
      <c r="E20" s="2"/>
      <c r="F20" s="19"/>
      <c r="G20" s="2"/>
      <c r="H20" s="2">
        <f>--1615.44</f>
        <v>1615.44</v>
      </c>
      <c r="I20" s="2"/>
      <c r="J20" s="19"/>
      <c r="K20" s="2"/>
      <c r="L20" s="2">
        <f t="shared" si="0"/>
        <v>-1190.98</v>
      </c>
      <c r="M20" s="2"/>
      <c r="N20" s="19">
        <f t="shared" si="1"/>
        <v>-0.73724805625711876</v>
      </c>
      <c r="O20" s="11"/>
      <c r="P20" s="2">
        <f>--2657.79</f>
        <v>2657.79</v>
      </c>
      <c r="Q20" s="2"/>
      <c r="R20" s="19"/>
      <c r="S20" s="2"/>
      <c r="T20" s="2">
        <f>--16132.52</f>
        <v>16132.52</v>
      </c>
      <c r="U20" s="2"/>
      <c r="V20" s="19"/>
      <c r="W20" s="2"/>
      <c r="X20" s="2">
        <f t="shared" si="2"/>
        <v>-13474.73</v>
      </c>
      <c r="Y20" s="2"/>
      <c r="Z20" s="19">
        <f t="shared" si="3"/>
        <v>-0.83525264496805207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--28134.6</f>
        <v>28134.6</v>
      </c>
      <c r="E21" s="2"/>
      <c r="F21" s="19"/>
      <c r="G21" s="2"/>
      <c r="H21" s="2">
        <f>--16142.98</f>
        <v>16142.98</v>
      </c>
      <c r="I21" s="2"/>
      <c r="J21" s="19"/>
      <c r="K21" s="2"/>
      <c r="L21" s="2">
        <f t="shared" si="0"/>
        <v>11991.619999999999</v>
      </c>
      <c r="M21" s="2"/>
      <c r="N21" s="19">
        <f t="shared" si="1"/>
        <v>0.74283806335633196</v>
      </c>
      <c r="O21" s="11"/>
      <c r="P21" s="2">
        <f>--176201.54</f>
        <v>176201.54</v>
      </c>
      <c r="Q21" s="2"/>
      <c r="R21" s="19"/>
      <c r="S21" s="2"/>
      <c r="T21" s="2">
        <f>--235821.82</f>
        <v>235821.82</v>
      </c>
      <c r="U21" s="2"/>
      <c r="V21" s="19"/>
      <c r="W21" s="2"/>
      <c r="X21" s="2">
        <f t="shared" si="2"/>
        <v>-59620.28</v>
      </c>
      <c r="Y21" s="2"/>
      <c r="Z21" s="19">
        <f t="shared" si="3"/>
        <v>-0.25281918356833982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--1895.54</f>
        <v>1895.54</v>
      </c>
      <c r="E22" s="2"/>
      <c r="F22" s="19"/>
      <c r="G22" s="2"/>
      <c r="H22" s="2">
        <f>--111.99</f>
        <v>111.99</v>
      </c>
      <c r="I22" s="2"/>
      <c r="J22" s="19"/>
      <c r="K22" s="2"/>
      <c r="L22" s="2">
        <f t="shared" si="0"/>
        <v>1783.55</v>
      </c>
      <c r="M22" s="2"/>
      <c r="N22" s="19">
        <f t="shared" si="1"/>
        <v>15.92597553352978</v>
      </c>
      <c r="O22" s="11"/>
      <c r="P22" s="2">
        <f>--11427.56</f>
        <v>11427.56</v>
      </c>
      <c r="Q22" s="2"/>
      <c r="R22" s="19"/>
      <c r="S22" s="2"/>
      <c r="T22" s="2">
        <f>--9758.94</f>
        <v>9758.94</v>
      </c>
      <c r="U22" s="2"/>
      <c r="V22" s="19"/>
      <c r="W22" s="2"/>
      <c r="X22" s="2">
        <f t="shared" si="2"/>
        <v>1668.619999999999</v>
      </c>
      <c r="Y22" s="2"/>
      <c r="Z22" s="19">
        <f t="shared" si="3"/>
        <v>0.1709837338891313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--2728</f>
        <v>2728</v>
      </c>
      <c r="Q23" s="2"/>
      <c r="R23" s="19"/>
      <c r="S23" s="2"/>
      <c r="T23" s="2">
        <f>--3840</f>
        <v>3840</v>
      </c>
      <c r="U23" s="2"/>
      <c r="V23" s="19"/>
      <c r="W23" s="2"/>
      <c r="X23" s="2">
        <f t="shared" si="2"/>
        <v>-1112</v>
      </c>
      <c r="Y23" s="2"/>
      <c r="Z23" s="19">
        <f t="shared" si="3"/>
        <v>-0.28958333333333336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--4176.74</f>
        <v>4176.74</v>
      </c>
      <c r="E24" s="2"/>
      <c r="F24" s="19"/>
      <c r="G24" s="2"/>
      <c r="H24" s="2">
        <f>--786.98</f>
        <v>786.98</v>
      </c>
      <c r="I24" s="2"/>
      <c r="J24" s="19"/>
      <c r="K24" s="2"/>
      <c r="L24" s="2">
        <f t="shared" si="0"/>
        <v>3389.7599999999998</v>
      </c>
      <c r="M24" s="2"/>
      <c r="N24" s="19">
        <f t="shared" si="1"/>
        <v>4.3073013291316169</v>
      </c>
      <c r="O24" s="11"/>
      <c r="P24" s="2">
        <f>--20524.35</f>
        <v>20524.349999999999</v>
      </c>
      <c r="Q24" s="2"/>
      <c r="R24" s="19"/>
      <c r="S24" s="2"/>
      <c r="T24" s="2">
        <f>--6566.76</f>
        <v>6566.76</v>
      </c>
      <c r="U24" s="2"/>
      <c r="V24" s="19"/>
      <c r="W24" s="2"/>
      <c r="X24" s="2">
        <f t="shared" si="2"/>
        <v>13957.589999999998</v>
      </c>
      <c r="Y24" s="2"/>
      <c r="Z24" s="19">
        <f t="shared" si="3"/>
        <v>2.1254911097710285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--85.95</f>
        <v>85.95</v>
      </c>
      <c r="E25" s="2"/>
      <c r="F25" s="19"/>
      <c r="G25" s="2"/>
      <c r="H25" s="2">
        <f>--139.93</f>
        <v>139.93</v>
      </c>
      <c r="I25" s="2"/>
      <c r="J25" s="19"/>
      <c r="K25" s="2"/>
      <c r="L25" s="2">
        <f t="shared" si="0"/>
        <v>-53.980000000000004</v>
      </c>
      <c r="M25" s="2"/>
      <c r="N25" s="19">
        <f t="shared" si="1"/>
        <v>-0.38576431072679196</v>
      </c>
      <c r="O25" s="11"/>
      <c r="P25" s="2">
        <f>--2926.08</f>
        <v>2926.08</v>
      </c>
      <c r="Q25" s="2"/>
      <c r="R25" s="19"/>
      <c r="S25" s="2"/>
      <c r="T25" s="2">
        <f>--6165.35</f>
        <v>6165.35</v>
      </c>
      <c r="U25" s="2"/>
      <c r="V25" s="19"/>
      <c r="W25" s="2"/>
      <c r="X25" s="2">
        <f t="shared" si="2"/>
        <v>-3239.2700000000004</v>
      </c>
      <c r="Y25" s="2"/>
      <c r="Z25" s="19">
        <f t="shared" si="3"/>
        <v>-0.52539920685768049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--123.98</f>
        <v>123.98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123.98</v>
      </c>
      <c r="M26" s="2"/>
      <c r="N26" s="19">
        <f t="shared" si="1"/>
        <v>0</v>
      </c>
      <c r="O26" s="11"/>
      <c r="P26" s="2">
        <f>--343.94</f>
        <v>343.94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143.96</v>
      </c>
      <c r="Y26" s="2"/>
      <c r="Z26" s="19">
        <f t="shared" si="3"/>
        <v>0.71987198719871992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-159</f>
        <v>-159</v>
      </c>
      <c r="E27" s="2"/>
      <c r="F27" s="19"/>
      <c r="G27" s="2"/>
      <c r="H27" s="2">
        <f>-335.94</f>
        <v>-335.94</v>
      </c>
      <c r="I27" s="2"/>
      <c r="J27" s="19"/>
      <c r="K27" s="2"/>
      <c r="L27" s="2">
        <f t="shared" si="0"/>
        <v>176.94</v>
      </c>
      <c r="M27" s="2"/>
      <c r="N27" s="19">
        <f t="shared" si="1"/>
        <v>-0.52670119664225756</v>
      </c>
      <c r="O27" s="11"/>
      <c r="P27" s="2">
        <f>-7940.7</f>
        <v>-7940.7</v>
      </c>
      <c r="Q27" s="2"/>
      <c r="R27" s="19"/>
      <c r="S27" s="2"/>
      <c r="T27" s="2">
        <f>-7402.73</f>
        <v>-7402.73</v>
      </c>
      <c r="U27" s="2"/>
      <c r="V27" s="19"/>
      <c r="W27" s="2"/>
      <c r="X27" s="2">
        <f t="shared" si="2"/>
        <v>-537.97000000000025</v>
      </c>
      <c r="Y27" s="2"/>
      <c r="Z27" s="19">
        <f t="shared" si="3"/>
        <v>7.2671838632504537E-2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-183</f>
        <v>-183</v>
      </c>
      <c r="E28" s="2"/>
      <c r="F28" s="19"/>
      <c r="G28" s="2"/>
      <c r="H28" s="2">
        <f>-5989.01</f>
        <v>-5989.01</v>
      </c>
      <c r="I28" s="2"/>
      <c r="J28" s="19"/>
      <c r="K28" s="2"/>
      <c r="L28" s="2">
        <f t="shared" si="0"/>
        <v>5806.01</v>
      </c>
      <c r="M28" s="2"/>
      <c r="N28" s="19">
        <f t="shared" si="1"/>
        <v>-0.96944403165130799</v>
      </c>
      <c r="O28" s="11"/>
      <c r="P28" s="2">
        <f>-215628.8</f>
        <v>-215628.79999999999</v>
      </c>
      <c r="Q28" s="2"/>
      <c r="R28" s="19"/>
      <c r="S28" s="2"/>
      <c r="T28" s="2">
        <f>-72352.83</f>
        <v>-72352.83</v>
      </c>
      <c r="U28" s="2"/>
      <c r="V28" s="19"/>
      <c r="W28" s="2"/>
      <c r="X28" s="2">
        <f t="shared" si="2"/>
        <v>-143275.96999999997</v>
      </c>
      <c r="Y28" s="2"/>
      <c r="Z28" s="19">
        <f t="shared" si="3"/>
        <v>1.9802400265476827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-119</f>
        <v>-119</v>
      </c>
      <c r="E29" s="2"/>
      <c r="F29" s="19"/>
      <c r="G29" s="2"/>
      <c r="H29" s="2">
        <f>-182.97</f>
        <v>-182.97</v>
      </c>
      <c r="I29" s="2"/>
      <c r="J29" s="19"/>
      <c r="K29" s="2"/>
      <c r="L29" s="2">
        <f t="shared" si="0"/>
        <v>63.97</v>
      </c>
      <c r="M29" s="2"/>
      <c r="N29" s="19">
        <f t="shared" si="1"/>
        <v>-0.34962015630977755</v>
      </c>
      <c r="O29" s="11"/>
      <c r="P29" s="2">
        <f>-6708.02</f>
        <v>-6708.02</v>
      </c>
      <c r="Q29" s="2"/>
      <c r="R29" s="19"/>
      <c r="S29" s="2"/>
      <c r="T29" s="2">
        <f>-7498.73</f>
        <v>-7498.73</v>
      </c>
      <c r="U29" s="2"/>
      <c r="V29" s="19"/>
      <c r="W29" s="2"/>
      <c r="X29" s="2">
        <f t="shared" si="2"/>
        <v>790.70999999999913</v>
      </c>
      <c r="Y29" s="2"/>
      <c r="Z29" s="19">
        <f t="shared" si="3"/>
        <v>-0.10544585549819759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2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-805.97</f>
        <v>-805.97</v>
      </c>
      <c r="Q31" s="2"/>
      <c r="R31" s="19"/>
      <c r="S31" s="2"/>
      <c r="T31" s="2">
        <f>-725.94</f>
        <v>-725.94</v>
      </c>
      <c r="U31" s="2"/>
      <c r="V31" s="19"/>
      <c r="W31" s="2"/>
      <c r="X31" s="2">
        <f t="shared" si="2"/>
        <v>-80.029999999999973</v>
      </c>
      <c r="Y31" s="2"/>
      <c r="Z31" s="19">
        <f t="shared" si="3"/>
        <v>0.11024327079372946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 t="shared" si="5"/>
        <v>0</v>
      </c>
      <c r="E32" s="2"/>
      <c r="F32" s="19"/>
      <c r="G32" s="2"/>
      <c r="H32" s="2">
        <f>-742.63</f>
        <v>-742.63</v>
      </c>
      <c r="I32" s="2"/>
      <c r="J32" s="19"/>
      <c r="K32" s="2"/>
      <c r="L32" s="2">
        <f t="shared" si="0"/>
        <v>742.63</v>
      </c>
      <c r="M32" s="2"/>
      <c r="N32" s="19">
        <f t="shared" si="1"/>
        <v>-1</v>
      </c>
      <c r="O32" s="11"/>
      <c r="P32" s="2">
        <f>-3660.86</f>
        <v>-3660.86</v>
      </c>
      <c r="Q32" s="2"/>
      <c r="R32" s="19"/>
      <c r="S32" s="2"/>
      <c r="T32" s="2">
        <f>-5533.86</f>
        <v>-5533.86</v>
      </c>
      <c r="U32" s="2"/>
      <c r="V32" s="19"/>
      <c r="W32" s="2"/>
      <c r="X32" s="2">
        <f t="shared" si="2"/>
        <v>1872.9999999999995</v>
      </c>
      <c r="Y32" s="2"/>
      <c r="Z32" s="19">
        <f t="shared" si="3"/>
        <v>-0.33846176086854379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>-149</f>
        <v>-149</v>
      </c>
      <c r="E33" s="2"/>
      <c r="F33" s="19"/>
      <c r="G33" s="2"/>
      <c r="H33" s="2">
        <f>-47.99</f>
        <v>-47.99</v>
      </c>
      <c r="I33" s="2"/>
      <c r="J33" s="19"/>
      <c r="K33" s="2"/>
      <c r="L33" s="2">
        <f t="shared" si="0"/>
        <v>-101.00999999999999</v>
      </c>
      <c r="M33" s="2"/>
      <c r="N33" s="19">
        <f t="shared" si="1"/>
        <v>2.1048135028130859</v>
      </c>
      <c r="O33" s="11"/>
      <c r="P33" s="2">
        <f>-152.99</f>
        <v>-152.99</v>
      </c>
      <c r="Q33" s="2"/>
      <c r="R33" s="19"/>
      <c r="S33" s="2"/>
      <c r="T33" s="2">
        <f>-64.98</f>
        <v>-64.98</v>
      </c>
      <c r="U33" s="2"/>
      <c r="V33" s="19"/>
      <c r="W33" s="2"/>
      <c r="X33" s="2">
        <f t="shared" si="2"/>
        <v>-88.01</v>
      </c>
      <c r="Y33" s="2"/>
      <c r="Z33" s="19">
        <f t="shared" si="3"/>
        <v>1.3544167436134196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ref="D34:D36" si="7">0</f>
        <v>0</v>
      </c>
      <c r="E34" s="2"/>
      <c r="F34" s="19"/>
      <c r="G34" s="2"/>
      <c r="H34" s="2">
        <f>-29.97</f>
        <v>-29.97</v>
      </c>
      <c r="I34" s="2"/>
      <c r="J34" s="19"/>
      <c r="K34" s="2"/>
      <c r="L34" s="2">
        <f t="shared" si="0"/>
        <v>29.97</v>
      </c>
      <c r="M34" s="2"/>
      <c r="N34" s="19">
        <f t="shared" si="1"/>
        <v>-1</v>
      </c>
      <c r="O34" s="11"/>
      <c r="P34" s="2">
        <f>-1279.84</f>
        <v>-1279.8399999999999</v>
      </c>
      <c r="Q34" s="2"/>
      <c r="R34" s="19"/>
      <c r="S34" s="2"/>
      <c r="T34" s="2">
        <f>-247.82</f>
        <v>-247.82</v>
      </c>
      <c r="U34" s="2"/>
      <c r="V34" s="19"/>
      <c r="W34" s="2"/>
      <c r="X34" s="2">
        <f t="shared" si="2"/>
        <v>-1032.02</v>
      </c>
      <c r="Y34" s="2"/>
      <c r="Z34" s="19">
        <f t="shared" si="3"/>
        <v>4.1643935114195791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7"/>
        <v>0</v>
      </c>
      <c r="E35" s="2"/>
      <c r="F35" s="19"/>
      <c r="G35" s="2"/>
      <c r="H35" s="2">
        <f t="shared" ref="H35:H36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-153.92</f>
        <v>-153.91999999999999</v>
      </c>
      <c r="U35" s="2"/>
      <c r="V35" s="19"/>
      <c r="W35" s="2"/>
      <c r="X35" s="2">
        <f t="shared" si="2"/>
        <v>103.94</v>
      </c>
      <c r="Y35" s="2"/>
      <c r="Z35" s="19">
        <f t="shared" si="3"/>
        <v>-0.67528586278586278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7"/>
        <v>0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-104.96</f>
        <v>-104.96</v>
      </c>
      <c r="Q36" s="2"/>
      <c r="R36" s="19"/>
      <c r="S36" s="2"/>
      <c r="T36" s="2">
        <f>-209.95</f>
        <v>-209.95</v>
      </c>
      <c r="U36" s="2"/>
      <c r="V36" s="19"/>
      <c r="W36" s="2"/>
      <c r="X36" s="2">
        <f t="shared" si="2"/>
        <v>104.99</v>
      </c>
      <c r="Y36" s="2"/>
      <c r="Z36" s="19">
        <f t="shared" si="3"/>
        <v>-0.50007144558228145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89462.35</v>
      </c>
      <c r="E38" s="4"/>
      <c r="F38" s="12">
        <f t="shared" ref="F38:F53" si="9">IF(D$12=0,0,D38/D$12)</f>
        <v>0.93623257809137272</v>
      </c>
      <c r="G38" s="4"/>
      <c r="H38" s="4">
        <f>SUM(OSRRefH16x_0)</f>
        <v>389808.56999999995</v>
      </c>
      <c r="I38" s="4"/>
      <c r="J38" s="12">
        <f t="shared" ref="J38:J53" si="10">IF(H$12=0,0,H38/H$12)</f>
        <v>0.85420504305171074</v>
      </c>
      <c r="K38" s="4"/>
      <c r="L38" s="4">
        <f t="shared" ref="L38:L53" si="11">+D38-H38</f>
        <v>-300346.21999999997</v>
      </c>
      <c r="M38" s="4"/>
      <c r="N38" s="12">
        <f t="shared" ref="N38:N53" si="12">IF(H38=0,0,L38/H38)</f>
        <v>-0.77049670816626736</v>
      </c>
      <c r="O38" s="10"/>
      <c r="P38" s="4">
        <f>SUM(OSRRefP16x_0)</f>
        <v>2121756.5999999992</v>
      </c>
      <c r="Q38" s="4"/>
      <c r="R38" s="12">
        <f t="shared" ref="R38:R53" si="13">IF(P$12=0,0,P38/P$12)</f>
        <v>0.87047159561248677</v>
      </c>
      <c r="S38" s="4"/>
      <c r="T38" s="4">
        <f>SUM(OSRRefT16x_0)</f>
        <v>2388192.77</v>
      </c>
      <c r="U38" s="4"/>
      <c r="V38" s="12">
        <f t="shared" ref="V38:V53" si="14">IF(T$12=0,0,T38/T$12)</f>
        <v>0.84797006759569005</v>
      </c>
      <c r="W38" s="4"/>
      <c r="X38" s="4">
        <f t="shared" ref="X38:X53" si="15">+P38-T38</f>
        <v>-266436.17000000086</v>
      </c>
      <c r="Y38" s="4"/>
      <c r="Z38" s="12">
        <f t="shared" ref="Z38:Z53" si="16">IF(T38=0,0,X38/T38)</f>
        <v>-0.11156392957340745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1637.44</v>
      </c>
      <c r="E39" s="2"/>
      <c r="F39" s="19">
        <f t="shared" si="9"/>
        <v>1.7135975890080434E-2</v>
      </c>
      <c r="G39" s="2"/>
      <c r="H39" s="2">
        <v>13552.13</v>
      </c>
      <c r="I39" s="2"/>
      <c r="J39" s="19">
        <f t="shared" si="10"/>
        <v>2.9697391696884397E-2</v>
      </c>
      <c r="K39" s="2"/>
      <c r="L39" s="2">
        <f t="shared" si="11"/>
        <v>-11914.689999999999</v>
      </c>
      <c r="M39" s="2"/>
      <c r="N39" s="19">
        <f t="shared" si="12"/>
        <v>-0.87917471275733039</v>
      </c>
      <c r="O39" s="11"/>
      <c r="P39" s="2">
        <v>258461.58000000002</v>
      </c>
      <c r="Q39" s="2"/>
      <c r="R39" s="19">
        <f t="shared" si="13"/>
        <v>0.1060364152736108</v>
      </c>
      <c r="S39" s="2"/>
      <c r="T39" s="2">
        <v>206634.89</v>
      </c>
      <c r="U39" s="2"/>
      <c r="V39" s="19">
        <f t="shared" si="14"/>
        <v>7.3369371116942125E-2</v>
      </c>
      <c r="W39" s="2"/>
      <c r="X39" s="2">
        <f t="shared" si="15"/>
        <v>51826.69</v>
      </c>
      <c r="Y39" s="2"/>
      <c r="Z39" s="19">
        <f t="shared" si="16"/>
        <v>0.25081287095320642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140818.03</v>
      </c>
      <c r="E40" s="2"/>
      <c r="F40" s="19">
        <f t="shared" si="9"/>
        <v>1.4736749847131028</v>
      </c>
      <c r="G40" s="2"/>
      <c r="H40" s="2">
        <v>302415.51</v>
      </c>
      <c r="I40" s="2"/>
      <c r="J40" s="19">
        <f t="shared" si="10"/>
        <v>0.66269670197106001</v>
      </c>
      <c r="K40" s="2"/>
      <c r="L40" s="2">
        <f t="shared" si="11"/>
        <v>-161597.48000000001</v>
      </c>
      <c r="M40" s="2"/>
      <c r="N40" s="19">
        <f t="shared" si="12"/>
        <v>-0.53435579411915746</v>
      </c>
      <c r="O40" s="11"/>
      <c r="P40" s="2">
        <v>1641300.3</v>
      </c>
      <c r="Q40" s="2"/>
      <c r="R40" s="19">
        <f t="shared" si="13"/>
        <v>0.67335965445812862</v>
      </c>
      <c r="S40" s="2"/>
      <c r="T40" s="2">
        <v>1910267.36</v>
      </c>
      <c r="U40" s="2"/>
      <c r="V40" s="19">
        <f t="shared" si="14"/>
        <v>0.67827420078197476</v>
      </c>
      <c r="W40" s="2"/>
      <c r="X40" s="2">
        <f t="shared" si="15"/>
        <v>-268967.06000000006</v>
      </c>
      <c r="Y40" s="2"/>
      <c r="Z40" s="19">
        <f t="shared" si="16"/>
        <v>-0.1408007411067318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14533.49</v>
      </c>
      <c r="E41" s="2"/>
      <c r="F41" s="19">
        <f t="shared" si="9"/>
        <v>0.15209444879734529</v>
      </c>
      <c r="G41" s="2"/>
      <c r="H41" s="2">
        <v>6514.91</v>
      </c>
      <c r="I41" s="2"/>
      <c r="J41" s="19">
        <f t="shared" si="10"/>
        <v>1.4276415156875645E-2</v>
      </c>
      <c r="K41" s="2"/>
      <c r="L41" s="2">
        <f t="shared" si="11"/>
        <v>8018.58</v>
      </c>
      <c r="M41" s="2"/>
      <c r="N41" s="19">
        <f t="shared" si="12"/>
        <v>1.2308044163311542</v>
      </c>
      <c r="O41" s="11"/>
      <c r="P41" s="2">
        <v>94550.76</v>
      </c>
      <c r="Q41" s="2"/>
      <c r="R41" s="19">
        <f t="shared" si="13"/>
        <v>3.8790382894802029E-2</v>
      </c>
      <c r="S41" s="2"/>
      <c r="T41" s="2">
        <v>107691.03</v>
      </c>
      <c r="U41" s="2"/>
      <c r="V41" s="19">
        <f t="shared" si="14"/>
        <v>3.8237604240192673E-2</v>
      </c>
      <c r="W41" s="2"/>
      <c r="X41" s="2">
        <f t="shared" si="15"/>
        <v>-13140.270000000004</v>
      </c>
      <c r="Y41" s="2"/>
      <c r="Z41" s="19">
        <f t="shared" si="16"/>
        <v>-0.12201824051641073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>
        <v>2728</v>
      </c>
      <c r="Q42" s="2"/>
      <c r="R42" s="19">
        <f t="shared" si="13"/>
        <v>1.1191889365777699E-3</v>
      </c>
      <c r="S42" s="2"/>
      <c r="T42" s="2">
        <v>5183</v>
      </c>
      <c r="U42" s="2"/>
      <c r="V42" s="19">
        <f t="shared" si="14"/>
        <v>1.8403157883894194E-3</v>
      </c>
      <c r="W42" s="2"/>
      <c r="X42" s="2">
        <f t="shared" si="15"/>
        <v>-2455</v>
      </c>
      <c r="Y42" s="2"/>
      <c r="Z42" s="19">
        <f t="shared" si="16"/>
        <v>-0.47366390121551227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3661.64</v>
      </c>
      <c r="E43" s="2"/>
      <c r="F43" s="19">
        <f t="shared" si="9"/>
        <v>3.8319434457539887E-2</v>
      </c>
      <c r="G43" s="2"/>
      <c r="H43" s="2">
        <v>1875</v>
      </c>
      <c r="I43" s="2"/>
      <c r="J43" s="19">
        <f t="shared" si="10"/>
        <v>4.108771789501595E-3</v>
      </c>
      <c r="K43" s="2"/>
      <c r="L43" s="2">
        <f t="shared" si="11"/>
        <v>1786.6399999999999</v>
      </c>
      <c r="M43" s="2"/>
      <c r="N43" s="19">
        <f t="shared" si="12"/>
        <v>0.95287466666666665</v>
      </c>
      <c r="O43" s="11"/>
      <c r="P43" s="2">
        <v>15328.14</v>
      </c>
      <c r="Q43" s="2"/>
      <c r="R43" s="19">
        <f t="shared" si="13"/>
        <v>6.2885207867724264E-3</v>
      </c>
      <c r="S43" s="2"/>
      <c r="T43" s="2">
        <v>12735.37</v>
      </c>
      <c r="U43" s="2"/>
      <c r="V43" s="19">
        <f t="shared" si="14"/>
        <v>4.5219182870887449E-3</v>
      </c>
      <c r="W43" s="2"/>
      <c r="X43" s="2">
        <f t="shared" si="15"/>
        <v>2592.7699999999986</v>
      </c>
      <c r="Y43" s="2"/>
      <c r="Z43" s="19">
        <f t="shared" si="16"/>
        <v>0.20358811718858569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-67.5</v>
      </c>
      <c r="E44" s="2"/>
      <c r="F44" s="19">
        <f t="shared" si="9"/>
        <v>-7.0639435495677963E-4</v>
      </c>
      <c r="G44" s="2"/>
      <c r="H44" s="2">
        <v>4684</v>
      </c>
      <c r="I44" s="2"/>
      <c r="J44" s="19">
        <f t="shared" si="10"/>
        <v>1.0264259766413585E-2</v>
      </c>
      <c r="K44" s="2"/>
      <c r="L44" s="2">
        <f t="shared" si="11"/>
        <v>-4751.5</v>
      </c>
      <c r="M44" s="2"/>
      <c r="N44" s="19">
        <f t="shared" si="12"/>
        <v>-1.0144107600341588</v>
      </c>
      <c r="O44" s="11"/>
      <c r="P44" s="2">
        <v>29883.05</v>
      </c>
      <c r="Q44" s="2"/>
      <c r="R44" s="19">
        <f t="shared" si="13"/>
        <v>1.2259816331085164E-2</v>
      </c>
      <c r="S44" s="2"/>
      <c r="T44" s="2">
        <v>60095.68</v>
      </c>
      <c r="U44" s="2"/>
      <c r="V44" s="19">
        <f t="shared" si="14"/>
        <v>2.1338033709820233E-2</v>
      </c>
      <c r="W44" s="2"/>
      <c r="X44" s="2">
        <f t="shared" si="15"/>
        <v>-30212.63</v>
      </c>
      <c r="Y44" s="2"/>
      <c r="Z44" s="19">
        <f t="shared" si="16"/>
        <v>-0.50274212722112477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1949</v>
      </c>
      <c r="I45" s="2"/>
      <c r="J45" s="19">
        <f t="shared" si="10"/>
        <v>4.2709313161272576E-3</v>
      </c>
      <c r="K45" s="2"/>
      <c r="L45" s="2">
        <f t="shared" si="11"/>
        <v>-1949</v>
      </c>
      <c r="M45" s="2"/>
      <c r="N45" s="19">
        <f t="shared" si="12"/>
        <v>-1</v>
      </c>
      <c r="O45" s="11"/>
      <c r="P45" s="2">
        <v>95.65</v>
      </c>
      <c r="Q45" s="2"/>
      <c r="R45" s="19">
        <f t="shared" si="13"/>
        <v>3.9241356958821008E-5</v>
      </c>
      <c r="S45" s="2"/>
      <c r="T45" s="2">
        <v>1949</v>
      </c>
      <c r="U45" s="2"/>
      <c r="V45" s="19">
        <f t="shared" si="14"/>
        <v>6.9202690942909094E-4</v>
      </c>
      <c r="W45" s="2"/>
      <c r="X45" s="2">
        <f t="shared" si="15"/>
        <v>-1853.35</v>
      </c>
      <c r="Y45" s="2"/>
      <c r="Z45" s="19">
        <f t="shared" si="16"/>
        <v>-0.95092355053873778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-160624</v>
      </c>
      <c r="E46" s="2"/>
      <c r="F46" s="19">
        <f t="shared" si="9"/>
        <v>-1.6809464721567078</v>
      </c>
      <c r="G46" s="2"/>
      <c r="H46" s="2">
        <v>-331009</v>
      </c>
      <c r="I46" s="2"/>
      <c r="J46" s="19">
        <f t="shared" si="10"/>
        <v>-0.72535490201127117</v>
      </c>
      <c r="K46" s="2"/>
      <c r="L46" s="2">
        <f t="shared" si="11"/>
        <v>170385</v>
      </c>
      <c r="M46" s="2"/>
      <c r="N46" s="19">
        <f t="shared" si="12"/>
        <v>-0.51474431208819094</v>
      </c>
      <c r="O46" s="11"/>
      <c r="P46" s="2">
        <v>-2043044.0000000002</v>
      </c>
      <c r="Q46" s="2"/>
      <c r="R46" s="19">
        <f t="shared" si="13"/>
        <v>-0.83817897424545229</v>
      </c>
      <c r="S46" s="2"/>
      <c r="T46" s="2">
        <v>-2305043</v>
      </c>
      <c r="U46" s="2"/>
      <c r="V46" s="19">
        <f t="shared" si="14"/>
        <v>-0.8184462716219395</v>
      </c>
      <c r="W46" s="2"/>
      <c r="X46" s="2">
        <f t="shared" si="15"/>
        <v>261998.99999999977</v>
      </c>
      <c r="Y46" s="2"/>
      <c r="Z46" s="19">
        <f t="shared" si="16"/>
        <v>-0.11366338935976456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89462</v>
      </c>
      <c r="E47" s="2"/>
      <c r="F47" s="19">
        <f t="shared" si="9"/>
        <v>0.93622891530582841</v>
      </c>
      <c r="G47" s="2"/>
      <c r="H47" s="2">
        <v>389809</v>
      </c>
      <c r="I47" s="2"/>
      <c r="J47" s="19">
        <f t="shared" si="10"/>
        <v>0.85420598533004122</v>
      </c>
      <c r="K47" s="2"/>
      <c r="L47" s="2">
        <f t="shared" si="11"/>
        <v>-300347</v>
      </c>
      <c r="M47" s="2"/>
      <c r="N47" s="19">
        <f t="shared" si="12"/>
        <v>-0.77049785920797109</v>
      </c>
      <c r="O47" s="11"/>
      <c r="P47" s="2">
        <v>2121754</v>
      </c>
      <c r="Q47" s="2"/>
      <c r="R47" s="19">
        <f t="shared" si="13"/>
        <v>0.87047052893681442</v>
      </c>
      <c r="S47" s="2"/>
      <c r="T47" s="2">
        <v>2388180</v>
      </c>
      <c r="U47" s="2"/>
      <c r="V47" s="19">
        <f t="shared" si="14"/>
        <v>0.84796553338140923</v>
      </c>
      <c r="W47" s="2"/>
      <c r="X47" s="2">
        <f t="shared" si="15"/>
        <v>-266426</v>
      </c>
      <c r="Y47" s="2"/>
      <c r="Z47" s="19">
        <f t="shared" si="16"/>
        <v>-0.11156026765151705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/>
      <c r="Q48" s="2"/>
      <c r="R48" s="19">
        <f t="shared" si="13"/>
        <v>0</v>
      </c>
      <c r="S48" s="2"/>
      <c r="T48" s="2">
        <v>14.08</v>
      </c>
      <c r="U48" s="2"/>
      <c r="V48" s="19">
        <f t="shared" si="14"/>
        <v>4.999352942412315E-6</v>
      </c>
      <c r="W48" s="2"/>
      <c r="X48" s="2">
        <f t="shared" si="15"/>
        <v>-14.08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>
        <v>31.25</v>
      </c>
      <c r="E49" s="2"/>
      <c r="F49" s="19">
        <f t="shared" si="9"/>
        <v>3.2703442359110167E-4</v>
      </c>
      <c r="G49" s="2"/>
      <c r="H49" s="2"/>
      <c r="I49" s="2"/>
      <c r="J49" s="19">
        <f t="shared" si="10"/>
        <v>0</v>
      </c>
      <c r="K49" s="2"/>
      <c r="L49" s="2">
        <f t="shared" si="11"/>
        <v>31.25</v>
      </c>
      <c r="M49" s="2"/>
      <c r="N49" s="19">
        <f t="shared" si="12"/>
        <v>0</v>
      </c>
      <c r="O49" s="11"/>
      <c r="P49" s="2">
        <v>137</v>
      </c>
      <c r="Q49" s="2"/>
      <c r="R49" s="19">
        <f t="shared" si="13"/>
        <v>5.6205602753355753E-5</v>
      </c>
      <c r="S49" s="2"/>
      <c r="T49" s="2"/>
      <c r="U49" s="2"/>
      <c r="V49" s="19">
        <f t="shared" si="14"/>
        <v>0</v>
      </c>
      <c r="W49" s="2"/>
      <c r="X49" s="2">
        <f t="shared" si="15"/>
        <v>137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9"/>
        <v>0</v>
      </c>
      <c r="G50" s="2"/>
      <c r="H50" s="2"/>
      <c r="I50" s="2"/>
      <c r="J50" s="19">
        <f t="shared" si="10"/>
        <v>0</v>
      </c>
      <c r="K50" s="2"/>
      <c r="L50" s="2">
        <f t="shared" si="11"/>
        <v>0</v>
      </c>
      <c r="M50" s="2"/>
      <c r="N50" s="19">
        <f t="shared" si="12"/>
        <v>0</v>
      </c>
      <c r="O50" s="11"/>
      <c r="P50" s="2">
        <v>154.30000000000001</v>
      </c>
      <c r="Q50" s="2"/>
      <c r="R50" s="19">
        <f t="shared" si="13"/>
        <v>6.330309857549484E-5</v>
      </c>
      <c r="S50" s="2"/>
      <c r="T50" s="2">
        <v>12</v>
      </c>
      <c r="U50" s="2"/>
      <c r="V50" s="19">
        <f t="shared" si="14"/>
        <v>4.2608121668286771E-6</v>
      </c>
      <c r="W50" s="2"/>
      <c r="X50" s="2">
        <f t="shared" si="15"/>
        <v>142.30000000000001</v>
      </c>
      <c r="Y50" s="2"/>
      <c r="Z50" s="19">
        <f t="shared" si="16"/>
        <v>11.858333333333334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9"/>
        <v>0</v>
      </c>
      <c r="G51" s="2"/>
      <c r="H51" s="2">
        <v>4.04</v>
      </c>
      <c r="I51" s="2"/>
      <c r="J51" s="19">
        <f t="shared" si="10"/>
        <v>8.8530336157794374E-6</v>
      </c>
      <c r="K51" s="2"/>
      <c r="L51" s="2">
        <f t="shared" si="11"/>
        <v>-4.04</v>
      </c>
      <c r="M51" s="2"/>
      <c r="N51" s="19">
        <f t="shared" si="12"/>
        <v>-1</v>
      </c>
      <c r="O51" s="11"/>
      <c r="P51" s="2">
        <v>96.55</v>
      </c>
      <c r="Q51" s="2"/>
      <c r="R51" s="19">
        <f t="shared" si="13"/>
        <v>3.9610590845521877E-5</v>
      </c>
      <c r="S51" s="2"/>
      <c r="T51" s="2">
        <v>93.42</v>
      </c>
      <c r="U51" s="2"/>
      <c r="V51" s="19">
        <f t="shared" si="14"/>
        <v>3.3170422718761256E-5</v>
      </c>
      <c r="W51" s="2"/>
      <c r="X51" s="2">
        <f t="shared" si="15"/>
        <v>3.1299999999999955</v>
      </c>
      <c r="Y51" s="2"/>
      <c r="Z51" s="19">
        <f t="shared" si="16"/>
        <v>3.3504602868764666E-2</v>
      </c>
    </row>
    <row r="52" spans="1:26" s="24" customFormat="1" hidden="1" outlineLevel="1" x14ac:dyDescent="0.25">
      <c r="A52" s="44"/>
      <c r="B52" s="11" t="str">
        <f>CONCATENATE("          ", "5585", " - ", "FREIGHT-IN-SOFTWARE")</f>
        <v xml:space="preserve">          5585 - FREIGHT-IN-SOFTWARE</v>
      </c>
      <c r="C52" s="11"/>
      <c r="D52" s="2">
        <v>10</v>
      </c>
      <c r="E52" s="2"/>
      <c r="F52" s="19">
        <f t="shared" si="9"/>
        <v>1.0465101554915254E-4</v>
      </c>
      <c r="G52" s="2"/>
      <c r="H52" s="2"/>
      <c r="I52" s="2"/>
      <c r="J52" s="19">
        <f t="shared" si="10"/>
        <v>0</v>
      </c>
      <c r="K52" s="2"/>
      <c r="L52" s="2">
        <f t="shared" si="11"/>
        <v>10</v>
      </c>
      <c r="M52" s="2"/>
      <c r="N52" s="19">
        <f t="shared" si="12"/>
        <v>0</v>
      </c>
      <c r="O52" s="11"/>
      <c r="P52" s="2">
        <v>10</v>
      </c>
      <c r="Q52" s="2"/>
      <c r="R52" s="19">
        <f t="shared" si="13"/>
        <v>4.1025987411208579E-6</v>
      </c>
      <c r="S52" s="2"/>
      <c r="T52" s="2"/>
      <c r="U52" s="2"/>
      <c r="V52" s="19">
        <f t="shared" si="14"/>
        <v>0</v>
      </c>
      <c r="W52" s="2"/>
      <c r="X52" s="2">
        <f t="shared" si="15"/>
        <v>10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"5586", " - ", "FREIGHT-IN-COMPUTER SUPPLIES")</f>
        <v xml:space="preserve">          5586 - FREIGHT-IN-COMPUTER SUPPLIES</v>
      </c>
      <c r="C53" s="11"/>
      <c r="D53" s="2"/>
      <c r="E53" s="2"/>
      <c r="F53" s="19">
        <f t="shared" si="9"/>
        <v>0</v>
      </c>
      <c r="G53" s="2"/>
      <c r="H53" s="2">
        <v>13.98</v>
      </c>
      <c r="I53" s="2"/>
      <c r="J53" s="19">
        <f t="shared" si="10"/>
        <v>3.0635002462523892E-5</v>
      </c>
      <c r="K53" s="2"/>
      <c r="L53" s="2">
        <f t="shared" si="11"/>
        <v>-13.98</v>
      </c>
      <c r="M53" s="2"/>
      <c r="N53" s="19">
        <f t="shared" si="12"/>
        <v>-1</v>
      </c>
      <c r="O53" s="11"/>
      <c r="P53" s="2">
        <v>301.27</v>
      </c>
      <c r="Q53" s="2"/>
      <c r="R53" s="19">
        <f t="shared" si="13"/>
        <v>1.2359899227374808E-4</v>
      </c>
      <c r="S53" s="2"/>
      <c r="T53" s="2">
        <v>379.94</v>
      </c>
      <c r="U53" s="2"/>
      <c r="V53" s="19">
        <f t="shared" si="14"/>
        <v>1.3490441455540729E-4</v>
      </c>
      <c r="W53" s="2"/>
      <c r="X53" s="2">
        <f t="shared" si="15"/>
        <v>-78.670000000000016</v>
      </c>
      <c r="Y53" s="2"/>
      <c r="Z53" s="19">
        <f t="shared" si="16"/>
        <v>-0.20705900931726065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6</v>
      </c>
      <c r="C55" s="29"/>
      <c r="D55" s="21">
        <f>D12-D38</f>
        <v>6093.3399999999965</v>
      </c>
      <c r="E55" s="14"/>
      <c r="F55" s="20">
        <f>IF(D$12=0,0,D55/D$12)</f>
        <v>6.3767421908627275E-2</v>
      </c>
      <c r="G55" s="14"/>
      <c r="H55" s="21">
        <f>H12-H38</f>
        <v>66532.180000000051</v>
      </c>
      <c r="I55" s="14"/>
      <c r="J55" s="20">
        <f>IF(H$12=0,0,H55/H$12)</f>
        <v>0.14579495694828931</v>
      </c>
      <c r="K55" s="16"/>
      <c r="L55" s="21">
        <f>+D55-H55</f>
        <v>-60438.840000000055</v>
      </c>
      <c r="M55" s="16"/>
      <c r="N55" s="20">
        <f>IF(H55=0,0,L55/H55)</f>
        <v>-0.90841514587377126</v>
      </c>
      <c r="O55" s="28"/>
      <c r="P55" s="21">
        <f>P12-P38</f>
        <v>315722.82000000123</v>
      </c>
      <c r="Q55" s="14"/>
      <c r="R55" s="20">
        <f>IF(P$12=0,0,P55/P$12)</f>
        <v>0.12952840438751323</v>
      </c>
      <c r="S55" s="14"/>
      <c r="T55" s="21">
        <f>T12-T38</f>
        <v>428171.70000000019</v>
      </c>
      <c r="U55" s="14"/>
      <c r="V55" s="20">
        <f>IF(T$12=0,0,T55/T$12)</f>
        <v>0.15202993240430993</v>
      </c>
      <c r="W55" s="16"/>
      <c r="X55" s="21">
        <f>+P55-T55</f>
        <v>-112448.87999999896</v>
      </c>
      <c r="Y55" s="16"/>
      <c r="Z55" s="20">
        <f>IF(T55=0,0,X55/T55)</f>
        <v>-0.26262567096330491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9</v>
      </c>
      <c r="C57" s="10"/>
      <c r="D57" s="22">
        <f>SUM(OSRRefD22x_0)</f>
        <v>12120.14</v>
      </c>
      <c r="E57" s="22"/>
      <c r="F57" s="31">
        <f t="shared" ref="F57:F67" si="17">IF(D$12=0,0,D57/D$12)</f>
        <v>0.12683849595979055</v>
      </c>
      <c r="G57" s="22"/>
      <c r="H57" s="22">
        <f>SUM(OSRRefH22x_0)</f>
        <v>20962.34</v>
      </c>
      <c r="I57" s="22"/>
      <c r="J57" s="31">
        <f t="shared" ref="J57:J67" si="18">IF(H$12=0,0,H57/H$12)</f>
        <v>4.5935717991435129E-2</v>
      </c>
      <c r="K57" s="4"/>
      <c r="L57" s="22">
        <f t="shared" ref="L57:L67" si="19">+D57-H57</f>
        <v>-8842.2000000000007</v>
      </c>
      <c r="M57" s="4"/>
      <c r="N57" s="31">
        <f t="shared" ref="N57:N67" si="20">IF(H57=0,0,L57/H57)</f>
        <v>-0.42181359523793627</v>
      </c>
      <c r="O57" s="10"/>
      <c r="P57" s="22">
        <f>SUM(OSRRefP22x_0)</f>
        <v>210123.29000000007</v>
      </c>
      <c r="Q57" s="22"/>
      <c r="R57" s="31">
        <f t="shared" ref="R57:R67" si="21">IF(P$12=0,0,P57/P$12)</f>
        <v>8.6205154503417314E-2</v>
      </c>
      <c r="S57" s="22"/>
      <c r="T57" s="22">
        <f>SUM(OSRRefT22x_0)</f>
        <v>245675.26</v>
      </c>
      <c r="U57" s="22"/>
      <c r="V57" s="31">
        <f t="shared" ref="V57:V67" si="22">IF(T$12=0,0,T57/T$12)</f>
        <v>8.7231344741399888E-2</v>
      </c>
      <c r="W57" s="4"/>
      <c r="X57" s="22">
        <f t="shared" ref="X57:X67" si="23">+P57-T57</f>
        <v>-35551.969999999943</v>
      </c>
      <c r="Y57" s="4"/>
      <c r="Z57" s="31">
        <f t="shared" ref="Z57:Z67" si="24">IF(T57=0,0,X57/T57)</f>
        <v>-0.14471123384584977</v>
      </c>
    </row>
    <row r="58" spans="1:26" s="27" customFormat="1" outlineLevel="1" collapsed="1" x14ac:dyDescent="0.25">
      <c r="A58" s="25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2481.5900000000006</v>
      </c>
      <c r="E58" s="1"/>
      <c r="F58" s="5">
        <f t="shared" si="17"/>
        <v>2.5970091367662151E-2</v>
      </c>
      <c r="G58" s="1"/>
      <c r="H58" s="1">
        <f>SUM(OSRRefH22_0x_0)</f>
        <v>2639.33</v>
      </c>
      <c r="I58" s="1"/>
      <c r="J58" s="5">
        <f t="shared" si="18"/>
        <v>5.7836824784987971E-3</v>
      </c>
      <c r="K58" s="1"/>
      <c r="L58" s="1">
        <f t="shared" si="19"/>
        <v>-157.73999999999933</v>
      </c>
      <c r="M58" s="1"/>
      <c r="N58" s="5">
        <f t="shared" si="20"/>
        <v>-5.9765167675129419E-2</v>
      </c>
      <c r="O58" s="13"/>
      <c r="P58" s="1">
        <f>SUM(OSRRefP22_0x_0)</f>
        <v>26890.37</v>
      </c>
      <c r="Q58" s="1"/>
      <c r="R58" s="5">
        <f t="shared" si="21"/>
        <v>1.1032039811027407E-2</v>
      </c>
      <c r="S58" s="1"/>
      <c r="T58" s="1">
        <f>SUM(OSRRefT22_0x_0)</f>
        <v>25482.95</v>
      </c>
      <c r="U58" s="1"/>
      <c r="V58" s="5">
        <f t="shared" si="22"/>
        <v>9.0481719505572378E-3</v>
      </c>
      <c r="W58" s="1"/>
      <c r="X58" s="1">
        <f t="shared" si="23"/>
        <v>1407.4199999999983</v>
      </c>
      <c r="Y58" s="1"/>
      <c r="Z58" s="5">
        <f t="shared" si="24"/>
        <v>5.5229869383254221E-2</v>
      </c>
    </row>
    <row r="59" spans="1:26" s="24" customFormat="1" hidden="1" outlineLevel="2" x14ac:dyDescent="0.25">
      <c r="A59" s="26"/>
      <c r="B59" s="11" t="str">
        <f>CONCATENATE("          ", "6111", " - ", "F.I.C.A.")</f>
        <v xml:space="preserve">          6111 - F.I.C.A.</v>
      </c>
      <c r="C59" s="11"/>
      <c r="D59" s="6">
        <v>411.12</v>
      </c>
      <c r="E59" s="2"/>
      <c r="F59" s="7">
        <f t="shared" si="17"/>
        <v>4.3024125512567592E-3</v>
      </c>
      <c r="G59" s="2"/>
      <c r="H59" s="6">
        <v>688.49</v>
      </c>
      <c r="I59" s="2"/>
      <c r="J59" s="7">
        <f t="shared" si="18"/>
        <v>1.5087190876554417E-3</v>
      </c>
      <c r="K59" s="2"/>
      <c r="L59" s="6">
        <f t="shared" si="19"/>
        <v>-277.37</v>
      </c>
      <c r="M59" s="2"/>
      <c r="N59" s="7">
        <f t="shared" si="20"/>
        <v>-0.40286714403985535</v>
      </c>
      <c r="O59" s="11"/>
      <c r="P59" s="6">
        <v>7614.51</v>
      </c>
      <c r="Q59" s="2"/>
      <c r="R59" s="7">
        <f t="shared" si="21"/>
        <v>3.1239279140252182E-3</v>
      </c>
      <c r="S59" s="2"/>
      <c r="T59" s="6">
        <v>5390.84</v>
      </c>
      <c r="U59" s="2"/>
      <c r="V59" s="7">
        <f t="shared" si="22"/>
        <v>1.9141130551188921E-3</v>
      </c>
      <c r="W59" s="2"/>
      <c r="X59" s="6">
        <f t="shared" si="23"/>
        <v>2223.67</v>
      </c>
      <c r="Y59" s="2"/>
      <c r="Z59" s="7">
        <f t="shared" si="24"/>
        <v>0.41249044675783364</v>
      </c>
    </row>
    <row r="60" spans="1:26" s="24" customFormat="1" hidden="1" outlineLevel="2" x14ac:dyDescent="0.25">
      <c r="A60" s="26"/>
      <c r="B60" s="11" t="str">
        <f>CONCATENATE("          ", "6112", " - ", "COMPENSATION INSURANCE")</f>
        <v xml:space="preserve">          6112 - COMPENSATION INSURANCE</v>
      </c>
      <c r="C60" s="11"/>
      <c r="D60" s="6">
        <v>78.989999999999995</v>
      </c>
      <c r="E60" s="2"/>
      <c r="F60" s="7">
        <f t="shared" si="17"/>
        <v>8.2663837182275584E-4</v>
      </c>
      <c r="G60" s="2"/>
      <c r="H60" s="6">
        <v>104.01</v>
      </c>
      <c r="I60" s="2"/>
      <c r="J60" s="7">
        <f t="shared" si="18"/>
        <v>2.2792178870723249E-4</v>
      </c>
      <c r="K60" s="2"/>
      <c r="L60" s="6">
        <f t="shared" si="19"/>
        <v>-25.02000000000001</v>
      </c>
      <c r="M60" s="2"/>
      <c r="N60" s="7">
        <f t="shared" si="20"/>
        <v>-0.2405537929045285</v>
      </c>
      <c r="O60" s="11"/>
      <c r="P60" s="6">
        <v>1995.7</v>
      </c>
      <c r="Q60" s="2"/>
      <c r="R60" s="7">
        <f t="shared" si="21"/>
        <v>8.1875563076548954E-4</v>
      </c>
      <c r="S60" s="2"/>
      <c r="T60" s="6">
        <v>959.96</v>
      </c>
      <c r="U60" s="2"/>
      <c r="V60" s="7">
        <f t="shared" si="22"/>
        <v>3.4085077063907146E-4</v>
      </c>
      <c r="W60" s="2"/>
      <c r="X60" s="6">
        <f t="shared" si="23"/>
        <v>1035.74</v>
      </c>
      <c r="Y60" s="2"/>
      <c r="Z60" s="7">
        <f t="shared" si="24"/>
        <v>1.0789407891995499</v>
      </c>
    </row>
    <row r="61" spans="1:26" s="24" customFormat="1" hidden="1" outlineLevel="2" x14ac:dyDescent="0.25">
      <c r="A61" s="26"/>
      <c r="B61" s="11" t="str">
        <f>CONCATENATE("          ", "6113", " - ", "GROUP INSURANCE")</f>
        <v xml:space="preserve">          6113 - GROUP INSURANCE</v>
      </c>
      <c r="C61" s="11"/>
      <c r="D61" s="6">
        <v>1035.69</v>
      </c>
      <c r="E61" s="2"/>
      <c r="F61" s="7">
        <f t="shared" si="17"/>
        <v>1.0838601029410181E-2</v>
      </c>
      <c r="G61" s="2"/>
      <c r="H61" s="6">
        <v>964.88</v>
      </c>
      <c r="I61" s="2"/>
      <c r="J61" s="7">
        <f t="shared" si="18"/>
        <v>2.1143849196022927E-3</v>
      </c>
      <c r="K61" s="2"/>
      <c r="L61" s="6">
        <f t="shared" si="19"/>
        <v>70.810000000000059</v>
      </c>
      <c r="M61" s="2"/>
      <c r="N61" s="7">
        <f t="shared" si="20"/>
        <v>7.3387364231821642E-2</v>
      </c>
      <c r="O61" s="11"/>
      <c r="P61" s="6">
        <v>12591.69</v>
      </c>
      <c r="Q61" s="2"/>
      <c r="R61" s="7">
        <f t="shared" si="21"/>
        <v>5.1658651542584094E-3</v>
      </c>
      <c r="S61" s="2"/>
      <c r="T61" s="6">
        <v>10363.06</v>
      </c>
      <c r="U61" s="2"/>
      <c r="V61" s="7">
        <f t="shared" si="22"/>
        <v>3.679587677797966E-3</v>
      </c>
      <c r="W61" s="2"/>
      <c r="X61" s="6">
        <f t="shared" si="23"/>
        <v>2228.630000000001</v>
      </c>
      <c r="Y61" s="2"/>
      <c r="Z61" s="7">
        <f t="shared" si="24"/>
        <v>0.2150552057017909</v>
      </c>
    </row>
    <row r="62" spans="1:26" s="24" customFormat="1" hidden="1" outlineLevel="2" x14ac:dyDescent="0.25">
      <c r="A62" s="26"/>
      <c r="B62" s="11" t="str">
        <f>CONCATENATE("          ", "6114", " - ", "STATE UNEMPLOYMENT INSURANCE")</f>
        <v xml:space="preserve">          6114 - STATE UNEMPLOYMENT INSURANCE</v>
      </c>
      <c r="C62" s="11"/>
      <c r="D62" s="6">
        <v>19.559999999999999</v>
      </c>
      <c r="E62" s="2"/>
      <c r="F62" s="7">
        <f t="shared" si="17"/>
        <v>2.0469738641414235E-4</v>
      </c>
      <c r="G62" s="2"/>
      <c r="H62" s="6">
        <v>22.73</v>
      </c>
      <c r="I62" s="2"/>
      <c r="J62" s="7">
        <f t="shared" si="18"/>
        <v>4.980927081353134E-5</v>
      </c>
      <c r="K62" s="2"/>
      <c r="L62" s="6">
        <f t="shared" si="19"/>
        <v>-3.1700000000000017</v>
      </c>
      <c r="M62" s="2"/>
      <c r="N62" s="7">
        <f t="shared" si="20"/>
        <v>-0.13946326440827109</v>
      </c>
      <c r="O62" s="11"/>
      <c r="P62" s="6">
        <v>322.33</v>
      </c>
      <c r="Q62" s="2"/>
      <c r="R62" s="7">
        <f t="shared" si="21"/>
        <v>1.3223906522254861E-4</v>
      </c>
      <c r="S62" s="2"/>
      <c r="T62" s="6">
        <v>268.67</v>
      </c>
      <c r="U62" s="2"/>
      <c r="V62" s="7">
        <f t="shared" si="22"/>
        <v>9.5396033738488395E-5</v>
      </c>
      <c r="W62" s="2"/>
      <c r="X62" s="6">
        <f t="shared" si="23"/>
        <v>53.659999999999968</v>
      </c>
      <c r="Y62" s="2"/>
      <c r="Z62" s="7">
        <f t="shared" si="24"/>
        <v>0.1997245691740796</v>
      </c>
    </row>
    <row r="63" spans="1:26" s="24" customFormat="1" hidden="1" outlineLevel="2" x14ac:dyDescent="0.25">
      <c r="A63" s="26"/>
      <c r="B63" s="11" t="str">
        <f>CONCATENATE("          ", "6115", " - ", "P.E.R.S.")</f>
        <v xml:space="preserve">          6115 - P.E.R.S.</v>
      </c>
      <c r="C63" s="11"/>
      <c r="D63" s="6">
        <v>159.41999999999999</v>
      </c>
      <c r="E63" s="2"/>
      <c r="F63" s="7">
        <f t="shared" si="17"/>
        <v>1.6683464898845897E-3</v>
      </c>
      <c r="G63" s="2"/>
      <c r="H63" s="6">
        <v>174.42</v>
      </c>
      <c r="I63" s="2"/>
      <c r="J63" s="7">
        <f t="shared" si="18"/>
        <v>3.8221438694659637E-4</v>
      </c>
      <c r="K63" s="2"/>
      <c r="L63" s="6">
        <f t="shared" si="19"/>
        <v>-15</v>
      </c>
      <c r="M63" s="2"/>
      <c r="N63" s="7">
        <f t="shared" si="20"/>
        <v>-8.5999312005503967E-2</v>
      </c>
      <c r="O63" s="11"/>
      <c r="P63" s="6">
        <v>2648.28</v>
      </c>
      <c r="Q63" s="2"/>
      <c r="R63" s="7">
        <f t="shared" si="21"/>
        <v>1.0864830194135546E-3</v>
      </c>
      <c r="S63" s="2"/>
      <c r="T63" s="6">
        <v>2090.5</v>
      </c>
      <c r="U63" s="2"/>
      <c r="V63" s="7">
        <f t="shared" si="22"/>
        <v>7.4226898622961244E-4</v>
      </c>
      <c r="W63" s="2"/>
      <c r="X63" s="6">
        <f t="shared" si="23"/>
        <v>557.7800000000002</v>
      </c>
      <c r="Y63" s="2"/>
      <c r="Z63" s="7">
        <f t="shared" si="24"/>
        <v>0.26681655106433877</v>
      </c>
    </row>
    <row r="64" spans="1:26" s="24" customFormat="1" hidden="1" outlineLevel="2" x14ac:dyDescent="0.25">
      <c r="A64" s="26"/>
      <c r="B64" s="11" t="str">
        <f>CONCATENATE("          ", "6117", " - ", "RETIREMENT STAFF HOURLY")</f>
        <v xml:space="preserve">          6117 - RETIREMENT STAFF HOURLY</v>
      </c>
      <c r="C64" s="11"/>
      <c r="D64" s="6">
        <v>130.25</v>
      </c>
      <c r="E64" s="2"/>
      <c r="F64" s="7">
        <f t="shared" si="17"/>
        <v>1.3630794775277117E-3</v>
      </c>
      <c r="G64" s="2"/>
      <c r="H64" s="6">
        <v>141.83000000000001</v>
      </c>
      <c r="I64" s="2"/>
      <c r="J64" s="7">
        <f t="shared" si="18"/>
        <v>3.107984548826727E-4</v>
      </c>
      <c r="K64" s="2"/>
      <c r="L64" s="6">
        <f t="shared" si="19"/>
        <v>-11.580000000000013</v>
      </c>
      <c r="M64" s="2"/>
      <c r="N64" s="7">
        <f t="shared" si="20"/>
        <v>-8.1647042233660094E-2</v>
      </c>
      <c r="O64" s="11"/>
      <c r="P64" s="6">
        <v>1904.04</v>
      </c>
      <c r="Q64" s="2"/>
      <c r="R64" s="7">
        <f t="shared" si="21"/>
        <v>7.8115121070437582E-4</v>
      </c>
      <c r="S64" s="2"/>
      <c r="T64" s="6">
        <v>1400.61</v>
      </c>
      <c r="U64" s="2"/>
      <c r="V64" s="7">
        <f t="shared" si="22"/>
        <v>4.9731134408182614E-4</v>
      </c>
      <c r="W64" s="2"/>
      <c r="X64" s="6">
        <f t="shared" si="23"/>
        <v>503.43000000000006</v>
      </c>
      <c r="Y64" s="2"/>
      <c r="Z64" s="7">
        <f t="shared" si="24"/>
        <v>0.35943624563583015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6">
        <v>257.8</v>
      </c>
      <c r="E65" s="2"/>
      <c r="F65" s="7">
        <f t="shared" si="17"/>
        <v>2.6979031808571524E-3</v>
      </c>
      <c r="G65" s="2"/>
      <c r="H65" s="6">
        <v>220.35</v>
      </c>
      <c r="I65" s="2"/>
      <c r="J65" s="7">
        <f t="shared" si="18"/>
        <v>4.8286286070222745E-4</v>
      </c>
      <c r="K65" s="2"/>
      <c r="L65" s="6">
        <f t="shared" si="19"/>
        <v>37.450000000000017</v>
      </c>
      <c r="M65" s="2"/>
      <c r="N65" s="7">
        <f t="shared" si="20"/>
        <v>0.16995688677104615</v>
      </c>
      <c r="O65" s="11"/>
      <c r="P65" s="6">
        <v>3045.35</v>
      </c>
      <c r="Q65" s="2"/>
      <c r="R65" s="7">
        <f t="shared" si="21"/>
        <v>1.2493849076272404E-3</v>
      </c>
      <c r="S65" s="2"/>
      <c r="T65" s="6">
        <v>1912.72</v>
      </c>
      <c r="U65" s="2"/>
      <c r="V65" s="7">
        <f t="shared" si="22"/>
        <v>6.7914505397804559E-4</v>
      </c>
      <c r="W65" s="2"/>
      <c r="X65" s="6">
        <f t="shared" si="23"/>
        <v>1132.6299999999999</v>
      </c>
      <c r="Y65" s="2"/>
      <c r="Z65" s="7">
        <f t="shared" si="24"/>
        <v>0.59215671922706925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6">
        <v>256.57</v>
      </c>
      <c r="E66" s="2"/>
      <c r="F66" s="7">
        <f t="shared" si="17"/>
        <v>2.6850311059446064E-3</v>
      </c>
      <c r="G66" s="2"/>
      <c r="H66" s="6">
        <v>176.37</v>
      </c>
      <c r="I66" s="2"/>
      <c r="J66" s="7">
        <f t="shared" si="18"/>
        <v>3.8648750960767803E-4</v>
      </c>
      <c r="K66" s="2"/>
      <c r="L66" s="6">
        <f t="shared" si="19"/>
        <v>80.199999999999989</v>
      </c>
      <c r="M66" s="2"/>
      <c r="N66" s="7">
        <f t="shared" si="20"/>
        <v>0.45472586040709861</v>
      </c>
      <c r="O66" s="11"/>
      <c r="P66" s="6">
        <v>-5090.13</v>
      </c>
      <c r="Q66" s="2"/>
      <c r="R66" s="7">
        <f t="shared" si="21"/>
        <v>-2.0882760930141511E-3</v>
      </c>
      <c r="S66" s="2"/>
      <c r="T66" s="6">
        <v>1579.03</v>
      </c>
      <c r="U66" s="2"/>
      <c r="V66" s="7">
        <f t="shared" si="22"/>
        <v>5.6066251964895719E-4</v>
      </c>
      <c r="W66" s="2"/>
      <c r="X66" s="6">
        <f t="shared" si="23"/>
        <v>-6669.16</v>
      </c>
      <c r="Y66" s="2"/>
      <c r="Z66" s="7">
        <f t="shared" si="24"/>
        <v>-4.2235802992976703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6">
        <v>132.19</v>
      </c>
      <c r="E67" s="2"/>
      <c r="F67" s="7">
        <f t="shared" si="17"/>
        <v>1.3833817745442475E-3</v>
      </c>
      <c r="G67" s="2"/>
      <c r="H67" s="6">
        <v>146.25</v>
      </c>
      <c r="I67" s="2"/>
      <c r="J67" s="7">
        <f t="shared" si="18"/>
        <v>3.2048419958112442E-4</v>
      </c>
      <c r="K67" s="2"/>
      <c r="L67" s="6">
        <f t="shared" si="19"/>
        <v>-14.060000000000002</v>
      </c>
      <c r="M67" s="2"/>
      <c r="N67" s="7">
        <f t="shared" si="20"/>
        <v>-9.6136752136752157E-2</v>
      </c>
      <c r="O67" s="11"/>
      <c r="P67" s="6">
        <v>1858.6</v>
      </c>
      <c r="Q67" s="2"/>
      <c r="R67" s="7">
        <f t="shared" si="21"/>
        <v>7.6250900202472259E-4</v>
      </c>
      <c r="S67" s="2"/>
      <c r="T67" s="6">
        <v>1517.56</v>
      </c>
      <c r="U67" s="2"/>
      <c r="V67" s="7">
        <f t="shared" si="22"/>
        <v>5.3883650932437727E-4</v>
      </c>
      <c r="W67" s="2"/>
      <c r="X67" s="6">
        <f t="shared" si="23"/>
        <v>341.03999999999996</v>
      </c>
      <c r="Y67" s="2"/>
      <c r="Z67" s="7">
        <f t="shared" si="24"/>
        <v>0.22472917051055641</v>
      </c>
    </row>
    <row r="68" spans="1:26" s="27" customFormat="1" outlineLevel="1" collapsed="1" x14ac:dyDescent="0.25">
      <c r="A68" s="25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4569.1499999999996</v>
      </c>
      <c r="E68" s="1"/>
      <c r="F68" s="5">
        <f t="shared" ref="F68:F73" si="25">IF(D$12=0,0,D68/D$12)</f>
        <v>4.781661876964103E-2</v>
      </c>
      <c r="G68" s="1"/>
      <c r="H68" s="1">
        <f>SUM(OSRRefH22_1x_0)</f>
        <v>10424.24</v>
      </c>
      <c r="I68" s="1"/>
      <c r="J68" s="5">
        <f t="shared" ref="J68:J73" si="26">IF(H$12=0,0,H68/H$12)</f>
        <v>2.2843105727463522E-2</v>
      </c>
      <c r="K68" s="1"/>
      <c r="L68" s="1">
        <f t="shared" ref="L68:L73" si="27">+D68-H68</f>
        <v>-5855.09</v>
      </c>
      <c r="M68" s="1"/>
      <c r="N68" s="5">
        <f t="shared" ref="N68:N73" si="28">IF(H68=0,0,L68/H68)</f>
        <v>-0.56168027597215719</v>
      </c>
      <c r="O68" s="13"/>
      <c r="P68" s="1">
        <f>SUM(OSRRefP22_1x_0)</f>
        <v>100791.28</v>
      </c>
      <c r="Q68" s="1"/>
      <c r="R68" s="5">
        <f t="shared" ref="R68:R73" si="29">IF(P$12=0,0,P68/P$12)</f>
        <v>4.135061784439599E-2</v>
      </c>
      <c r="S68" s="1"/>
      <c r="T68" s="1">
        <f>SUM(OSRRefT22_1x_0)</f>
        <v>101136.23999999999</v>
      </c>
      <c r="U68" s="1"/>
      <c r="V68" s="5">
        <f t="shared" ref="V68:V73" si="30">IF(T$12=0,0,T68/T$12)</f>
        <v>3.5910210158275425E-2</v>
      </c>
      <c r="W68" s="1"/>
      <c r="X68" s="1">
        <f t="shared" ref="X68:X73" si="31">+P68-T68</f>
        <v>-344.95999999999185</v>
      </c>
      <c r="Y68" s="1"/>
      <c r="Z68" s="5">
        <f t="shared" ref="Z68:Z73" si="32">IF(T68=0,0,X68/T68)</f>
        <v>-3.4108446190998587E-3</v>
      </c>
    </row>
    <row r="69" spans="1:26" s="24" customFormat="1" hidden="1" outlineLevel="2" x14ac:dyDescent="0.25">
      <c r="A69" s="26"/>
      <c r="B69" s="11" t="str">
        <f>CONCATENATE("          ", "6002", " - ", "STAFF SALARIES")</f>
        <v xml:space="preserve">          6002 - STAFF SALARIES</v>
      </c>
      <c r="C69" s="11"/>
      <c r="D69" s="6">
        <v>1825.84</v>
      </c>
      <c r="E69" s="2"/>
      <c r="F69" s="7">
        <f t="shared" si="25"/>
        <v>1.9107601023026468E-2</v>
      </c>
      <c r="G69" s="2"/>
      <c r="H69" s="6">
        <v>3058.34</v>
      </c>
      <c r="I69" s="2"/>
      <c r="J69" s="7">
        <f t="shared" si="26"/>
        <v>6.701877927842298E-3</v>
      </c>
      <c r="K69" s="2"/>
      <c r="L69" s="6">
        <f t="shared" si="27"/>
        <v>-1232.5000000000002</v>
      </c>
      <c r="M69" s="2"/>
      <c r="N69" s="7">
        <f t="shared" si="28"/>
        <v>-0.40299639673809978</v>
      </c>
      <c r="O69" s="11"/>
      <c r="P69" s="6">
        <v>34223.57</v>
      </c>
      <c r="Q69" s="2"/>
      <c r="R69" s="7">
        <f t="shared" si="29"/>
        <v>1.4040557519866156E-2</v>
      </c>
      <c r="S69" s="2"/>
      <c r="T69" s="6">
        <v>29188.34</v>
      </c>
      <c r="U69" s="2"/>
      <c r="V69" s="7">
        <f t="shared" si="30"/>
        <v>1.0363836183461013E-2</v>
      </c>
      <c r="W69" s="2"/>
      <c r="X69" s="6">
        <f t="shared" si="31"/>
        <v>5035.2299999999996</v>
      </c>
      <c r="Y69" s="2"/>
      <c r="Z69" s="7">
        <f t="shared" si="32"/>
        <v>0.17250826871278049</v>
      </c>
    </row>
    <row r="70" spans="1:26" s="24" customFormat="1" hidden="1" outlineLevel="2" x14ac:dyDescent="0.25">
      <c r="A70" s="26"/>
      <c r="B70" s="11" t="str">
        <f>CONCATENATE("          ", "6004", " - ", "STAFF HOURLY")</f>
        <v xml:space="preserve">          6004 - STAFF HOURLY</v>
      </c>
      <c r="C70" s="11"/>
      <c r="D70" s="6">
        <v>2743.31</v>
      </c>
      <c r="E70" s="2"/>
      <c r="F70" s="7">
        <f t="shared" si="25"/>
        <v>2.8709017746614565E-2</v>
      </c>
      <c r="G70" s="2"/>
      <c r="H70" s="6"/>
      <c r="I70" s="2"/>
      <c r="J70" s="7">
        <f t="shared" si="26"/>
        <v>0</v>
      </c>
      <c r="K70" s="2"/>
      <c r="L70" s="6">
        <f t="shared" si="27"/>
        <v>2743.31</v>
      </c>
      <c r="M70" s="2"/>
      <c r="N70" s="7">
        <f t="shared" si="28"/>
        <v>0</v>
      </c>
      <c r="O70" s="11"/>
      <c r="P70" s="6">
        <v>8575.16</v>
      </c>
      <c r="Q70" s="2"/>
      <c r="R70" s="7">
        <f t="shared" si="29"/>
        <v>3.5180440620909935E-3</v>
      </c>
      <c r="S70" s="2"/>
      <c r="T70" s="6"/>
      <c r="U70" s="2"/>
      <c r="V70" s="7">
        <f t="shared" si="30"/>
        <v>0</v>
      </c>
      <c r="W70" s="2"/>
      <c r="X70" s="6">
        <f t="shared" si="31"/>
        <v>8575.16</v>
      </c>
      <c r="Y70" s="2"/>
      <c r="Z70" s="7">
        <f t="shared" si="32"/>
        <v>0</v>
      </c>
    </row>
    <row r="71" spans="1:26" s="24" customFormat="1" hidden="1" outlineLevel="2" x14ac:dyDescent="0.25">
      <c r="A71" s="26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5"/>
        <v>0</v>
      </c>
      <c r="G71" s="2"/>
      <c r="H71" s="6">
        <v>4392.96</v>
      </c>
      <c r="I71" s="2"/>
      <c r="J71" s="7">
        <f t="shared" si="26"/>
        <v>9.6264907308847604E-3</v>
      </c>
      <c r="K71" s="2"/>
      <c r="L71" s="6">
        <f t="shared" si="27"/>
        <v>-4392.96</v>
      </c>
      <c r="M71" s="2"/>
      <c r="N71" s="7">
        <f t="shared" si="28"/>
        <v>-1</v>
      </c>
      <c r="O71" s="11"/>
      <c r="P71" s="6">
        <v>29960.57</v>
      </c>
      <c r="Q71" s="2"/>
      <c r="R71" s="7">
        <f t="shared" si="29"/>
        <v>1.2291619676526333E-2</v>
      </c>
      <c r="S71" s="2"/>
      <c r="T71" s="6">
        <v>27951.17</v>
      </c>
      <c r="U71" s="2"/>
      <c r="V71" s="7">
        <f t="shared" si="30"/>
        <v>9.9245571010913927E-3</v>
      </c>
      <c r="W71" s="2"/>
      <c r="X71" s="6">
        <f t="shared" si="31"/>
        <v>2009.4000000000015</v>
      </c>
      <c r="Y71" s="2"/>
      <c r="Z71" s="7">
        <f t="shared" si="32"/>
        <v>7.1889656139617827E-2</v>
      </c>
    </row>
    <row r="72" spans="1:26" s="24" customFormat="1" hidden="1" outlineLevel="2" x14ac:dyDescent="0.25">
      <c r="A72" s="26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5"/>
        <v>0</v>
      </c>
      <c r="G72" s="2"/>
      <c r="H72" s="6"/>
      <c r="I72" s="2"/>
      <c r="J72" s="7">
        <f t="shared" si="26"/>
        <v>0</v>
      </c>
      <c r="K72" s="2"/>
      <c r="L72" s="6">
        <f t="shared" si="27"/>
        <v>0</v>
      </c>
      <c r="M72" s="2"/>
      <c r="N72" s="7">
        <f t="shared" si="28"/>
        <v>0</v>
      </c>
      <c r="O72" s="11"/>
      <c r="P72" s="6">
        <v>9008.99</v>
      </c>
      <c r="Q72" s="2"/>
      <c r="R72" s="7">
        <f t="shared" si="29"/>
        <v>3.6960271032770394E-3</v>
      </c>
      <c r="S72" s="2"/>
      <c r="T72" s="6"/>
      <c r="U72" s="2"/>
      <c r="V72" s="7">
        <f t="shared" si="30"/>
        <v>0</v>
      </c>
      <c r="W72" s="2"/>
      <c r="X72" s="6">
        <f t="shared" si="31"/>
        <v>9008.99</v>
      </c>
      <c r="Y72" s="2"/>
      <c r="Z72" s="7">
        <f t="shared" si="32"/>
        <v>0</v>
      </c>
    </row>
    <row r="73" spans="1:26" s="24" customFormat="1" hidden="1" outlineLevel="2" x14ac:dyDescent="0.25">
      <c r="A73" s="26"/>
      <c r="B73" s="11" t="str">
        <f>CONCATENATE("          ", "6007", " - ", "STUDENT HOURLY")</f>
        <v xml:space="preserve">          6007 - STUDENT HOURLY</v>
      </c>
      <c r="C73" s="11"/>
      <c r="D73" s="6"/>
      <c r="E73" s="2"/>
      <c r="F73" s="7">
        <f t="shared" si="25"/>
        <v>0</v>
      </c>
      <c r="G73" s="2"/>
      <c r="H73" s="6">
        <v>2972.94</v>
      </c>
      <c r="I73" s="2"/>
      <c r="J73" s="7">
        <f t="shared" si="26"/>
        <v>6.5147370687364649E-3</v>
      </c>
      <c r="K73" s="2"/>
      <c r="L73" s="6">
        <f t="shared" si="27"/>
        <v>-2972.94</v>
      </c>
      <c r="M73" s="2"/>
      <c r="N73" s="7">
        <f t="shared" si="28"/>
        <v>-1</v>
      </c>
      <c r="O73" s="11"/>
      <c r="P73" s="6">
        <v>19022.990000000002</v>
      </c>
      <c r="Q73" s="2"/>
      <c r="R73" s="7">
        <f t="shared" si="29"/>
        <v>7.8043694826354674E-3</v>
      </c>
      <c r="S73" s="2"/>
      <c r="T73" s="6">
        <v>43996.729999999996</v>
      </c>
      <c r="U73" s="2"/>
      <c r="V73" s="7">
        <f t="shared" si="30"/>
        <v>1.5621816873723021E-2</v>
      </c>
      <c r="W73" s="2"/>
      <c r="X73" s="6">
        <f t="shared" si="31"/>
        <v>-24973.739999999994</v>
      </c>
      <c r="Y73" s="2"/>
      <c r="Z73" s="7">
        <f t="shared" si="32"/>
        <v>-0.56762718502034126</v>
      </c>
    </row>
    <row r="74" spans="1:26" s="27" customFormat="1" outlineLevel="1" collapsed="1" x14ac:dyDescent="0.25">
      <c r="A74" s="25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0</v>
      </c>
      <c r="E74" s="1"/>
      <c r="F74" s="5">
        <f t="shared" ref="F74:F86" si="33">IF(D$12=0,0,D74/D$12)</f>
        <v>0</v>
      </c>
      <c r="G74" s="1"/>
      <c r="H74" s="1">
        <f>SUM(OSRRefH22_2x_0)</f>
        <v>198.19</v>
      </c>
      <c r="I74" s="1"/>
      <c r="J74" s="5">
        <f t="shared" ref="J74:J86" si="34">IF(H$12=0,0,H74/H$12)</f>
        <v>4.3430265651270457E-4</v>
      </c>
      <c r="K74" s="1"/>
      <c r="L74" s="1">
        <f t="shared" ref="L74:L86" si="35">+D74-H74</f>
        <v>-198.19</v>
      </c>
      <c r="M74" s="1"/>
      <c r="N74" s="5">
        <f t="shared" ref="N74:N86" si="36">IF(H74=0,0,L74/H74)</f>
        <v>-1</v>
      </c>
      <c r="O74" s="13"/>
      <c r="P74" s="1">
        <f>SUM(OSRRefP22_2x_0)</f>
        <v>1745.92</v>
      </c>
      <c r="Q74" s="1"/>
      <c r="R74" s="5">
        <f t="shared" ref="R74:R86" si="37">IF(P$12=0,0,P74/P$12)</f>
        <v>7.1628091940977284E-4</v>
      </c>
      <c r="S74" s="1"/>
      <c r="T74" s="1">
        <f>SUM(OSRRefT22_2x_0)</f>
        <v>4014.77</v>
      </c>
      <c r="U74" s="1"/>
      <c r="V74" s="5">
        <f t="shared" ref="V74:V86" si="38">IF(T$12=0,0,T74/T$12)</f>
        <v>1.4255150719182307E-3</v>
      </c>
      <c r="W74" s="1"/>
      <c r="X74" s="1">
        <f t="shared" ref="X74:X86" si="39">+P74-T74</f>
        <v>-2268.85</v>
      </c>
      <c r="Y74" s="1"/>
      <c r="Z74" s="5">
        <f t="shared" ref="Z74:Z86" si="40">IF(T74=0,0,X74/T74)</f>
        <v>-0.56512577308289136</v>
      </c>
    </row>
    <row r="75" spans="1:26" s="24" customFormat="1" hidden="1" outlineLevel="2" x14ac:dyDescent="0.25">
      <c r="A75" s="26"/>
      <c r="B75" s="11" t="str">
        <f>CONCATENATE("          ", "6362", " - ", "ADVERTISING EXPENSE")</f>
        <v xml:space="preserve">          6362 - ADVERTISING EXPENSE</v>
      </c>
      <c r="C75" s="11"/>
      <c r="D75" s="6"/>
      <c r="E75" s="2"/>
      <c r="F75" s="7">
        <f t="shared" si="33"/>
        <v>0</v>
      </c>
      <c r="G75" s="2"/>
      <c r="H75" s="6">
        <v>198.19</v>
      </c>
      <c r="I75" s="2"/>
      <c r="J75" s="7">
        <f t="shared" si="34"/>
        <v>4.3430265651270457E-4</v>
      </c>
      <c r="K75" s="2"/>
      <c r="L75" s="6">
        <f t="shared" si="35"/>
        <v>-198.19</v>
      </c>
      <c r="M75" s="2"/>
      <c r="N75" s="7">
        <f t="shared" si="36"/>
        <v>-1</v>
      </c>
      <c r="O75" s="11"/>
      <c r="P75" s="6">
        <v>1745.92</v>
      </c>
      <c r="Q75" s="2"/>
      <c r="R75" s="7">
        <f t="shared" si="37"/>
        <v>7.1628091940977284E-4</v>
      </c>
      <c r="S75" s="2"/>
      <c r="T75" s="6">
        <v>4014.77</v>
      </c>
      <c r="U75" s="2"/>
      <c r="V75" s="7">
        <f t="shared" si="38"/>
        <v>1.4255150719182307E-3</v>
      </c>
      <c r="W75" s="2"/>
      <c r="X75" s="6">
        <f t="shared" si="39"/>
        <v>-2268.85</v>
      </c>
      <c r="Y75" s="2"/>
      <c r="Z75" s="7">
        <f t="shared" si="40"/>
        <v>-0.56512577308289136</v>
      </c>
    </row>
    <row r="76" spans="1:26" s="27" customFormat="1" outlineLevel="1" collapsed="1" x14ac:dyDescent="0.25">
      <c r="A76" s="25"/>
      <c r="B76" s="13" t="str">
        <f>CONCATENATE("     ","Depreciation                                      ")</f>
        <v xml:space="preserve">     Depreciation                                      </v>
      </c>
      <c r="C76" s="13"/>
      <c r="D76" s="1">
        <f>SUM(OSRRefD22_3x_0)</f>
        <v>280.44</v>
      </c>
      <c r="E76" s="1"/>
      <c r="F76" s="5">
        <f t="shared" si="33"/>
        <v>2.9348330800604339E-3</v>
      </c>
      <c r="G76" s="1"/>
      <c r="H76" s="1">
        <f>SUM(OSRRefH22_3x_0)</f>
        <v>280.44</v>
      </c>
      <c r="I76" s="1"/>
      <c r="J76" s="5">
        <f t="shared" si="34"/>
        <v>6.1454077901217455E-4</v>
      </c>
      <c r="K76" s="1"/>
      <c r="L76" s="1">
        <f t="shared" si="35"/>
        <v>0</v>
      </c>
      <c r="M76" s="1"/>
      <c r="N76" s="5">
        <f t="shared" si="36"/>
        <v>0</v>
      </c>
      <c r="O76" s="13"/>
      <c r="P76" s="1">
        <f>SUM(OSRRefP22_3x_0)</f>
        <v>3084.84</v>
      </c>
      <c r="Q76" s="1"/>
      <c r="R76" s="5">
        <f t="shared" si="37"/>
        <v>1.2655860700559267E-3</v>
      </c>
      <c r="S76" s="1"/>
      <c r="T76" s="1">
        <f>SUM(OSRRefT22_3x_0)</f>
        <v>3084.84</v>
      </c>
      <c r="U76" s="1"/>
      <c r="V76" s="5">
        <f t="shared" si="38"/>
        <v>1.0953269837266481E-3</v>
      </c>
      <c r="W76" s="1"/>
      <c r="X76" s="1">
        <f t="shared" si="39"/>
        <v>0</v>
      </c>
      <c r="Y76" s="1"/>
      <c r="Z76" s="5">
        <f t="shared" si="40"/>
        <v>0</v>
      </c>
    </row>
    <row r="77" spans="1:26" s="24" customFormat="1" hidden="1" outlineLevel="2" x14ac:dyDescent="0.25">
      <c r="A77" s="26"/>
      <c r="B77" s="11" t="str">
        <f>CONCATENATE("          ", "6322", " - ", "EQUIPMENT DEPRECIATION EXPENSE")</f>
        <v xml:space="preserve">          6322 - EQUIPMENT DEPRECIATION EXPENSE</v>
      </c>
      <c r="C77" s="11"/>
      <c r="D77" s="6">
        <v>280.44</v>
      </c>
      <c r="E77" s="2"/>
      <c r="F77" s="7">
        <f t="shared" si="33"/>
        <v>2.9348330800604339E-3</v>
      </c>
      <c r="G77" s="2"/>
      <c r="H77" s="6">
        <v>280.44</v>
      </c>
      <c r="I77" s="2"/>
      <c r="J77" s="7">
        <f t="shared" si="34"/>
        <v>6.1454077901217455E-4</v>
      </c>
      <c r="K77" s="2"/>
      <c r="L77" s="6">
        <f t="shared" si="35"/>
        <v>0</v>
      </c>
      <c r="M77" s="2"/>
      <c r="N77" s="7">
        <f t="shared" si="36"/>
        <v>0</v>
      </c>
      <c r="O77" s="11"/>
      <c r="P77" s="6">
        <v>3084.84</v>
      </c>
      <c r="Q77" s="2"/>
      <c r="R77" s="7">
        <f t="shared" si="37"/>
        <v>1.2655860700559267E-3</v>
      </c>
      <c r="S77" s="2"/>
      <c r="T77" s="6">
        <v>3084.84</v>
      </c>
      <c r="U77" s="2"/>
      <c r="V77" s="7">
        <f t="shared" si="38"/>
        <v>1.0953269837266481E-3</v>
      </c>
      <c r="W77" s="2"/>
      <c r="X77" s="6">
        <f t="shared" si="39"/>
        <v>0</v>
      </c>
      <c r="Y77" s="2"/>
      <c r="Z77" s="7">
        <f t="shared" si="40"/>
        <v>0</v>
      </c>
    </row>
    <row r="78" spans="1:26" s="27" customFormat="1" outlineLevel="1" collapsed="1" x14ac:dyDescent="0.25">
      <c r="A78" s="25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SUM(OSRRefD22_4x_0)</f>
        <v>4596.96</v>
      </c>
      <c r="E78" s="1"/>
      <c r="F78" s="5">
        <f t="shared" si="33"/>
        <v>4.8107653243883226E-2</v>
      </c>
      <c r="G78" s="1"/>
      <c r="H78" s="1">
        <f>SUM(OSRRefH22_4x_0)</f>
        <v>6266.97</v>
      </c>
      <c r="I78" s="1"/>
      <c r="J78" s="5">
        <f t="shared" si="34"/>
        <v>1.3733093088881499E-2</v>
      </c>
      <c r="K78" s="1"/>
      <c r="L78" s="1">
        <f t="shared" si="35"/>
        <v>-1670.0100000000002</v>
      </c>
      <c r="M78" s="1"/>
      <c r="N78" s="5">
        <f t="shared" si="36"/>
        <v>-0.26647805877481467</v>
      </c>
      <c r="O78" s="13"/>
      <c r="P78" s="1">
        <f>SUM(OSRRefP22_4x_0)</f>
        <v>74357.2</v>
      </c>
      <c r="Q78" s="1"/>
      <c r="R78" s="5">
        <f t="shared" si="37"/>
        <v>3.0505775511327184E-2</v>
      </c>
      <c r="S78" s="1"/>
      <c r="T78" s="1">
        <f>SUM(OSRRefT22_4x_0)</f>
        <v>92214.34</v>
      </c>
      <c r="U78" s="1"/>
      <c r="V78" s="5">
        <f t="shared" si="38"/>
        <v>3.2742331819006362E-2</v>
      </c>
      <c r="W78" s="1"/>
      <c r="X78" s="1">
        <f t="shared" si="39"/>
        <v>-17857.14</v>
      </c>
      <c r="Y78" s="1"/>
      <c r="Z78" s="5">
        <f t="shared" si="40"/>
        <v>-0.19364818964165442</v>
      </c>
    </row>
    <row r="79" spans="1:26" s="24" customFormat="1" hidden="1" outlineLevel="2" x14ac:dyDescent="0.25">
      <c r="A79" s="26"/>
      <c r="B79" s="11" t="str">
        <f>CONCATENATE("          ", "6382", " - ", "DISCOUNTS/MARK DOWNS")</f>
        <v xml:space="preserve">          6382 - DISCOUNTS/MARK DOWNS</v>
      </c>
      <c r="C79" s="11"/>
      <c r="D79" s="6">
        <v>4596.96</v>
      </c>
      <c r="E79" s="2"/>
      <c r="F79" s="7">
        <f t="shared" si="33"/>
        <v>4.8107653243883226E-2</v>
      </c>
      <c r="G79" s="2"/>
      <c r="H79" s="6">
        <v>6266.97</v>
      </c>
      <c r="I79" s="2"/>
      <c r="J79" s="7">
        <f t="shared" si="34"/>
        <v>1.3733093088881499E-2</v>
      </c>
      <c r="K79" s="2"/>
      <c r="L79" s="6">
        <f t="shared" si="35"/>
        <v>-1670.0100000000002</v>
      </c>
      <c r="M79" s="2"/>
      <c r="N79" s="7">
        <f t="shared" si="36"/>
        <v>-0.26647805877481467</v>
      </c>
      <c r="O79" s="11"/>
      <c r="P79" s="6">
        <v>74357.2</v>
      </c>
      <c r="Q79" s="2"/>
      <c r="R79" s="7">
        <f t="shared" si="37"/>
        <v>3.0505775511327184E-2</v>
      </c>
      <c r="S79" s="2"/>
      <c r="T79" s="6">
        <v>92214.34</v>
      </c>
      <c r="U79" s="2"/>
      <c r="V79" s="7">
        <f t="shared" si="38"/>
        <v>3.2742331819006362E-2</v>
      </c>
      <c r="W79" s="2"/>
      <c r="X79" s="6">
        <f t="shared" si="39"/>
        <v>-17857.14</v>
      </c>
      <c r="Y79" s="2"/>
      <c r="Z79" s="7">
        <f t="shared" si="40"/>
        <v>-0.19364818964165442</v>
      </c>
    </row>
    <row r="80" spans="1:26" s="27" customFormat="1" outlineLevel="1" collapsed="1" x14ac:dyDescent="0.25">
      <c r="A80" s="25"/>
      <c r="B80" s="13" t="str">
        <f>CONCATENATE("     ","Donations                                         ")</f>
        <v xml:space="preserve">     Donations                                         </v>
      </c>
      <c r="C80" s="13"/>
      <c r="D80" s="1">
        <f>SUM(OSRRefD22_5x_0)</f>
        <v>0</v>
      </c>
      <c r="E80" s="1"/>
      <c r="F80" s="5">
        <f t="shared" si="33"/>
        <v>0</v>
      </c>
      <c r="G80" s="1"/>
      <c r="H80" s="1">
        <f>SUM(OSRRefH22_5x_0)</f>
        <v>0</v>
      </c>
      <c r="I80" s="1"/>
      <c r="J80" s="5">
        <f t="shared" si="34"/>
        <v>0</v>
      </c>
      <c r="K80" s="1"/>
      <c r="L80" s="1">
        <f t="shared" si="35"/>
        <v>0</v>
      </c>
      <c r="M80" s="1"/>
      <c r="N80" s="5">
        <f t="shared" si="36"/>
        <v>0</v>
      </c>
      <c r="O80" s="13"/>
      <c r="P80" s="1">
        <f>SUM(OSRRefP22_5x_0)</f>
        <v>0</v>
      </c>
      <c r="Q80" s="1"/>
      <c r="R80" s="5">
        <f t="shared" si="37"/>
        <v>0</v>
      </c>
      <c r="S80" s="1"/>
      <c r="T80" s="1">
        <f>SUM(OSRRefT22_5x_0)</f>
        <v>0</v>
      </c>
      <c r="U80" s="1"/>
      <c r="V80" s="5">
        <f t="shared" si="38"/>
        <v>0</v>
      </c>
      <c r="W80" s="1"/>
      <c r="X80" s="1">
        <f t="shared" si="39"/>
        <v>0</v>
      </c>
      <c r="Y80" s="1"/>
      <c r="Z80" s="5">
        <f t="shared" si="40"/>
        <v>0</v>
      </c>
    </row>
    <row r="81" spans="1:26" s="24" customFormat="1" hidden="1" outlineLevel="2" x14ac:dyDescent="0.25">
      <c r="A81" s="26"/>
      <c r="B81" s="11" t="str">
        <f>CONCATENATE("          ", "6399", " - ", "DONATION-ON CAMPUS")</f>
        <v xml:space="preserve">          6399 - DONATION-ON CAMPUS</v>
      </c>
      <c r="C81" s="11"/>
      <c r="D81" s="6"/>
      <c r="E81" s="2"/>
      <c r="F81" s="7">
        <f t="shared" si="33"/>
        <v>0</v>
      </c>
      <c r="G81" s="2"/>
      <c r="H81" s="6"/>
      <c r="I81" s="2"/>
      <c r="J81" s="7">
        <f t="shared" si="34"/>
        <v>0</v>
      </c>
      <c r="K81" s="2"/>
      <c r="L81" s="6">
        <f t="shared" si="35"/>
        <v>0</v>
      </c>
      <c r="M81" s="2"/>
      <c r="N81" s="7">
        <f t="shared" si="36"/>
        <v>0</v>
      </c>
      <c r="O81" s="11"/>
      <c r="P81" s="6"/>
      <c r="Q81" s="2"/>
      <c r="R81" s="7">
        <f t="shared" si="37"/>
        <v>0</v>
      </c>
      <c r="S81" s="2"/>
      <c r="T81" s="6">
        <v>0</v>
      </c>
      <c r="U81" s="2"/>
      <c r="V81" s="7">
        <f t="shared" si="38"/>
        <v>0</v>
      </c>
      <c r="W81" s="2"/>
      <c r="X81" s="6">
        <f t="shared" si="39"/>
        <v>0</v>
      </c>
      <c r="Y81" s="2"/>
      <c r="Z81" s="7">
        <f t="shared" si="40"/>
        <v>0</v>
      </c>
    </row>
    <row r="82" spans="1:26" s="27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SUM(OSRRefD22_6x_0)</f>
        <v>0</v>
      </c>
      <c r="E82" s="1"/>
      <c r="F82" s="5">
        <f t="shared" si="33"/>
        <v>0</v>
      </c>
      <c r="G82" s="1"/>
      <c r="H82" s="1">
        <f>SUM(OSRRefH22_6x_0)</f>
        <v>0</v>
      </c>
      <c r="I82" s="1"/>
      <c r="J82" s="5">
        <f t="shared" si="34"/>
        <v>0</v>
      </c>
      <c r="K82" s="1"/>
      <c r="L82" s="1">
        <f t="shared" si="35"/>
        <v>0</v>
      </c>
      <c r="M82" s="1"/>
      <c r="N82" s="5">
        <f t="shared" si="36"/>
        <v>0</v>
      </c>
      <c r="O82" s="13"/>
      <c r="P82" s="1">
        <f>SUM(OSRRefP22_6x_0)</f>
        <v>0</v>
      </c>
      <c r="Q82" s="1"/>
      <c r="R82" s="5">
        <f t="shared" si="37"/>
        <v>0</v>
      </c>
      <c r="S82" s="1"/>
      <c r="T82" s="1">
        <f>SUM(OSRRefT22_6x_0)</f>
        <v>266.14999999999998</v>
      </c>
      <c r="U82" s="1"/>
      <c r="V82" s="5">
        <f t="shared" si="38"/>
        <v>9.4501263183454368E-5</v>
      </c>
      <c r="W82" s="1"/>
      <c r="X82" s="1">
        <f t="shared" si="39"/>
        <v>-266.14999999999998</v>
      </c>
      <c r="Y82" s="1"/>
      <c r="Z82" s="5">
        <f t="shared" si="40"/>
        <v>-1</v>
      </c>
    </row>
    <row r="83" spans="1:26" s="24" customFormat="1" hidden="1" outlineLevel="2" x14ac:dyDescent="0.25">
      <c r="A83" s="26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3"/>
        <v>0</v>
      </c>
      <c r="G83" s="2"/>
      <c r="H83" s="6"/>
      <c r="I83" s="2"/>
      <c r="J83" s="7">
        <f t="shared" si="34"/>
        <v>0</v>
      </c>
      <c r="K83" s="2"/>
      <c r="L83" s="6">
        <f t="shared" si="35"/>
        <v>0</v>
      </c>
      <c r="M83" s="2"/>
      <c r="N83" s="7">
        <f t="shared" si="36"/>
        <v>0</v>
      </c>
      <c r="O83" s="11"/>
      <c r="P83" s="6"/>
      <c r="Q83" s="2"/>
      <c r="R83" s="7">
        <f t="shared" si="37"/>
        <v>0</v>
      </c>
      <c r="S83" s="2"/>
      <c r="T83" s="6">
        <v>266.14999999999998</v>
      </c>
      <c r="U83" s="2"/>
      <c r="V83" s="7">
        <f t="shared" si="38"/>
        <v>9.4501263183454368E-5</v>
      </c>
      <c r="W83" s="2"/>
      <c r="X83" s="6">
        <f t="shared" si="39"/>
        <v>-266.14999999999998</v>
      </c>
      <c r="Y83" s="2"/>
      <c r="Z83" s="7">
        <f t="shared" si="40"/>
        <v>-1</v>
      </c>
    </row>
    <row r="84" spans="1:26" s="27" customFormat="1" outlineLevel="1" collapsed="1" x14ac:dyDescent="0.25">
      <c r="A84" s="25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SUM(OSRRefD22_7x_0)</f>
        <v>0</v>
      </c>
      <c r="E84" s="1"/>
      <c r="F84" s="5">
        <f t="shared" si="33"/>
        <v>0</v>
      </c>
      <c r="G84" s="1"/>
      <c r="H84" s="1">
        <f>SUM(OSRRefH22_7x_0)</f>
        <v>0</v>
      </c>
      <c r="I84" s="1"/>
      <c r="J84" s="5">
        <f t="shared" si="34"/>
        <v>0</v>
      </c>
      <c r="K84" s="1"/>
      <c r="L84" s="1">
        <f t="shared" si="35"/>
        <v>0</v>
      </c>
      <c r="M84" s="1"/>
      <c r="N84" s="5">
        <f t="shared" si="36"/>
        <v>0</v>
      </c>
      <c r="O84" s="13"/>
      <c r="P84" s="1">
        <f>SUM(OSRRefP22_7x_0)</f>
        <v>120.59</v>
      </c>
      <c r="Q84" s="1"/>
      <c r="R84" s="5">
        <f t="shared" si="37"/>
        <v>4.9473238219176426E-5</v>
      </c>
      <c r="S84" s="1"/>
      <c r="T84" s="1">
        <f>SUM(OSRRefT22_7x_0)</f>
        <v>272.76</v>
      </c>
      <c r="U84" s="1"/>
      <c r="V84" s="5">
        <f t="shared" si="38"/>
        <v>9.6848260552015827E-5</v>
      </c>
      <c r="W84" s="1"/>
      <c r="X84" s="1">
        <f t="shared" si="39"/>
        <v>-152.16999999999999</v>
      </c>
      <c r="Y84" s="1"/>
      <c r="Z84" s="5">
        <f t="shared" si="40"/>
        <v>-0.55788971990027858</v>
      </c>
    </row>
    <row r="85" spans="1:26" s="24" customFormat="1" hidden="1" outlineLevel="2" x14ac:dyDescent="0.25">
      <c r="A85" s="26"/>
      <c r="B85" s="11" t="str">
        <f>CONCATENATE("          ", "6305", " - ", "FREIGHT OUT")</f>
        <v xml:space="preserve">          6305 - FREIGHT OUT</v>
      </c>
      <c r="C85" s="11"/>
      <c r="D85" s="6"/>
      <c r="E85" s="2"/>
      <c r="F85" s="7">
        <f t="shared" si="33"/>
        <v>0</v>
      </c>
      <c r="G85" s="2"/>
      <c r="H85" s="6"/>
      <c r="I85" s="2"/>
      <c r="J85" s="7">
        <f t="shared" si="34"/>
        <v>0</v>
      </c>
      <c r="K85" s="2"/>
      <c r="L85" s="6">
        <f t="shared" si="35"/>
        <v>0</v>
      </c>
      <c r="M85" s="2"/>
      <c r="N85" s="7">
        <f t="shared" si="36"/>
        <v>0</v>
      </c>
      <c r="O85" s="11"/>
      <c r="P85" s="6">
        <v>120.59</v>
      </c>
      <c r="Q85" s="2"/>
      <c r="R85" s="7">
        <f t="shared" si="37"/>
        <v>4.9473238219176426E-5</v>
      </c>
      <c r="S85" s="2"/>
      <c r="T85" s="6">
        <v>251.93</v>
      </c>
      <c r="U85" s="2"/>
      <c r="V85" s="7">
        <f t="shared" si="38"/>
        <v>8.9452200765762396E-5</v>
      </c>
      <c r="W85" s="2"/>
      <c r="X85" s="6">
        <f t="shared" si="39"/>
        <v>-131.34</v>
      </c>
      <c r="Y85" s="2"/>
      <c r="Z85" s="7">
        <f t="shared" si="40"/>
        <v>-0.52133529154923985</v>
      </c>
    </row>
    <row r="86" spans="1:26" s="24" customFormat="1" hidden="1" outlineLevel="2" x14ac:dyDescent="0.25">
      <c r="A86" s="26"/>
      <c r="B86" s="11" t="str">
        <f>CONCATENATE("          ", "6307", " - ", "POSTAGE")</f>
        <v xml:space="preserve">          6307 - POSTAGE</v>
      </c>
      <c r="C86" s="11"/>
      <c r="D86" s="6"/>
      <c r="E86" s="2"/>
      <c r="F86" s="7">
        <f t="shared" si="33"/>
        <v>0</v>
      </c>
      <c r="G86" s="2"/>
      <c r="H86" s="6"/>
      <c r="I86" s="2"/>
      <c r="J86" s="7">
        <f t="shared" si="34"/>
        <v>0</v>
      </c>
      <c r="K86" s="2"/>
      <c r="L86" s="6">
        <f t="shared" si="35"/>
        <v>0</v>
      </c>
      <c r="M86" s="2"/>
      <c r="N86" s="7">
        <f t="shared" si="36"/>
        <v>0</v>
      </c>
      <c r="O86" s="11"/>
      <c r="P86" s="6"/>
      <c r="Q86" s="2"/>
      <c r="R86" s="7">
        <f t="shared" si="37"/>
        <v>0</v>
      </c>
      <c r="S86" s="2"/>
      <c r="T86" s="6">
        <v>20.83</v>
      </c>
      <c r="U86" s="2"/>
      <c r="V86" s="7">
        <f t="shared" si="38"/>
        <v>7.3960597862534448E-6</v>
      </c>
      <c r="W86" s="2"/>
      <c r="X86" s="6">
        <f t="shared" si="39"/>
        <v>-20.83</v>
      </c>
      <c r="Y86" s="2"/>
      <c r="Z86" s="7">
        <f t="shared" si="40"/>
        <v>-1</v>
      </c>
    </row>
    <row r="87" spans="1:26" s="27" customFormat="1" outlineLevel="1" collapsed="1" x14ac:dyDescent="0.25">
      <c r="A87" s="25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SUM(OSRRefD22_8x_0)</f>
        <v>-80</v>
      </c>
      <c r="E87" s="1"/>
      <c r="F87" s="5">
        <f t="shared" ref="F87:F97" si="41">IF(D$12=0,0,D87/D$12)</f>
        <v>-8.3720812439322032E-4</v>
      </c>
      <c r="G87" s="1"/>
      <c r="H87" s="1">
        <f>SUM(OSRRefH22_8x_0)</f>
        <v>0</v>
      </c>
      <c r="I87" s="1"/>
      <c r="J87" s="5">
        <f t="shared" ref="J87:J97" si="42">IF(H$12=0,0,H87/H$12)</f>
        <v>0</v>
      </c>
      <c r="K87" s="1"/>
      <c r="L87" s="1">
        <f t="shared" ref="L87:L97" si="43">+D87-H87</f>
        <v>-80</v>
      </c>
      <c r="M87" s="1"/>
      <c r="N87" s="5">
        <f t="shared" ref="N87:N97" si="44">IF(H87=0,0,L87/H87)</f>
        <v>0</v>
      </c>
      <c r="O87" s="13"/>
      <c r="P87" s="1">
        <f>SUM(OSRRefP22_8x_0)</f>
        <v>205</v>
      </c>
      <c r="Q87" s="1"/>
      <c r="R87" s="5">
        <f t="shared" ref="R87:R97" si="45">IF(P$12=0,0,P87/P$12)</f>
        <v>8.4103274192977586E-5</v>
      </c>
      <c r="S87" s="1"/>
      <c r="T87" s="1">
        <f>SUM(OSRRefT22_8x_0)</f>
        <v>597.39</v>
      </c>
      <c r="U87" s="1"/>
      <c r="V87" s="5">
        <f t="shared" ref="V87:V97" si="46">IF(T$12=0,0,T87/T$12)</f>
        <v>2.1211388169514861E-4</v>
      </c>
      <c r="W87" s="1"/>
      <c r="X87" s="1">
        <f t="shared" ref="X87:X97" si="47">+P87-T87</f>
        <v>-392.39</v>
      </c>
      <c r="Y87" s="1"/>
      <c r="Z87" s="5">
        <f t="shared" ref="Z87:Z97" si="48">IF(T87=0,0,X87/T87)</f>
        <v>-0.65684058989939564</v>
      </c>
    </row>
    <row r="88" spans="1:26" s="24" customFormat="1" hidden="1" outlineLevel="2" x14ac:dyDescent="0.25">
      <c r="A88" s="26"/>
      <c r="B88" s="11" t="str">
        <f>CONCATENATE("          ", "6279", " - ", "GENERAL EXPENSE")</f>
        <v xml:space="preserve">          6279 - GENERAL EXPENSE</v>
      </c>
      <c r="C88" s="11"/>
      <c r="D88" s="6">
        <v>-80</v>
      </c>
      <c r="E88" s="2"/>
      <c r="F88" s="7">
        <f t="shared" si="41"/>
        <v>-8.3720812439322032E-4</v>
      </c>
      <c r="G88" s="2"/>
      <c r="H88" s="6"/>
      <c r="I88" s="2"/>
      <c r="J88" s="7">
        <f t="shared" si="42"/>
        <v>0</v>
      </c>
      <c r="K88" s="2"/>
      <c r="L88" s="6">
        <f t="shared" si="43"/>
        <v>-80</v>
      </c>
      <c r="M88" s="2"/>
      <c r="N88" s="7">
        <f t="shared" si="44"/>
        <v>0</v>
      </c>
      <c r="O88" s="11"/>
      <c r="P88" s="6">
        <v>205</v>
      </c>
      <c r="Q88" s="2"/>
      <c r="R88" s="7">
        <f t="shared" si="45"/>
        <v>8.4103274192977586E-5</v>
      </c>
      <c r="S88" s="2"/>
      <c r="T88" s="6">
        <v>597.39</v>
      </c>
      <c r="U88" s="2"/>
      <c r="V88" s="7">
        <f t="shared" si="46"/>
        <v>2.1211388169514861E-4</v>
      </c>
      <c r="W88" s="2"/>
      <c r="X88" s="6">
        <f t="shared" si="47"/>
        <v>-392.39</v>
      </c>
      <c r="Y88" s="2"/>
      <c r="Z88" s="7">
        <f t="shared" si="48"/>
        <v>-0.65684058989939564</v>
      </c>
    </row>
    <row r="89" spans="1:26" s="27" customFormat="1" outlineLevel="1" collapsed="1" x14ac:dyDescent="0.25">
      <c r="A89" s="25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SUM(OSRRefD22_9x_0)</f>
        <v>0</v>
      </c>
      <c r="E89" s="1"/>
      <c r="F89" s="5">
        <f t="shared" si="41"/>
        <v>0</v>
      </c>
      <c r="G89" s="1"/>
      <c r="H89" s="1">
        <f>SUM(OSRRefH22_9x_0)</f>
        <v>1250</v>
      </c>
      <c r="I89" s="1"/>
      <c r="J89" s="5">
        <f t="shared" si="42"/>
        <v>2.7391811930010633E-3</v>
      </c>
      <c r="K89" s="1"/>
      <c r="L89" s="1">
        <f t="shared" si="43"/>
        <v>-1250</v>
      </c>
      <c r="M89" s="1"/>
      <c r="N89" s="5">
        <f t="shared" si="44"/>
        <v>-1</v>
      </c>
      <c r="O89" s="13"/>
      <c r="P89" s="1">
        <f>SUM(OSRRefP22_9x_0)</f>
        <v>0</v>
      </c>
      <c r="Q89" s="1"/>
      <c r="R89" s="5">
        <f t="shared" si="45"/>
        <v>0</v>
      </c>
      <c r="S89" s="1"/>
      <c r="T89" s="1">
        <f>SUM(OSRRefT22_9x_0)</f>
        <v>14150</v>
      </c>
      <c r="U89" s="1"/>
      <c r="V89" s="5">
        <f t="shared" si="46"/>
        <v>5.0242076800521484E-3</v>
      </c>
      <c r="W89" s="1"/>
      <c r="X89" s="1">
        <f t="shared" si="47"/>
        <v>-14150</v>
      </c>
      <c r="Y89" s="1"/>
      <c r="Z89" s="5">
        <f t="shared" si="48"/>
        <v>-1</v>
      </c>
    </row>
    <row r="90" spans="1:26" s="24" customFormat="1" hidden="1" outlineLevel="2" x14ac:dyDescent="0.25">
      <c r="A90" s="26"/>
      <c r="B90" s="11" t="str">
        <f>CONCATENATE("          ", "6408", " - ", "INVENTORY ADJUSTMENT")</f>
        <v xml:space="preserve">          6408 - INVENTORY ADJUSTMENT</v>
      </c>
      <c r="C90" s="11"/>
      <c r="D90" s="6"/>
      <c r="E90" s="2"/>
      <c r="F90" s="7">
        <f t="shared" si="41"/>
        <v>0</v>
      </c>
      <c r="G90" s="2"/>
      <c r="H90" s="6">
        <v>1250</v>
      </c>
      <c r="I90" s="2"/>
      <c r="J90" s="7">
        <f t="shared" si="42"/>
        <v>2.7391811930010633E-3</v>
      </c>
      <c r="K90" s="2"/>
      <c r="L90" s="6">
        <f t="shared" si="43"/>
        <v>-1250</v>
      </c>
      <c r="M90" s="2"/>
      <c r="N90" s="7">
        <f t="shared" si="44"/>
        <v>-1</v>
      </c>
      <c r="O90" s="11"/>
      <c r="P90" s="6"/>
      <c r="Q90" s="2"/>
      <c r="R90" s="7">
        <f t="shared" si="45"/>
        <v>0</v>
      </c>
      <c r="S90" s="2"/>
      <c r="T90" s="6">
        <v>14150</v>
      </c>
      <c r="U90" s="2"/>
      <c r="V90" s="7">
        <f t="shared" si="46"/>
        <v>5.0242076800521484E-3</v>
      </c>
      <c r="W90" s="2"/>
      <c r="X90" s="6">
        <f t="shared" si="47"/>
        <v>-14150</v>
      </c>
      <c r="Y90" s="2"/>
      <c r="Z90" s="7">
        <f t="shared" si="48"/>
        <v>-1</v>
      </c>
    </row>
    <row r="91" spans="1:26" s="27" customFormat="1" outlineLevel="1" collapsed="1" x14ac:dyDescent="0.25">
      <c r="A91" s="25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SUM(OSRRefD22_10x_0)</f>
        <v>0</v>
      </c>
      <c r="E91" s="1"/>
      <c r="F91" s="5">
        <f t="shared" si="41"/>
        <v>0</v>
      </c>
      <c r="G91" s="1"/>
      <c r="H91" s="1">
        <f>SUM(OSRRefH22_10x_0)</f>
        <v>0</v>
      </c>
      <c r="I91" s="1"/>
      <c r="J91" s="5">
        <f t="shared" si="42"/>
        <v>0</v>
      </c>
      <c r="K91" s="1"/>
      <c r="L91" s="1">
        <f t="shared" si="43"/>
        <v>0</v>
      </c>
      <c r="M91" s="1"/>
      <c r="N91" s="5">
        <f t="shared" si="44"/>
        <v>0</v>
      </c>
      <c r="O91" s="13"/>
      <c r="P91" s="1">
        <f>SUM(OSRRefP22_10x_0)</f>
        <v>197.18</v>
      </c>
      <c r="Q91" s="1"/>
      <c r="R91" s="5">
        <f t="shared" si="45"/>
        <v>8.0895041977421068E-5</v>
      </c>
      <c r="S91" s="1"/>
      <c r="T91" s="1">
        <f>SUM(OSRRefT22_10x_0)</f>
        <v>0</v>
      </c>
      <c r="U91" s="1"/>
      <c r="V91" s="5">
        <f t="shared" si="46"/>
        <v>0</v>
      </c>
      <c r="W91" s="1"/>
      <c r="X91" s="1">
        <f t="shared" si="47"/>
        <v>197.18</v>
      </c>
      <c r="Y91" s="1"/>
      <c r="Z91" s="5">
        <f t="shared" si="48"/>
        <v>0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41"/>
        <v>0</v>
      </c>
      <c r="G92" s="2"/>
      <c r="H92" s="6"/>
      <c r="I92" s="2"/>
      <c r="J92" s="7">
        <f t="shared" si="42"/>
        <v>0</v>
      </c>
      <c r="K92" s="2"/>
      <c r="L92" s="6">
        <f t="shared" si="43"/>
        <v>0</v>
      </c>
      <c r="M92" s="2"/>
      <c r="N92" s="7">
        <f t="shared" si="44"/>
        <v>0</v>
      </c>
      <c r="O92" s="11"/>
      <c r="P92" s="6">
        <v>197.18</v>
      </c>
      <c r="Q92" s="2"/>
      <c r="R92" s="7">
        <f t="shared" si="45"/>
        <v>8.0895041977421068E-5</v>
      </c>
      <c r="S92" s="2"/>
      <c r="T92" s="6"/>
      <c r="U92" s="2"/>
      <c r="V92" s="7">
        <f t="shared" si="46"/>
        <v>0</v>
      </c>
      <c r="W92" s="2"/>
      <c r="X92" s="6">
        <f t="shared" si="47"/>
        <v>197.18</v>
      </c>
      <c r="Y92" s="2"/>
      <c r="Z92" s="7">
        <f t="shared" si="48"/>
        <v>0</v>
      </c>
    </row>
    <row r="93" spans="1:26" s="27" customFormat="1" outlineLevel="1" collapsed="1" x14ac:dyDescent="0.25">
      <c r="A93" s="25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SUM(OSRRefD22_11x_0)</f>
        <v>0</v>
      </c>
      <c r="E93" s="1"/>
      <c r="F93" s="5">
        <f t="shared" si="41"/>
        <v>0</v>
      </c>
      <c r="G93" s="1"/>
      <c r="H93" s="1">
        <f>SUM(OSRRefH22_11x_0)</f>
        <v>0</v>
      </c>
      <c r="I93" s="1"/>
      <c r="J93" s="5">
        <f t="shared" si="42"/>
        <v>0</v>
      </c>
      <c r="K93" s="1"/>
      <c r="L93" s="1">
        <f t="shared" si="43"/>
        <v>0</v>
      </c>
      <c r="M93" s="1"/>
      <c r="N93" s="5">
        <f t="shared" si="44"/>
        <v>0</v>
      </c>
      <c r="O93" s="13"/>
      <c r="P93" s="1">
        <f>SUM(OSRRefP22_11x_0)</f>
        <v>-4886.5</v>
      </c>
      <c r="Q93" s="1"/>
      <c r="R93" s="5">
        <f t="shared" si="45"/>
        <v>-2.0047348748487071E-3</v>
      </c>
      <c r="S93" s="1"/>
      <c r="T93" s="1">
        <f>SUM(OSRRefT22_11x_0)</f>
        <v>-3152.96</v>
      </c>
      <c r="U93" s="1"/>
      <c r="V93" s="5">
        <f t="shared" si="46"/>
        <v>-1.1195141941270123E-3</v>
      </c>
      <c r="W93" s="1"/>
      <c r="X93" s="1">
        <f t="shared" si="47"/>
        <v>-1733.54</v>
      </c>
      <c r="Y93" s="1"/>
      <c r="Z93" s="5">
        <f t="shared" si="48"/>
        <v>0.54981350857606814</v>
      </c>
    </row>
    <row r="94" spans="1:26" s="24" customFormat="1" hidden="1" outlineLevel="2" x14ac:dyDescent="0.25">
      <c r="A94" s="26"/>
      <c r="B94" s="11" t="str">
        <f>CONCATENATE("          ", "6258", " - ", "MEMBERSHIP DUES")</f>
        <v xml:space="preserve">          6258 - MEMBERSHIP DUES</v>
      </c>
      <c r="C94" s="11"/>
      <c r="D94" s="6"/>
      <c r="E94" s="2"/>
      <c r="F94" s="7">
        <f t="shared" si="41"/>
        <v>0</v>
      </c>
      <c r="G94" s="2"/>
      <c r="H94" s="6"/>
      <c r="I94" s="2"/>
      <c r="J94" s="7">
        <f t="shared" si="42"/>
        <v>0</v>
      </c>
      <c r="K94" s="2"/>
      <c r="L94" s="6">
        <f t="shared" si="43"/>
        <v>0</v>
      </c>
      <c r="M94" s="2"/>
      <c r="N94" s="7">
        <f t="shared" si="44"/>
        <v>0</v>
      </c>
      <c r="O94" s="11"/>
      <c r="P94" s="6">
        <v>-4886.5</v>
      </c>
      <c r="Q94" s="2"/>
      <c r="R94" s="7">
        <f t="shared" si="45"/>
        <v>-2.0047348748487071E-3</v>
      </c>
      <c r="S94" s="2"/>
      <c r="T94" s="6">
        <v>-3152.96</v>
      </c>
      <c r="U94" s="2"/>
      <c r="V94" s="7">
        <f t="shared" si="46"/>
        <v>-1.1195141941270123E-3</v>
      </c>
      <c r="W94" s="2"/>
      <c r="X94" s="6">
        <f t="shared" si="47"/>
        <v>-1733.54</v>
      </c>
      <c r="Y94" s="2"/>
      <c r="Z94" s="7">
        <f t="shared" si="48"/>
        <v>0.54981350857606814</v>
      </c>
    </row>
    <row r="95" spans="1:26" s="27" customFormat="1" outlineLevel="1" collapsed="1" x14ac:dyDescent="0.25">
      <c r="A95" s="25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SUM(OSRRefD22_12x_0)</f>
        <v>59.25</v>
      </c>
      <c r="E95" s="1"/>
      <c r="F95" s="5">
        <f t="shared" si="41"/>
        <v>6.2005726712872878E-4</v>
      </c>
      <c r="G95" s="1"/>
      <c r="H95" s="1">
        <f>SUM(OSRRefH22_12x_0)</f>
        <v>42.98</v>
      </c>
      <c r="I95" s="1"/>
      <c r="J95" s="5">
        <f t="shared" si="42"/>
        <v>9.4184006140148562E-5</v>
      </c>
      <c r="K95" s="1"/>
      <c r="L95" s="1">
        <f t="shared" si="43"/>
        <v>16.270000000000003</v>
      </c>
      <c r="M95" s="1"/>
      <c r="N95" s="5">
        <f t="shared" si="44"/>
        <v>0.37854816193578417</v>
      </c>
      <c r="O95" s="13"/>
      <c r="P95" s="1">
        <f>SUM(OSRRefP22_12x_0)</f>
        <v>3194.5200000000004</v>
      </c>
      <c r="Q95" s="1"/>
      <c r="R95" s="5">
        <f t="shared" si="45"/>
        <v>1.3105833730485403E-3</v>
      </c>
      <c r="S95" s="1"/>
      <c r="T95" s="1">
        <f>SUM(OSRRefT22_12x_0)</f>
        <v>2214.7200000000003</v>
      </c>
      <c r="U95" s="1"/>
      <c r="V95" s="5">
        <f t="shared" si="46"/>
        <v>7.8637549350990077E-4</v>
      </c>
      <c r="W95" s="1"/>
      <c r="X95" s="1">
        <f t="shared" si="47"/>
        <v>979.80000000000018</v>
      </c>
      <c r="Y95" s="1"/>
      <c r="Z95" s="5">
        <f t="shared" si="48"/>
        <v>0.44240355439965329</v>
      </c>
    </row>
    <row r="96" spans="1:26" s="24" customFormat="1" hidden="1" outlineLevel="2" x14ac:dyDescent="0.25">
      <c r="A96" s="26"/>
      <c r="B96" s="11" t="str">
        <f>CONCATENATE("          ", "6241", " - ", "OFFICE EXPENSE")</f>
        <v xml:space="preserve">          6241 - OFFICE EXPENSE</v>
      </c>
      <c r="C96" s="11"/>
      <c r="D96" s="6">
        <v>59.25</v>
      </c>
      <c r="E96" s="2"/>
      <c r="F96" s="7">
        <f t="shared" si="41"/>
        <v>6.2005726712872878E-4</v>
      </c>
      <c r="G96" s="2"/>
      <c r="H96" s="6">
        <v>42.98</v>
      </c>
      <c r="I96" s="2"/>
      <c r="J96" s="7">
        <f t="shared" si="42"/>
        <v>9.4184006140148562E-5</v>
      </c>
      <c r="K96" s="2"/>
      <c r="L96" s="6">
        <f t="shared" si="43"/>
        <v>16.270000000000003</v>
      </c>
      <c r="M96" s="2"/>
      <c r="N96" s="7">
        <f t="shared" si="44"/>
        <v>0.37854816193578417</v>
      </c>
      <c r="O96" s="11"/>
      <c r="P96" s="6">
        <v>1185.1400000000001</v>
      </c>
      <c r="Q96" s="2"/>
      <c r="R96" s="7">
        <f t="shared" si="45"/>
        <v>4.862153872051974E-4</v>
      </c>
      <c r="S96" s="2"/>
      <c r="T96" s="6">
        <v>1545.44</v>
      </c>
      <c r="U96" s="2"/>
      <c r="V96" s="7">
        <f t="shared" si="46"/>
        <v>5.4873579625864264E-4</v>
      </c>
      <c r="W96" s="2"/>
      <c r="X96" s="6">
        <f t="shared" si="47"/>
        <v>-360.29999999999995</v>
      </c>
      <c r="Y96" s="2"/>
      <c r="Z96" s="7">
        <f t="shared" si="48"/>
        <v>-0.23313748835283152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41"/>
        <v>0</v>
      </c>
      <c r="G97" s="2"/>
      <c r="H97" s="6"/>
      <c r="I97" s="2"/>
      <c r="J97" s="7">
        <f t="shared" si="42"/>
        <v>0</v>
      </c>
      <c r="K97" s="2"/>
      <c r="L97" s="6">
        <f t="shared" si="43"/>
        <v>0</v>
      </c>
      <c r="M97" s="2"/>
      <c r="N97" s="7">
        <f t="shared" si="44"/>
        <v>0</v>
      </c>
      <c r="O97" s="11"/>
      <c r="P97" s="6">
        <v>2009.38</v>
      </c>
      <c r="Q97" s="2"/>
      <c r="R97" s="7">
        <f t="shared" si="45"/>
        <v>8.2436798584334294E-4</v>
      </c>
      <c r="S97" s="2"/>
      <c r="T97" s="6">
        <v>669.28</v>
      </c>
      <c r="U97" s="2"/>
      <c r="V97" s="7">
        <f t="shared" si="46"/>
        <v>2.3763969725125808E-4</v>
      </c>
      <c r="W97" s="2"/>
      <c r="X97" s="6">
        <f t="shared" si="47"/>
        <v>1340.1000000000001</v>
      </c>
      <c r="Y97" s="2"/>
      <c r="Z97" s="7">
        <f t="shared" si="48"/>
        <v>2.0023009801577816</v>
      </c>
    </row>
    <row r="98" spans="1:26" s="27" customFormat="1" outlineLevel="1" collapsed="1" x14ac:dyDescent="0.25">
      <c r="A98" s="25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SUM(OSRRefD22_13x_0)</f>
        <v>212.75</v>
      </c>
      <c r="E98" s="1"/>
      <c r="F98" s="5">
        <f t="shared" ref="F98:F104" si="49">IF(D$12=0,0,D98/D$12)</f>
        <v>2.2264503558082202E-3</v>
      </c>
      <c r="G98" s="1"/>
      <c r="H98" s="1">
        <f>SUM(OSRRefH22_13x_0)</f>
        <v>223.35</v>
      </c>
      <c r="I98" s="1"/>
      <c r="J98" s="5">
        <f t="shared" ref="J98:J104" si="50">IF(H$12=0,0,H98/H$12)</f>
        <v>4.8943689556542997E-4</v>
      </c>
      <c r="K98" s="1"/>
      <c r="L98" s="1">
        <f t="shared" ref="L98:L104" si="51">+D98-H98</f>
        <v>-10.599999999999994</v>
      </c>
      <c r="M98" s="1"/>
      <c r="N98" s="5">
        <f t="shared" ref="N98:N104" si="52">IF(H98=0,0,L98/H98)</f>
        <v>-4.7459144839937295E-2</v>
      </c>
      <c r="O98" s="13"/>
      <c r="P98" s="1">
        <f>SUM(OSRRefP22_13x_0)</f>
        <v>2725.2</v>
      </c>
      <c r="Q98" s="1"/>
      <c r="R98" s="5">
        <f t="shared" ref="R98:R104" si="53">IF(P$12=0,0,P98/P$12)</f>
        <v>1.1180402089302562E-3</v>
      </c>
      <c r="S98" s="1"/>
      <c r="T98" s="1">
        <f>SUM(OSRRefT22_13x_0)</f>
        <v>3186.92</v>
      </c>
      <c r="U98" s="1"/>
      <c r="V98" s="5">
        <f t="shared" ref="V98:V104" si="54">IF(T$12=0,0,T98/T$12)</f>
        <v>1.1315722925591375E-3</v>
      </c>
      <c r="W98" s="1"/>
      <c r="X98" s="1">
        <f t="shared" ref="X98:X104" si="55">+P98-T98</f>
        <v>-461.72000000000025</v>
      </c>
      <c r="Y98" s="1"/>
      <c r="Z98" s="5">
        <f t="shared" ref="Z98:Z104" si="56">IF(T98=0,0,X98/T98)</f>
        <v>-0.14487969575640439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6">
        <v>212.75</v>
      </c>
      <c r="E99" s="2"/>
      <c r="F99" s="7">
        <f t="shared" si="49"/>
        <v>2.2264503558082202E-3</v>
      </c>
      <c r="G99" s="2"/>
      <c r="H99" s="6">
        <v>223.35</v>
      </c>
      <c r="I99" s="2"/>
      <c r="J99" s="7">
        <f t="shared" si="50"/>
        <v>4.8943689556542997E-4</v>
      </c>
      <c r="K99" s="2"/>
      <c r="L99" s="6">
        <f t="shared" si="51"/>
        <v>-10.599999999999994</v>
      </c>
      <c r="M99" s="2"/>
      <c r="N99" s="7">
        <f t="shared" si="52"/>
        <v>-4.7459144839937295E-2</v>
      </c>
      <c r="O99" s="11"/>
      <c r="P99" s="6">
        <v>2725.2</v>
      </c>
      <c r="Q99" s="2"/>
      <c r="R99" s="7">
        <f t="shared" si="53"/>
        <v>1.1180402089302562E-3</v>
      </c>
      <c r="S99" s="2"/>
      <c r="T99" s="6">
        <v>3186.92</v>
      </c>
      <c r="U99" s="2"/>
      <c r="V99" s="7">
        <f t="shared" si="54"/>
        <v>1.1315722925591375E-3</v>
      </c>
      <c r="W99" s="2"/>
      <c r="X99" s="6">
        <f t="shared" si="55"/>
        <v>-461.72000000000025</v>
      </c>
      <c r="Y99" s="2"/>
      <c r="Z99" s="7">
        <f t="shared" si="56"/>
        <v>-0.14487969575640439</v>
      </c>
    </row>
    <row r="100" spans="1:26" s="27" customFormat="1" outlineLevel="1" collapsed="1" x14ac:dyDescent="0.25">
      <c r="A100" s="25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SUM(OSRRefD22_14x_0)</f>
        <v>0</v>
      </c>
      <c r="E100" s="1"/>
      <c r="F100" s="5">
        <f t="shared" si="49"/>
        <v>0</v>
      </c>
      <c r="G100" s="1"/>
      <c r="H100" s="1">
        <f>SUM(OSRRefH22_14x_0)</f>
        <v>-697.97</v>
      </c>
      <c r="I100" s="1"/>
      <c r="J100" s="5">
        <f t="shared" si="50"/>
        <v>-1.5294930378231617E-3</v>
      </c>
      <c r="K100" s="1"/>
      <c r="L100" s="1">
        <f t="shared" si="51"/>
        <v>697.97</v>
      </c>
      <c r="M100" s="1"/>
      <c r="N100" s="5">
        <f t="shared" si="52"/>
        <v>-1</v>
      </c>
      <c r="O100" s="13"/>
      <c r="P100" s="1">
        <f>SUM(OSRRefP22_14x_0)</f>
        <v>1875.75</v>
      </c>
      <c r="Q100" s="1"/>
      <c r="R100" s="5">
        <f t="shared" si="53"/>
        <v>7.6954495886574488E-4</v>
      </c>
      <c r="S100" s="1"/>
      <c r="T100" s="1">
        <f>SUM(OSRRefT22_14x_0)</f>
        <v>568.94000000000005</v>
      </c>
      <c r="U100" s="1"/>
      <c r="V100" s="5">
        <f t="shared" si="54"/>
        <v>2.02012206182959E-4</v>
      </c>
      <c r="W100" s="1"/>
      <c r="X100" s="1">
        <f t="shared" si="55"/>
        <v>1306.81</v>
      </c>
      <c r="Y100" s="1"/>
      <c r="Z100" s="5">
        <f t="shared" si="56"/>
        <v>2.2969205891658167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49"/>
        <v>0</v>
      </c>
      <c r="G101" s="2"/>
      <c r="H101" s="6">
        <v>-697.97</v>
      </c>
      <c r="I101" s="2"/>
      <c r="J101" s="7">
        <f t="shared" si="50"/>
        <v>-1.5294930378231617E-3</v>
      </c>
      <c r="K101" s="2"/>
      <c r="L101" s="6">
        <f t="shared" si="51"/>
        <v>697.97</v>
      </c>
      <c r="M101" s="2"/>
      <c r="N101" s="7">
        <f t="shared" si="52"/>
        <v>-1</v>
      </c>
      <c r="O101" s="11"/>
      <c r="P101" s="6">
        <v>1875.75</v>
      </c>
      <c r="Q101" s="2"/>
      <c r="R101" s="7">
        <f t="shared" si="53"/>
        <v>7.6954495886574488E-4</v>
      </c>
      <c r="S101" s="2"/>
      <c r="T101" s="6">
        <v>568.94000000000005</v>
      </c>
      <c r="U101" s="2"/>
      <c r="V101" s="7">
        <f t="shared" si="54"/>
        <v>2.02012206182959E-4</v>
      </c>
      <c r="W101" s="2"/>
      <c r="X101" s="6">
        <f t="shared" si="55"/>
        <v>1306.81</v>
      </c>
      <c r="Y101" s="2"/>
      <c r="Z101" s="7">
        <f t="shared" si="56"/>
        <v>2.2969205891658167</v>
      </c>
    </row>
    <row r="102" spans="1:26" s="27" customFormat="1" outlineLevel="1" collapsed="1" x14ac:dyDescent="0.25">
      <c r="A102" s="25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SUM(OSRRefD22_15x_0)</f>
        <v>0</v>
      </c>
      <c r="E102" s="1"/>
      <c r="F102" s="5">
        <f t="shared" si="49"/>
        <v>0</v>
      </c>
      <c r="G102" s="1"/>
      <c r="H102" s="1">
        <f>SUM(OSRRefH22_15x_0)</f>
        <v>334.81</v>
      </c>
      <c r="I102" s="1"/>
      <c r="J102" s="5">
        <f t="shared" si="50"/>
        <v>7.3368420418294883E-4</v>
      </c>
      <c r="K102" s="1"/>
      <c r="L102" s="1">
        <f t="shared" si="51"/>
        <v>-334.81</v>
      </c>
      <c r="M102" s="1"/>
      <c r="N102" s="5">
        <f t="shared" si="52"/>
        <v>-1</v>
      </c>
      <c r="O102" s="13"/>
      <c r="P102" s="1">
        <f>SUM(OSRRefP22_15x_0)</f>
        <v>-178.06</v>
      </c>
      <c r="Q102" s="1"/>
      <c r="R102" s="5">
        <f t="shared" si="53"/>
        <v>-7.3050873184397997E-5</v>
      </c>
      <c r="S102" s="1"/>
      <c r="T102" s="1">
        <f>SUM(OSRRefT22_15x_0)</f>
        <v>1638.2</v>
      </c>
      <c r="U102" s="1"/>
      <c r="V102" s="5">
        <f t="shared" si="54"/>
        <v>5.8167187430822832E-4</v>
      </c>
      <c r="W102" s="1"/>
      <c r="X102" s="1">
        <f t="shared" si="55"/>
        <v>-1816.26</v>
      </c>
      <c r="Y102" s="1"/>
      <c r="Z102" s="5">
        <f t="shared" si="56"/>
        <v>-1.1086924673422047</v>
      </c>
    </row>
    <row r="103" spans="1:26" s="24" customFormat="1" hidden="1" outlineLevel="2" x14ac:dyDescent="0.25">
      <c r="A103" s="26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49"/>
        <v>0</v>
      </c>
      <c r="G103" s="2"/>
      <c r="H103" s="6">
        <v>334.81</v>
      </c>
      <c r="I103" s="2"/>
      <c r="J103" s="7">
        <f t="shared" si="50"/>
        <v>7.3368420418294883E-4</v>
      </c>
      <c r="K103" s="2"/>
      <c r="L103" s="6">
        <f t="shared" si="51"/>
        <v>-334.81</v>
      </c>
      <c r="M103" s="2"/>
      <c r="N103" s="7">
        <f t="shared" si="52"/>
        <v>-1</v>
      </c>
      <c r="O103" s="11"/>
      <c r="P103" s="6">
        <v>-178.06</v>
      </c>
      <c r="Q103" s="2"/>
      <c r="R103" s="7">
        <f t="shared" si="53"/>
        <v>-7.3050873184397997E-5</v>
      </c>
      <c r="S103" s="2"/>
      <c r="T103" s="6">
        <v>1333.64</v>
      </c>
      <c r="U103" s="2"/>
      <c r="V103" s="7">
        <f t="shared" si="54"/>
        <v>4.7353246151411645E-4</v>
      </c>
      <c r="W103" s="2"/>
      <c r="X103" s="6">
        <f t="shared" si="55"/>
        <v>-1511.7</v>
      </c>
      <c r="Y103" s="2"/>
      <c r="Z103" s="7">
        <f t="shared" si="56"/>
        <v>-1.133514291712906</v>
      </c>
    </row>
    <row r="104" spans="1:26" s="24" customFormat="1" hidden="1" outlineLevel="2" x14ac:dyDescent="0.25">
      <c r="A104" s="26"/>
      <c r="B104" s="11" t="str">
        <f>CONCATENATE("          ", "6294", " - ", "TRAVEL OPERATIONAL")</f>
        <v xml:space="preserve">          6294 - TRAVEL OPERATIONAL</v>
      </c>
      <c r="C104" s="11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/>
      <c r="Q104" s="2"/>
      <c r="R104" s="7">
        <f t="shared" si="53"/>
        <v>0</v>
      </c>
      <c r="S104" s="2"/>
      <c r="T104" s="6">
        <v>304.56</v>
      </c>
      <c r="U104" s="2"/>
      <c r="V104" s="7">
        <f t="shared" si="54"/>
        <v>1.0813941279411183E-4</v>
      </c>
      <c r="W104" s="2"/>
      <c r="X104" s="6">
        <f t="shared" si="55"/>
        <v>-304.56</v>
      </c>
      <c r="Y104" s="2"/>
      <c r="Z104" s="7">
        <f t="shared" si="56"/>
        <v>-1</v>
      </c>
    </row>
    <row r="105" spans="1:26" s="58" customFormat="1" x14ac:dyDescent="0.25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-294.75</v>
      </c>
      <c r="E106" s="4"/>
      <c r="F106" s="12">
        <f t="shared" ref="F106:F110" si="57">IF(D$12=0,0,D106/D$12)</f>
        <v>-3.0845886833112709E-3</v>
      </c>
      <c r="G106" s="4"/>
      <c r="H106" s="4">
        <f>SUM(OSRRefH25x_0)</f>
        <v>-276.20999999999998</v>
      </c>
      <c r="I106" s="4"/>
      <c r="J106" s="12">
        <f t="shared" ref="J106:J110" si="58">IF(H$12=0,0,H106/H$12)</f>
        <v>-6.0527138985505893E-4</v>
      </c>
      <c r="K106" s="4"/>
      <c r="L106" s="4">
        <f t="shared" ref="L106:L110" si="59">+D106-H106</f>
        <v>-18.54000000000002</v>
      </c>
      <c r="M106" s="4"/>
      <c r="N106" s="12">
        <f t="shared" ref="N106:N110" si="60">IF(H106=0,0,L106/H106)</f>
        <v>6.7122841316389778E-2</v>
      </c>
      <c r="O106" s="10"/>
      <c r="P106" s="4">
        <f>SUM(OSRRefP25x_0)</f>
        <v>13362.580000000002</v>
      </c>
      <c r="Q106" s="4"/>
      <c r="R106" s="12">
        <f t="shared" ref="R106:R110" si="61">IF(P$12=0,0,P106/P$12)</f>
        <v>5.4821303886126759E-3</v>
      </c>
      <c r="S106" s="4"/>
      <c r="T106" s="4">
        <f>SUM(OSRRefT25x_0)</f>
        <v>8610.5</v>
      </c>
      <c r="U106" s="4"/>
      <c r="V106" s="12">
        <f t="shared" ref="V106:V110" si="62">IF(T$12=0,0,T106/T$12)</f>
        <v>3.0573102635398607E-3</v>
      </c>
      <c r="W106" s="4"/>
      <c r="X106" s="4">
        <f t="shared" ref="X106:X110" si="63">+P106-T106</f>
        <v>4752.0800000000017</v>
      </c>
      <c r="Y106" s="4"/>
      <c r="Z106" s="12">
        <f t="shared" ref="Z106:Z110" si="64">IF(T106=0,0,X106/T106)</f>
        <v>0.55189361825677974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--99.99</f>
        <v>99.99</v>
      </c>
      <c r="E107" s="2"/>
      <c r="F107" s="19">
        <f t="shared" si="57"/>
        <v>1.0464055044759762E-3</v>
      </c>
      <c r="G107" s="2"/>
      <c r="H107" s="2">
        <f>--423.21</f>
        <v>423.21</v>
      </c>
      <c r="I107" s="2"/>
      <c r="J107" s="19">
        <f t="shared" si="58"/>
        <v>9.2739909815198402E-4</v>
      </c>
      <c r="K107" s="2"/>
      <c r="L107" s="2">
        <f t="shared" si="59"/>
        <v>-323.21999999999997</v>
      </c>
      <c r="M107" s="2"/>
      <c r="N107" s="19">
        <f t="shared" si="60"/>
        <v>-0.76373431629687383</v>
      </c>
      <c r="O107" s="11"/>
      <c r="P107" s="2">
        <f>--16283.19</f>
        <v>16283.19</v>
      </c>
      <c r="Q107" s="2"/>
      <c r="R107" s="19">
        <f t="shared" si="61"/>
        <v>6.6803394795431738E-3</v>
      </c>
      <c r="S107" s="2"/>
      <c r="T107" s="2">
        <f>--7255.58</f>
        <v>7255.58</v>
      </c>
      <c r="U107" s="2"/>
      <c r="V107" s="19">
        <f t="shared" si="62"/>
        <v>2.5762219617832343E-3</v>
      </c>
      <c r="W107" s="2"/>
      <c r="X107" s="2">
        <f t="shared" si="63"/>
        <v>9027.61</v>
      </c>
      <c r="Y107" s="2"/>
      <c r="Z107" s="19">
        <f t="shared" si="64"/>
        <v>1.2442299581839082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>0</f>
        <v>0</v>
      </c>
      <c r="E108" s="2"/>
      <c r="F108" s="19">
        <f t="shared" si="57"/>
        <v>0</v>
      </c>
      <c r="G108" s="2"/>
      <c r="H108" s="2">
        <f t="shared" ref="H108:H109" si="65">0</f>
        <v>0</v>
      </c>
      <c r="I108" s="2"/>
      <c r="J108" s="19">
        <f t="shared" si="58"/>
        <v>0</v>
      </c>
      <c r="K108" s="2"/>
      <c r="L108" s="2">
        <f t="shared" si="59"/>
        <v>0</v>
      </c>
      <c r="M108" s="2"/>
      <c r="N108" s="19">
        <f t="shared" si="60"/>
        <v>0</v>
      </c>
      <c r="O108" s="11"/>
      <c r="P108" s="2">
        <f>-7889</f>
        <v>-7889</v>
      </c>
      <c r="Q108" s="2"/>
      <c r="R108" s="19">
        <f t="shared" si="61"/>
        <v>-3.2365401468702447E-3</v>
      </c>
      <c r="S108" s="2"/>
      <c r="T108" s="2">
        <f>0</f>
        <v>0</v>
      </c>
      <c r="U108" s="2"/>
      <c r="V108" s="19">
        <f t="shared" si="62"/>
        <v>0</v>
      </c>
      <c r="W108" s="2"/>
      <c r="X108" s="2">
        <f t="shared" si="63"/>
        <v>-7889</v>
      </c>
      <c r="Y108" s="2"/>
      <c r="Z108" s="19">
        <f t="shared" si="64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>--32.7</f>
        <v>32.700000000000003</v>
      </c>
      <c r="E109" s="2"/>
      <c r="F109" s="19">
        <f t="shared" si="57"/>
        <v>3.4220882084572883E-4</v>
      </c>
      <c r="G109" s="2"/>
      <c r="H109" s="2">
        <f t="shared" si="65"/>
        <v>0</v>
      </c>
      <c r="I109" s="2"/>
      <c r="J109" s="19">
        <f t="shared" si="58"/>
        <v>0</v>
      </c>
      <c r="K109" s="2"/>
      <c r="L109" s="2">
        <f t="shared" si="59"/>
        <v>32.700000000000003</v>
      </c>
      <c r="M109" s="2"/>
      <c r="N109" s="19">
        <f t="shared" si="60"/>
        <v>0</v>
      </c>
      <c r="O109" s="11"/>
      <c r="P109" s="2">
        <f>-72.06</f>
        <v>-72.06</v>
      </c>
      <c r="Q109" s="2"/>
      <c r="R109" s="19">
        <f t="shared" si="61"/>
        <v>-2.95633265285169E-5</v>
      </c>
      <c r="S109" s="2"/>
      <c r="T109" s="2">
        <f>-240.2</f>
        <v>-240.2</v>
      </c>
      <c r="U109" s="2"/>
      <c r="V109" s="19">
        <f t="shared" si="62"/>
        <v>-8.5287256872687358E-5</v>
      </c>
      <c r="W109" s="2"/>
      <c r="X109" s="2">
        <f t="shared" si="63"/>
        <v>168.14</v>
      </c>
      <c r="Y109" s="2"/>
      <c r="Z109" s="19">
        <f t="shared" si="64"/>
        <v>-0.7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-427.44</f>
        <v>-427.44</v>
      </c>
      <c r="E110" s="2"/>
      <c r="F110" s="19">
        <f t="shared" si="57"/>
        <v>-4.4732030086329757E-3</v>
      </c>
      <c r="G110" s="2"/>
      <c r="H110" s="2">
        <f>-699.42</f>
        <v>-699.42</v>
      </c>
      <c r="I110" s="2"/>
      <c r="J110" s="19">
        <f t="shared" si="58"/>
        <v>-1.5326704880070428E-3</v>
      </c>
      <c r="K110" s="2"/>
      <c r="L110" s="2">
        <f t="shared" si="59"/>
        <v>271.97999999999996</v>
      </c>
      <c r="M110" s="2"/>
      <c r="N110" s="19">
        <f t="shared" si="60"/>
        <v>-0.38886505962082868</v>
      </c>
      <c r="O110" s="11"/>
      <c r="P110" s="2">
        <f>--5040.45</f>
        <v>5040.45</v>
      </c>
      <c r="Q110" s="2"/>
      <c r="R110" s="19">
        <f t="shared" si="61"/>
        <v>2.0678943824682626E-3</v>
      </c>
      <c r="S110" s="2"/>
      <c r="T110" s="2">
        <f>--1595.12</f>
        <v>1595.12</v>
      </c>
      <c r="U110" s="2"/>
      <c r="V110" s="19">
        <f t="shared" si="62"/>
        <v>5.6637555862931331E-4</v>
      </c>
      <c r="W110" s="2"/>
      <c r="X110" s="2">
        <f t="shared" si="63"/>
        <v>3445.33</v>
      </c>
      <c r="Y110" s="2"/>
      <c r="Z110" s="19">
        <f t="shared" si="64"/>
        <v>2.1599190029590249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1">
        <f>+D55-D57+D106</f>
        <v>-6321.5500000000029</v>
      </c>
      <c r="E112" s="14"/>
      <c r="F112" s="20">
        <f>IF(D$12=0,0,D112/D$12)</f>
        <v>-6.6155662734474555E-2</v>
      </c>
      <c r="G112" s="14"/>
      <c r="H112" s="21">
        <f>+H55-H57+H106</f>
        <v>45293.630000000056</v>
      </c>
      <c r="I112" s="14"/>
      <c r="J112" s="20">
        <f>IF(H$12=0,0,H112/H$12)</f>
        <v>9.9253967566999127E-2</v>
      </c>
      <c r="K112" s="16"/>
      <c r="L112" s="21">
        <f>+D112-H112</f>
        <v>-51615.180000000058</v>
      </c>
      <c r="M112" s="16"/>
      <c r="N112" s="20">
        <f>IF(H112=0,0,L112/H112)</f>
        <v>-1.1395681909354582</v>
      </c>
      <c r="O112" s="28"/>
      <c r="P112" s="21">
        <f>+P55-P57+P106</f>
        <v>118962.11000000116</v>
      </c>
      <c r="Q112" s="14"/>
      <c r="R112" s="20">
        <f>IF(P$12=0,0,P112/P$12)</f>
        <v>4.880538027270858E-2</v>
      </c>
      <c r="S112" s="14"/>
      <c r="T112" s="21">
        <f>+T55-T57+T106</f>
        <v>191106.94000000018</v>
      </c>
      <c r="U112" s="14"/>
      <c r="V112" s="20">
        <f>IF(T$12=0,0,T112/T$12)</f>
        <v>6.7855897926449901E-2</v>
      </c>
      <c r="W112" s="16"/>
      <c r="X112" s="21">
        <f>+P112-T112</f>
        <v>-72144.829999999012</v>
      </c>
      <c r="Y112" s="16"/>
      <c r="Z112" s="20">
        <f>IF(T112=0,0,X112/T112)</f>
        <v>-0.37751025682269279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22726.95</v>
      </c>
      <c r="E114" s="4"/>
      <c r="F114" s="12">
        <f>IF(D$12=0,0,D114/D$12)</f>
        <v>0.23783983978348125</v>
      </c>
      <c r="G114" s="4"/>
      <c r="H114" s="4">
        <v>47598.3</v>
      </c>
      <c r="I114" s="4"/>
      <c r="J114" s="12">
        <f>IF(H$12=0,0,H114/H$12)</f>
        <v>0.10430429454305802</v>
      </c>
      <c r="K114" s="4"/>
      <c r="L114" s="4">
        <f>+D114-H114</f>
        <v>-24871.350000000002</v>
      </c>
      <c r="M114" s="4"/>
      <c r="N114" s="12">
        <f>IF(H114=0,0,L114/H114)</f>
        <v>-0.5225260145845545</v>
      </c>
      <c r="O114" s="10"/>
      <c r="P114" s="4">
        <v>288635.63</v>
      </c>
      <c r="Q114" s="4"/>
      <c r="R114" s="12">
        <f>IF(P$12=0,0,P114/P$12)</f>
        <v>0.11841561722806257</v>
      </c>
      <c r="S114" s="4"/>
      <c r="T114" s="4">
        <v>292942.94999999995</v>
      </c>
      <c r="U114" s="4"/>
      <c r="V114" s="12">
        <f>IF(T$12=0,0,T114/T$12)</f>
        <v>0.10401457379555705</v>
      </c>
      <c r="W114" s="4"/>
      <c r="X114" s="4">
        <f>+P114-T114</f>
        <v>-4307.3199999999488</v>
      </c>
      <c r="Y114" s="4"/>
      <c r="Z114" s="12">
        <f>IF(T114=0,0,X114/T114)</f>
        <v>-1.4703613792378173E-2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5">
        <f>+D112-D114</f>
        <v>-29048.500000000004</v>
      </c>
      <c r="E116" s="14"/>
      <c r="F116" s="32">
        <f>IF(D$12=0,0,D116/D$12)</f>
        <v>-0.30399550251795582</v>
      </c>
      <c r="G116" s="14"/>
      <c r="H116" s="35">
        <f>+H112-H114</f>
        <v>-2304.6699999999473</v>
      </c>
      <c r="I116" s="14"/>
      <c r="J116" s="32">
        <f>IF(H$12=0,0,H116/H$12)</f>
        <v>-5.0503269760588934E-3</v>
      </c>
      <c r="K116" s="16"/>
      <c r="L116" s="35">
        <f>D116-H116</f>
        <v>-26743.830000000056</v>
      </c>
      <c r="M116" s="16"/>
      <c r="N116" s="32">
        <f>IF(H116=0,0,L116/H116)</f>
        <v>11.604190621651112</v>
      </c>
      <c r="O116" s="28"/>
      <c r="P116" s="35">
        <f>+P112-P114</f>
        <v>-169673.51999999885</v>
      </c>
      <c r="Q116" s="14"/>
      <c r="R116" s="32">
        <f>IF(P$12=0,0,P116/P$12)</f>
        <v>-6.9610236955353996E-2</v>
      </c>
      <c r="S116" s="14"/>
      <c r="T116" s="35">
        <f>+T112-T114</f>
        <v>-101836.00999999978</v>
      </c>
      <c r="U116" s="14"/>
      <c r="V116" s="32">
        <f>IF(T$12=0,0,T116/T$12)</f>
        <v>-3.6158675869107156E-2</v>
      </c>
      <c r="W116" s="16"/>
      <c r="X116" s="35">
        <f>P116-T116</f>
        <v>-67837.509999999078</v>
      </c>
      <c r="Y116" s="16"/>
      <c r="Z116" s="32">
        <f>IF(T116=0,0,X116/T116)</f>
        <v>0.66614461819546178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6">
        <f>SUM(D116:D118)</f>
        <v>-29048.500000000004</v>
      </c>
      <c r="E119" s="14"/>
      <c r="F119" s="33">
        <f>IF(D$12=0,0,D119/D$12)</f>
        <v>-0.30399550251795582</v>
      </c>
      <c r="G119" s="14"/>
      <c r="H119" s="36">
        <f>SUM(H116:H118)</f>
        <v>-2304.6699999999473</v>
      </c>
      <c r="I119" s="14"/>
      <c r="J119" s="33">
        <f>IF(H$12=0,0,H119/H$12)</f>
        <v>-5.0503269760588934E-3</v>
      </c>
      <c r="K119" s="16"/>
      <c r="L119" s="36">
        <f>+D119-H119</f>
        <v>-26743.830000000056</v>
      </c>
      <c r="M119" s="16"/>
      <c r="N119" s="33">
        <f>IF(H119=0,0,L119/H119)</f>
        <v>11.604190621651112</v>
      </c>
      <c r="O119" s="28"/>
      <c r="P119" s="36">
        <f>SUM(P116:P118)</f>
        <v>-169673.51999999885</v>
      </c>
      <c r="Q119" s="14"/>
      <c r="R119" s="33">
        <f>IF(P$12=0,0,P119/P$12)</f>
        <v>-6.9610236955353996E-2</v>
      </c>
      <c r="S119" s="14"/>
      <c r="T119" s="36">
        <f>SUM(T116:T118)</f>
        <v>-101836.00999999978</v>
      </c>
      <c r="U119" s="14"/>
      <c r="V119" s="33">
        <f>IF(T$12=0,0,T119/T$12)</f>
        <v>-3.6158675869107156E-2</v>
      </c>
      <c r="W119" s="16"/>
      <c r="X119" s="36">
        <f>+P119-T119</f>
        <v>-67837.509999999078</v>
      </c>
      <c r="Y119" s="16"/>
      <c r="Z119" s="33">
        <f>IF(T119=0,0,X119/T119)</f>
        <v>0.66614461819546178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5">
        <v>43992.375632754629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A122" s="9"/>
      <c r="B122" s="62" t="s">
        <v>313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3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2"/>
      <c r="G12" s="4"/>
      <c r="H12" s="4">
        <f>SUM(OSRRefH13x_0)</f>
        <v>210036.76</v>
      </c>
      <c r="I12" s="4"/>
      <c r="J12" s="12"/>
      <c r="K12" s="4"/>
      <c r="L12" s="4">
        <f t="shared" ref="L12:L24" si="0">+D12-H12</f>
        <v>-210008.40000000002</v>
      </c>
      <c r="M12" s="4"/>
      <c r="N12" s="12">
        <f t="shared" ref="N12:N24" si="1">IF(H12=0,0,L12/H12)</f>
        <v>-0.99986497601657931</v>
      </c>
      <c r="O12" s="10"/>
      <c r="P12" s="4">
        <f>SUM(OSRRefP13x_0)</f>
        <v>2364609.25</v>
      </c>
      <c r="Q12" s="4"/>
      <c r="R12" s="12"/>
      <c r="S12" s="4"/>
      <c r="T12" s="4">
        <f>SUM(OSRRefT13x_0)</f>
        <v>2982431.95</v>
      </c>
      <c r="U12" s="4"/>
      <c r="V12" s="12"/>
      <c r="W12" s="4"/>
      <c r="X12" s="4">
        <f t="shared" ref="X12:X24" si="2">+P12-T12</f>
        <v>-617822.70000000019</v>
      </c>
      <c r="Y12" s="4"/>
      <c r="Z12" s="12">
        <f t="shared" ref="Z12:Z24" si="3">IF(T12=0,0,X12/T12)</f>
        <v>-0.2071539972605243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6" si="4">0</f>
        <v>0</v>
      </c>
      <c r="E13" s="2"/>
      <c r="F13" s="19"/>
      <c r="G13" s="2"/>
      <c r="H13" s="2">
        <f>--24101.79</f>
        <v>24101.79</v>
      </c>
      <c r="I13" s="2"/>
      <c r="J13" s="19"/>
      <c r="K13" s="2"/>
      <c r="L13" s="2">
        <f t="shared" si="0"/>
        <v>-24101.79</v>
      </c>
      <c r="M13" s="2"/>
      <c r="N13" s="19">
        <f t="shared" si="1"/>
        <v>-1</v>
      </c>
      <c r="O13" s="11"/>
      <c r="P13" s="2">
        <f>--275749.46</f>
        <v>275749.46000000002</v>
      </c>
      <c r="Q13" s="2"/>
      <c r="R13" s="19"/>
      <c r="S13" s="2"/>
      <c r="T13" s="2">
        <f>--365458.77</f>
        <v>365458.77</v>
      </c>
      <c r="U13" s="2"/>
      <c r="V13" s="19"/>
      <c r="W13" s="2"/>
      <c r="X13" s="2">
        <f t="shared" si="2"/>
        <v>-89709.31</v>
      </c>
      <c r="Y13" s="2"/>
      <c r="Z13" s="19">
        <f t="shared" si="3"/>
        <v>-0.24547039875387308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--270.85</f>
        <v>270.85000000000002</v>
      </c>
      <c r="I15" s="2"/>
      <c r="J15" s="19"/>
      <c r="K15" s="2"/>
      <c r="L15" s="2">
        <f t="shared" si="0"/>
        <v>-270.85000000000002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--2710.12</f>
        <v>2710.12</v>
      </c>
      <c r="U15" s="2"/>
      <c r="V15" s="19"/>
      <c r="W15" s="2"/>
      <c r="X15" s="2">
        <f t="shared" si="2"/>
        <v>411.82999999999993</v>
      </c>
      <c r="Y15" s="2"/>
      <c r="Z15" s="19">
        <f t="shared" si="3"/>
        <v>0.15196006080911545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>
        <f>--20392.09</f>
        <v>20392.09</v>
      </c>
      <c r="I16" s="2"/>
      <c r="J16" s="19"/>
      <c r="K16" s="2"/>
      <c r="L16" s="2">
        <f t="shared" si="0"/>
        <v>-20392.09</v>
      </c>
      <c r="M16" s="2"/>
      <c r="N16" s="19">
        <f t="shared" si="1"/>
        <v>-1</v>
      </c>
      <c r="O16" s="11"/>
      <c r="P16" s="2">
        <f>--149404.53</f>
        <v>149404.53</v>
      </c>
      <c r="Q16" s="2"/>
      <c r="R16" s="19"/>
      <c r="S16" s="2"/>
      <c r="T16" s="2">
        <f>--234625.59</f>
        <v>234625.59</v>
      </c>
      <c r="U16" s="2"/>
      <c r="V16" s="19"/>
      <c r="W16" s="2"/>
      <c r="X16" s="2">
        <f t="shared" si="2"/>
        <v>-85221.06</v>
      </c>
      <c r="Y16" s="2"/>
      <c r="Z16" s="19">
        <f t="shared" si="3"/>
        <v>-0.36322150537799391</v>
      </c>
    </row>
    <row r="17" spans="1:26" s="24" customFormat="1" hidden="1" outlineLevel="1" x14ac:dyDescent="0.25">
      <c r="A17" s="44"/>
      <c r="B17" s="11" t="str">
        <f>CONCATENATE("          ", "4131", " - ", "NON-TAXABLE SALES-FOOD")</f>
        <v xml:space="preserve">          4131 - NON-TAXABLE SALES-FOOD</v>
      </c>
      <c r="C17" s="11"/>
      <c r="D17" s="2">
        <f>--2.48</f>
        <v>2.48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2.48</v>
      </c>
      <c r="M17" s="2"/>
      <c r="N17" s="19">
        <f t="shared" si="1"/>
        <v>0</v>
      </c>
      <c r="O17" s="11"/>
      <c r="P17" s="2">
        <f>--2.48</f>
        <v>2.48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19" si="5">0</f>
        <v>0</v>
      </c>
      <c r="E18" s="2"/>
      <c r="F18" s="19"/>
      <c r="G18" s="2"/>
      <c r="H18" s="2">
        <f>--66183.35</f>
        <v>66183.350000000006</v>
      </c>
      <c r="I18" s="2"/>
      <c r="J18" s="19"/>
      <c r="K18" s="2"/>
      <c r="L18" s="2">
        <f t="shared" si="0"/>
        <v>-66183.350000000006</v>
      </c>
      <c r="M18" s="2"/>
      <c r="N18" s="19">
        <f t="shared" si="1"/>
        <v>-1</v>
      </c>
      <c r="O18" s="11"/>
      <c r="P18" s="2">
        <f>--1093778.15</f>
        <v>1093778.1499999999</v>
      </c>
      <c r="Q18" s="2"/>
      <c r="R18" s="19"/>
      <c r="S18" s="2"/>
      <c r="T18" s="2">
        <f>--1285332.53</f>
        <v>1285332.53</v>
      </c>
      <c r="U18" s="2"/>
      <c r="V18" s="19"/>
      <c r="W18" s="2"/>
      <c r="X18" s="2">
        <f t="shared" si="2"/>
        <v>-191554.38000000012</v>
      </c>
      <c r="Y18" s="2"/>
      <c r="Z18" s="19">
        <f t="shared" si="3"/>
        <v>-0.14903099044727369</v>
      </c>
    </row>
    <row r="19" spans="1:26" s="24" customFormat="1" hidden="1" outlineLevel="1" x14ac:dyDescent="0.2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 t="shared" si="5"/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>--23.64</f>
        <v>23.64</v>
      </c>
      <c r="E20" s="2"/>
      <c r="F20" s="19"/>
      <c r="G20" s="2"/>
      <c r="H20" s="2">
        <f>--1.89</f>
        <v>1.89</v>
      </c>
      <c r="I20" s="2"/>
      <c r="J20" s="19"/>
      <c r="K20" s="2"/>
      <c r="L20" s="2">
        <f t="shared" si="0"/>
        <v>21.75</v>
      </c>
      <c r="M20" s="2"/>
      <c r="N20" s="19">
        <f t="shared" si="1"/>
        <v>11.507936507936508</v>
      </c>
      <c r="O20" s="11"/>
      <c r="P20" s="2">
        <f>--94.84</f>
        <v>94.84</v>
      </c>
      <c r="Q20" s="2"/>
      <c r="R20" s="19"/>
      <c r="S20" s="2"/>
      <c r="T20" s="2">
        <f>--55.83</f>
        <v>55.83</v>
      </c>
      <c r="U20" s="2"/>
      <c r="V20" s="19"/>
      <c r="W20" s="2"/>
      <c r="X20" s="2">
        <f t="shared" si="2"/>
        <v>39.010000000000005</v>
      </c>
      <c r="Y20" s="2"/>
      <c r="Z20" s="19">
        <f t="shared" si="3"/>
        <v>0.69872828228550965</v>
      </c>
    </row>
    <row r="21" spans="1:26" s="24" customFormat="1" hidden="1" outlineLevel="1" x14ac:dyDescent="0.2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>--2.24</f>
        <v>2.2400000000000002</v>
      </c>
      <c r="E21" s="2"/>
      <c r="F21" s="19"/>
      <c r="G21" s="2"/>
      <c r="H21" s="2">
        <f>--112.5</f>
        <v>112.5</v>
      </c>
      <c r="I21" s="2"/>
      <c r="J21" s="19"/>
      <c r="K21" s="2"/>
      <c r="L21" s="2">
        <f t="shared" si="0"/>
        <v>-110.26</v>
      </c>
      <c r="M21" s="2"/>
      <c r="N21" s="19">
        <f t="shared" si="1"/>
        <v>-0.9800888888888889</v>
      </c>
      <c r="O21" s="11"/>
      <c r="P21" s="2">
        <f>--1575.68</f>
        <v>1575.68</v>
      </c>
      <c r="Q21" s="2"/>
      <c r="R21" s="19"/>
      <c r="S21" s="2"/>
      <c r="T21" s="2">
        <f>--2240.29</f>
        <v>2240.29</v>
      </c>
      <c r="U21" s="2"/>
      <c r="V21" s="19"/>
      <c r="W21" s="2"/>
      <c r="X21" s="2">
        <f t="shared" si="2"/>
        <v>-664.6099999999999</v>
      </c>
      <c r="Y21" s="2"/>
      <c r="Z21" s="19">
        <f t="shared" si="3"/>
        <v>-0.29666248566033859</v>
      </c>
    </row>
    <row r="22" spans="1:26" s="24" customFormat="1" hidden="1" outlineLevel="1" x14ac:dyDescent="0.2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 t="shared" ref="D22:D24" si="6">0</f>
        <v>0</v>
      </c>
      <c r="E22" s="2"/>
      <c r="F22" s="19"/>
      <c r="G22" s="2"/>
      <c r="H22" s="2">
        <f>--97512.12</f>
        <v>97512.12</v>
      </c>
      <c r="I22" s="2"/>
      <c r="J22" s="19"/>
      <c r="K22" s="2"/>
      <c r="L22" s="2">
        <f t="shared" si="0"/>
        <v>-97512.12</v>
      </c>
      <c r="M22" s="2"/>
      <c r="N22" s="19">
        <f t="shared" si="1"/>
        <v>-1</v>
      </c>
      <c r="O22" s="11"/>
      <c r="P22" s="2">
        <f>--828068.07</f>
        <v>828068.07</v>
      </c>
      <c r="Q22" s="2"/>
      <c r="R22" s="19"/>
      <c r="S22" s="2"/>
      <c r="T22" s="2">
        <f>--1077762.1</f>
        <v>1077762.1000000001</v>
      </c>
      <c r="U22" s="2"/>
      <c r="V22" s="19"/>
      <c r="W22" s="2"/>
      <c r="X22" s="2">
        <f t="shared" si="2"/>
        <v>-249694.03000000014</v>
      </c>
      <c r="Y22" s="2"/>
      <c r="Z22" s="19">
        <f t="shared" si="3"/>
        <v>-0.23167824327836367</v>
      </c>
    </row>
    <row r="23" spans="1:26" s="24" customFormat="1" hidden="1" outlineLevel="1" x14ac:dyDescent="0.2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 t="shared" si="6"/>
        <v>0</v>
      </c>
      <c r="E23" s="2"/>
      <c r="F23" s="19"/>
      <c r="G23" s="2"/>
      <c r="H23" s="2">
        <f>--1462.17</f>
        <v>1462.17</v>
      </c>
      <c r="I23" s="2"/>
      <c r="J23" s="19"/>
      <c r="K23" s="2"/>
      <c r="L23" s="2">
        <f t="shared" si="0"/>
        <v>-1462.17</v>
      </c>
      <c r="M23" s="2"/>
      <c r="N23" s="19">
        <f t="shared" si="1"/>
        <v>-1</v>
      </c>
      <c r="O23" s="11"/>
      <c r="P23" s="2">
        <f>--12812.5</f>
        <v>12812.5</v>
      </c>
      <c r="Q23" s="2"/>
      <c r="R23" s="19"/>
      <c r="S23" s="2"/>
      <c r="T23" s="2">
        <f>--14228.42</f>
        <v>14228.42</v>
      </c>
      <c r="U23" s="2"/>
      <c r="V23" s="19"/>
      <c r="W23" s="2"/>
      <c r="X23" s="2">
        <f t="shared" si="2"/>
        <v>-1415.92</v>
      </c>
      <c r="Y23" s="2"/>
      <c r="Z23" s="19">
        <f t="shared" si="3"/>
        <v>-9.9513508878708953E-2</v>
      </c>
    </row>
    <row r="24" spans="1:26" s="24" customFormat="1" hidden="1" outlineLevel="1" x14ac:dyDescent="0.25">
      <c r="A24" s="44"/>
      <c r="B24" s="11" t="str">
        <f>CONCATENATE("          ", "4233", " - ", "SALES RETURN TAXABLE-CANDY")</f>
        <v xml:space="preserve">          4233 - SALES RETURN TAXABLE-CANDY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-1.69</f>
        <v>-1.69</v>
      </c>
      <c r="U24" s="2"/>
      <c r="V24" s="19"/>
      <c r="W24" s="2"/>
      <c r="X24" s="2">
        <f t="shared" si="2"/>
        <v>1.69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-1756.38</v>
      </c>
      <c r="E26" s="4"/>
      <c r="F26" s="12">
        <f t="shared" ref="F26:F28" si="7">IF(D$12=0,0,D26/D$12)</f>
        <v>-61.931593794076171</v>
      </c>
      <c r="G26" s="4"/>
      <c r="H26" s="4">
        <f>SUM(OSRRefH16x_0)</f>
        <v>105615.02</v>
      </c>
      <c r="I26" s="4"/>
      <c r="J26" s="12">
        <f t="shared" ref="J26:J28" si="8">IF(H$12=0,0,H26/H$12)</f>
        <v>0.50284064560889241</v>
      </c>
      <c r="K26" s="4"/>
      <c r="L26" s="4">
        <f t="shared" ref="L26:L28" si="9">+D26-H26</f>
        <v>-107371.40000000001</v>
      </c>
      <c r="M26" s="4"/>
      <c r="N26" s="12">
        <f t="shared" ref="N26:N28" si="10">IF(H26=0,0,L26/H26)</f>
        <v>-1.0166300209951198</v>
      </c>
      <c r="O26" s="10"/>
      <c r="P26" s="4">
        <f>SUM(OSRRefP16x_0)</f>
        <v>1232330.8400000001</v>
      </c>
      <c r="Q26" s="4"/>
      <c r="R26" s="12">
        <f t="shared" ref="R26:R28" si="11">IF(P$12=0,0,P26/P$12)</f>
        <v>0.52115622908943626</v>
      </c>
      <c r="S26" s="4"/>
      <c r="T26" s="4">
        <f>SUM(OSRRefT16x_0)</f>
        <v>1418322.18</v>
      </c>
      <c r="U26" s="4"/>
      <c r="V26" s="12">
        <f t="shared" ref="V26:V28" si="12">IF(T$12=0,0,T26/T$12)</f>
        <v>0.47555894108497593</v>
      </c>
      <c r="W26" s="4"/>
      <c r="X26" s="4">
        <f t="shared" ref="X26:X28" si="13">+P26-T26</f>
        <v>-185991.33999999985</v>
      </c>
      <c r="Y26" s="4"/>
      <c r="Z26" s="12">
        <f t="shared" ref="Z26:Z28" si="14">IF(T26=0,0,X26/T26)</f>
        <v>-0.13113476093280854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-1756.38</v>
      </c>
      <c r="E27" s="2"/>
      <c r="F27" s="19">
        <f t="shared" si="7"/>
        <v>-61.931593794076171</v>
      </c>
      <c r="G27" s="2"/>
      <c r="H27" s="2">
        <v>64337.970000000008</v>
      </c>
      <c r="I27" s="2"/>
      <c r="J27" s="19">
        <f t="shared" si="8"/>
        <v>0.30631766553626139</v>
      </c>
      <c r="K27" s="2"/>
      <c r="L27" s="2">
        <f t="shared" si="9"/>
        <v>-66094.350000000006</v>
      </c>
      <c r="M27" s="2"/>
      <c r="N27" s="19">
        <f t="shared" si="10"/>
        <v>-1.027299275995186</v>
      </c>
      <c r="O27" s="11"/>
      <c r="P27" s="2">
        <v>1158504.04</v>
      </c>
      <c r="Q27" s="2"/>
      <c r="R27" s="19">
        <f t="shared" si="11"/>
        <v>0.48993466468085584</v>
      </c>
      <c r="S27" s="2"/>
      <c r="T27" s="2">
        <v>1356274.99</v>
      </c>
      <c r="U27" s="2"/>
      <c r="V27" s="19">
        <f t="shared" si="12"/>
        <v>0.4547547145208124</v>
      </c>
      <c r="W27" s="2"/>
      <c r="X27" s="2">
        <f t="shared" si="13"/>
        <v>-197770.94999999995</v>
      </c>
      <c r="Y27" s="2"/>
      <c r="Z27" s="19">
        <f t="shared" si="14"/>
        <v>-0.14581921178093829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/>
      <c r="E28" s="2"/>
      <c r="F28" s="19">
        <f t="shared" si="7"/>
        <v>0</v>
      </c>
      <c r="G28" s="2"/>
      <c r="H28" s="2">
        <v>41277.049999999996</v>
      </c>
      <c r="I28" s="2"/>
      <c r="J28" s="19">
        <f t="shared" si="8"/>
        <v>0.19652298007263105</v>
      </c>
      <c r="K28" s="2"/>
      <c r="L28" s="2">
        <f t="shared" si="9"/>
        <v>-41277.049999999996</v>
      </c>
      <c r="M28" s="2"/>
      <c r="N28" s="19">
        <f t="shared" si="10"/>
        <v>-1</v>
      </c>
      <c r="O28" s="11"/>
      <c r="P28" s="2">
        <v>73826.8</v>
      </c>
      <c r="Q28" s="2"/>
      <c r="R28" s="19">
        <f t="shared" si="11"/>
        <v>3.1221564408580402E-2</v>
      </c>
      <c r="S28" s="2"/>
      <c r="T28" s="2">
        <v>62047.19</v>
      </c>
      <c r="U28" s="2"/>
      <c r="V28" s="19">
        <f t="shared" si="12"/>
        <v>2.0804226564163517E-2</v>
      </c>
      <c r="W28" s="2"/>
      <c r="X28" s="2">
        <f t="shared" si="13"/>
        <v>11779.61</v>
      </c>
      <c r="Y28" s="2"/>
      <c r="Z28" s="19">
        <f t="shared" si="14"/>
        <v>0.18984920993198887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D12-D26</f>
        <v>1784.74</v>
      </c>
      <c r="E30" s="14"/>
      <c r="F30" s="20">
        <f>IF(D$12=0,0,D30/D$12)</f>
        <v>62.931593794076164</v>
      </c>
      <c r="G30" s="14"/>
      <c r="H30" s="21">
        <f>H12-H26</f>
        <v>104421.74</v>
      </c>
      <c r="I30" s="14"/>
      <c r="J30" s="20">
        <f>IF(H$12=0,0,H30/H$12)</f>
        <v>0.49715935439110753</v>
      </c>
      <c r="K30" s="16"/>
      <c r="L30" s="21">
        <f>+D30-H30</f>
        <v>-102637</v>
      </c>
      <c r="M30" s="16"/>
      <c r="N30" s="20">
        <f>IF(H30=0,0,L30/H30)</f>
        <v>-0.98290834839565011</v>
      </c>
      <c r="O30" s="28"/>
      <c r="P30" s="21">
        <f>P12-P26</f>
        <v>1132278.4099999999</v>
      </c>
      <c r="Q30" s="14"/>
      <c r="R30" s="20">
        <f>IF(P$12=0,0,P30/P$12)</f>
        <v>0.47884377091056374</v>
      </c>
      <c r="S30" s="14"/>
      <c r="T30" s="21">
        <f>T12-T26</f>
        <v>1564109.7700000003</v>
      </c>
      <c r="U30" s="14"/>
      <c r="V30" s="20">
        <f>IF(T$12=0,0,T30/T$12)</f>
        <v>0.52444105891502413</v>
      </c>
      <c r="W30" s="16"/>
      <c r="X30" s="21">
        <f>+P30-T30</f>
        <v>-431831.36000000034</v>
      </c>
      <c r="Y30" s="16"/>
      <c r="Z30" s="20">
        <f>IF(T30=0,0,X30/T30)</f>
        <v>-0.27608763034579104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35469.49</v>
      </c>
      <c r="E32" s="22"/>
      <c r="F32" s="31">
        <f t="shared" ref="F32:F41" si="15">IF(D$12=0,0,D32/D$12)</f>
        <v>1250.6872355430182</v>
      </c>
      <c r="G32" s="22"/>
      <c r="H32" s="22">
        <f>SUM(OSRRefH22x_0)</f>
        <v>111185.31999999998</v>
      </c>
      <c r="I32" s="22"/>
      <c r="J32" s="31">
        <f t="shared" ref="J32:J41" si="16">IF(H$12=0,0,H32/H$12)</f>
        <v>0.52936124133699247</v>
      </c>
      <c r="K32" s="4"/>
      <c r="L32" s="22">
        <f t="shared" ref="L32:L41" si="17">+D32-H32</f>
        <v>-75715.829999999987</v>
      </c>
      <c r="M32" s="4"/>
      <c r="N32" s="31">
        <f t="shared" ref="N32:N41" si="18">IF(H32=0,0,L32/H32)</f>
        <v>-0.68098765196700428</v>
      </c>
      <c r="O32" s="10"/>
      <c r="P32" s="22">
        <f>SUM(OSRRefP22x_0)</f>
        <v>1031678.3099999999</v>
      </c>
      <c r="Q32" s="22"/>
      <c r="R32" s="31">
        <f t="shared" ref="R32:R41" si="19">IF(P$12=0,0,P32/P$12)</f>
        <v>0.43629970152573833</v>
      </c>
      <c r="S32" s="22"/>
      <c r="T32" s="22">
        <f>SUM(OSRRefT22x_0)</f>
        <v>1151155.9000000001</v>
      </c>
      <c r="U32" s="22"/>
      <c r="V32" s="31">
        <f t="shared" ref="V32:V41" si="20">IF(T$12=0,0,T32/T$12)</f>
        <v>0.38597893239441727</v>
      </c>
      <c r="W32" s="4"/>
      <c r="X32" s="22">
        <f t="shared" ref="X32:X41" si="21">+P32-T32</f>
        <v>-119477.5900000002</v>
      </c>
      <c r="Y32" s="4"/>
      <c r="Z32" s="31">
        <f t="shared" ref="Z32:Z41" si="22">IF(T32=0,0,X32/T32)</f>
        <v>-0.10378923480303597</v>
      </c>
    </row>
    <row r="33" spans="1:26" s="27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8924.130000000001</v>
      </c>
      <c r="E33" s="1"/>
      <c r="F33" s="5">
        <f t="shared" si="15"/>
        <v>314.67313117066294</v>
      </c>
      <c r="G33" s="1"/>
      <c r="H33" s="1">
        <f>SUM(OSRRefH22_0x_0)</f>
        <v>15452.230000000001</v>
      </c>
      <c r="I33" s="1"/>
      <c r="J33" s="5">
        <f t="shared" si="16"/>
        <v>7.3569169511089397E-2</v>
      </c>
      <c r="K33" s="1"/>
      <c r="L33" s="1">
        <f t="shared" si="17"/>
        <v>-6528.1</v>
      </c>
      <c r="M33" s="1"/>
      <c r="N33" s="5">
        <f t="shared" si="18"/>
        <v>-0.42246976649972201</v>
      </c>
      <c r="O33" s="13"/>
      <c r="P33" s="1">
        <f>SUM(OSRRefP22_0x_0)</f>
        <v>137348.59</v>
      </c>
      <c r="Q33" s="1"/>
      <c r="R33" s="5">
        <f t="shared" si="19"/>
        <v>5.8085110679491757E-2</v>
      </c>
      <c r="S33" s="1"/>
      <c r="T33" s="1">
        <f>SUM(OSRRefT22_0x_0)</f>
        <v>148587.00000000003</v>
      </c>
      <c r="U33" s="1"/>
      <c r="V33" s="5">
        <f t="shared" si="20"/>
        <v>4.9820751149074839E-2</v>
      </c>
      <c r="W33" s="1"/>
      <c r="X33" s="1">
        <f t="shared" si="21"/>
        <v>-11238.410000000033</v>
      </c>
      <c r="Y33" s="1"/>
      <c r="Z33" s="5">
        <f t="shared" si="22"/>
        <v>-7.5635217078210276E-2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994.16</v>
      </c>
      <c r="E34" s="2"/>
      <c r="F34" s="7">
        <f t="shared" si="15"/>
        <v>35.055007052186177</v>
      </c>
      <c r="G34" s="2"/>
      <c r="H34" s="6">
        <v>3352.97</v>
      </c>
      <c r="I34" s="2"/>
      <c r="J34" s="7">
        <f t="shared" si="16"/>
        <v>1.5963729396701796E-2</v>
      </c>
      <c r="K34" s="2"/>
      <c r="L34" s="6">
        <f t="shared" si="17"/>
        <v>-2358.81</v>
      </c>
      <c r="M34" s="2"/>
      <c r="N34" s="7">
        <f t="shared" si="18"/>
        <v>-0.70349868922179448</v>
      </c>
      <c r="O34" s="11"/>
      <c r="P34" s="6">
        <v>23050.880000000001</v>
      </c>
      <c r="Q34" s="2"/>
      <c r="R34" s="7">
        <f t="shared" si="19"/>
        <v>9.7482829351191961E-3</v>
      </c>
      <c r="S34" s="2"/>
      <c r="T34" s="6">
        <v>25248.95</v>
      </c>
      <c r="U34" s="2"/>
      <c r="V34" s="7">
        <f t="shared" si="20"/>
        <v>8.4658930776274708E-3</v>
      </c>
      <c r="W34" s="2"/>
      <c r="X34" s="6">
        <f t="shared" si="21"/>
        <v>-2198.0699999999997</v>
      </c>
      <c r="Y34" s="2"/>
      <c r="Z34" s="7">
        <f t="shared" si="22"/>
        <v>-8.7055897373950183E-2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370.37</v>
      </c>
      <c r="E35" s="2"/>
      <c r="F35" s="7">
        <f t="shared" si="15"/>
        <v>13.059590973201693</v>
      </c>
      <c r="G35" s="2"/>
      <c r="H35" s="6">
        <v>824.31</v>
      </c>
      <c r="I35" s="2"/>
      <c r="J35" s="7">
        <f t="shared" si="16"/>
        <v>3.9245987226236012E-3</v>
      </c>
      <c r="K35" s="2"/>
      <c r="L35" s="6">
        <f t="shared" si="17"/>
        <v>-453.93999999999994</v>
      </c>
      <c r="M35" s="2"/>
      <c r="N35" s="7">
        <f t="shared" si="18"/>
        <v>-0.55069088085792961</v>
      </c>
      <c r="O35" s="11"/>
      <c r="P35" s="6">
        <v>9269.2900000000009</v>
      </c>
      <c r="Q35" s="2"/>
      <c r="R35" s="7">
        <f t="shared" si="19"/>
        <v>3.9200091939080427E-3</v>
      </c>
      <c r="S35" s="2"/>
      <c r="T35" s="6">
        <v>7586.56</v>
      </c>
      <c r="U35" s="2"/>
      <c r="V35" s="7">
        <f t="shared" si="20"/>
        <v>2.5437495732299944E-3</v>
      </c>
      <c r="W35" s="2"/>
      <c r="X35" s="6">
        <f t="shared" si="21"/>
        <v>1682.7300000000005</v>
      </c>
      <c r="Y35" s="2"/>
      <c r="Z35" s="7">
        <f t="shared" si="22"/>
        <v>0.22180408511894725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4620.57</v>
      </c>
      <c r="E36" s="2"/>
      <c r="F36" s="7">
        <f t="shared" si="15"/>
        <v>162.92559943582509</v>
      </c>
      <c r="G36" s="2"/>
      <c r="H36" s="6">
        <v>6378.17</v>
      </c>
      <c r="I36" s="2"/>
      <c r="J36" s="7">
        <f t="shared" si="16"/>
        <v>3.0366922437767559E-2</v>
      </c>
      <c r="K36" s="2"/>
      <c r="L36" s="6">
        <f t="shared" si="17"/>
        <v>-1757.6000000000004</v>
      </c>
      <c r="M36" s="2"/>
      <c r="N36" s="7">
        <f t="shared" si="18"/>
        <v>-0.27556493476969107</v>
      </c>
      <c r="O36" s="11"/>
      <c r="P36" s="6">
        <v>59938.279999999992</v>
      </c>
      <c r="Q36" s="2"/>
      <c r="R36" s="7">
        <f t="shared" si="19"/>
        <v>2.5348069665210009E-2</v>
      </c>
      <c r="S36" s="2"/>
      <c r="T36" s="6">
        <v>67999.87</v>
      </c>
      <c r="U36" s="2"/>
      <c r="V36" s="7">
        <f t="shared" si="20"/>
        <v>2.280014134102875E-2</v>
      </c>
      <c r="W36" s="2"/>
      <c r="X36" s="6">
        <f t="shared" si="21"/>
        <v>-8061.5900000000038</v>
      </c>
      <c r="Y36" s="2"/>
      <c r="Z36" s="7">
        <f t="shared" si="22"/>
        <v>-0.11855302076312799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50.67</v>
      </c>
      <c r="E37" s="2"/>
      <c r="F37" s="7">
        <f t="shared" si="15"/>
        <v>1.7866713681241186</v>
      </c>
      <c r="G37" s="2"/>
      <c r="H37" s="6">
        <v>167.1</v>
      </c>
      <c r="I37" s="2"/>
      <c r="J37" s="7">
        <f t="shared" si="16"/>
        <v>7.9557502220087566E-4</v>
      </c>
      <c r="K37" s="2"/>
      <c r="L37" s="6">
        <f t="shared" si="17"/>
        <v>-116.42999999999999</v>
      </c>
      <c r="M37" s="2"/>
      <c r="N37" s="7">
        <f t="shared" si="18"/>
        <v>-0.6967684021543985</v>
      </c>
      <c r="O37" s="11"/>
      <c r="P37" s="6">
        <v>1401.68</v>
      </c>
      <c r="Q37" s="2"/>
      <c r="R37" s="7">
        <f t="shared" si="19"/>
        <v>5.9277447214587363E-4</v>
      </c>
      <c r="S37" s="2"/>
      <c r="T37" s="6">
        <v>1646.11</v>
      </c>
      <c r="U37" s="2"/>
      <c r="V37" s="7">
        <f t="shared" si="20"/>
        <v>5.5193547668371771E-4</v>
      </c>
      <c r="W37" s="2"/>
      <c r="X37" s="6">
        <f t="shared" si="21"/>
        <v>-244.42999999999984</v>
      </c>
      <c r="Y37" s="2"/>
      <c r="Z37" s="7">
        <f t="shared" si="22"/>
        <v>-0.14848946911202765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1284.74</v>
      </c>
      <c r="E38" s="2"/>
      <c r="F38" s="7">
        <f t="shared" si="15"/>
        <v>45.301128349788435</v>
      </c>
      <c r="G38" s="2"/>
      <c r="H38" s="6">
        <v>1395.28</v>
      </c>
      <c r="I38" s="2"/>
      <c r="J38" s="7">
        <f t="shared" si="16"/>
        <v>6.6430276300205732E-3</v>
      </c>
      <c r="K38" s="2"/>
      <c r="L38" s="6">
        <f t="shared" si="17"/>
        <v>-110.53999999999996</v>
      </c>
      <c r="M38" s="2"/>
      <c r="N38" s="7">
        <f t="shared" si="18"/>
        <v>-7.9224241729258613E-2</v>
      </c>
      <c r="O38" s="11"/>
      <c r="P38" s="6">
        <v>16690.21</v>
      </c>
      <c r="Q38" s="2"/>
      <c r="R38" s="7">
        <f t="shared" si="19"/>
        <v>7.0583374398962527E-3</v>
      </c>
      <c r="S38" s="2"/>
      <c r="T38" s="6">
        <v>17155.57</v>
      </c>
      <c r="U38" s="2"/>
      <c r="V38" s="7">
        <f t="shared" si="20"/>
        <v>5.7522083613676415E-3</v>
      </c>
      <c r="W38" s="2"/>
      <c r="X38" s="6">
        <f t="shared" si="21"/>
        <v>-465.36000000000058</v>
      </c>
      <c r="Y38" s="2"/>
      <c r="Z38" s="7">
        <f t="shared" si="22"/>
        <v>-2.7125883896600381E-2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950.98</v>
      </c>
      <c r="E39" s="2"/>
      <c r="F39" s="7">
        <f t="shared" si="15"/>
        <v>33.532440056417492</v>
      </c>
      <c r="G39" s="2"/>
      <c r="H39" s="6">
        <v>1567.68</v>
      </c>
      <c r="I39" s="2"/>
      <c r="J39" s="7">
        <f t="shared" si="16"/>
        <v>7.4638363303642661E-3</v>
      </c>
      <c r="K39" s="2"/>
      <c r="L39" s="6">
        <f t="shared" si="17"/>
        <v>-616.70000000000005</v>
      </c>
      <c r="M39" s="2"/>
      <c r="N39" s="7">
        <f t="shared" si="18"/>
        <v>-0.39338385384772406</v>
      </c>
      <c r="O39" s="11"/>
      <c r="P39" s="6">
        <v>13027.97</v>
      </c>
      <c r="Q39" s="2"/>
      <c r="R39" s="7">
        <f t="shared" si="19"/>
        <v>5.5095656925134668E-3</v>
      </c>
      <c r="S39" s="2"/>
      <c r="T39" s="6">
        <v>12761.51</v>
      </c>
      <c r="U39" s="2"/>
      <c r="V39" s="7">
        <f t="shared" si="20"/>
        <v>4.2788939408994727E-3</v>
      </c>
      <c r="W39" s="2"/>
      <c r="X39" s="6">
        <f t="shared" si="21"/>
        <v>266.45999999999913</v>
      </c>
      <c r="Y39" s="2"/>
      <c r="Z39" s="7">
        <f t="shared" si="22"/>
        <v>2.0879974235023843E-2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640.52</v>
      </c>
      <c r="E40" s="2"/>
      <c r="F40" s="7">
        <f t="shared" si="15"/>
        <v>22.585331452750353</v>
      </c>
      <c r="G40" s="2"/>
      <c r="H40" s="6">
        <v>1170.96</v>
      </c>
      <c r="I40" s="2"/>
      <c r="J40" s="7">
        <f t="shared" si="16"/>
        <v>5.5750241053042337E-3</v>
      </c>
      <c r="K40" s="2"/>
      <c r="L40" s="6">
        <f t="shared" si="17"/>
        <v>-530.44000000000005</v>
      </c>
      <c r="M40" s="2"/>
      <c r="N40" s="7">
        <f t="shared" si="18"/>
        <v>-0.45299583247933323</v>
      </c>
      <c r="O40" s="11"/>
      <c r="P40" s="6">
        <v>8872.94</v>
      </c>
      <c r="Q40" s="2"/>
      <c r="R40" s="7">
        <f t="shared" si="19"/>
        <v>3.7523916477955081E-3</v>
      </c>
      <c r="S40" s="2"/>
      <c r="T40" s="6">
        <v>10396.540000000001</v>
      </c>
      <c r="U40" s="2"/>
      <c r="V40" s="7">
        <f t="shared" si="20"/>
        <v>3.4859269798259772E-3</v>
      </c>
      <c r="W40" s="2"/>
      <c r="X40" s="6">
        <f t="shared" si="21"/>
        <v>-1523.6000000000004</v>
      </c>
      <c r="Y40" s="2"/>
      <c r="Z40" s="7">
        <f t="shared" si="22"/>
        <v>-0.14654875564370456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12.12</v>
      </c>
      <c r="E41" s="2"/>
      <c r="F41" s="7">
        <f t="shared" si="15"/>
        <v>0.42736248236953456</v>
      </c>
      <c r="G41" s="2"/>
      <c r="H41" s="6">
        <v>595.76</v>
      </c>
      <c r="I41" s="2"/>
      <c r="J41" s="7">
        <f t="shared" si="16"/>
        <v>2.836455866106485E-3</v>
      </c>
      <c r="K41" s="2"/>
      <c r="L41" s="6">
        <f t="shared" si="17"/>
        <v>-583.64</v>
      </c>
      <c r="M41" s="2"/>
      <c r="N41" s="7">
        <f t="shared" si="18"/>
        <v>-0.97965623741103802</v>
      </c>
      <c r="O41" s="11"/>
      <c r="P41" s="6">
        <v>5097.34</v>
      </c>
      <c r="Q41" s="2"/>
      <c r="R41" s="7">
        <f t="shared" si="19"/>
        <v>2.155679632903407E-3</v>
      </c>
      <c r="S41" s="2"/>
      <c r="T41" s="6">
        <v>5791.89</v>
      </c>
      <c r="U41" s="2"/>
      <c r="V41" s="7">
        <f t="shared" si="20"/>
        <v>1.9420023984118061E-3</v>
      </c>
      <c r="W41" s="2"/>
      <c r="X41" s="6">
        <f t="shared" si="21"/>
        <v>-694.55000000000018</v>
      </c>
      <c r="Y41" s="2"/>
      <c r="Z41" s="7">
        <f t="shared" si="22"/>
        <v>-0.1199176779945752</v>
      </c>
    </row>
    <row r="42" spans="1:26" s="27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8818.33</v>
      </c>
      <c r="E42" s="1"/>
      <c r="F42" s="5">
        <f t="shared" ref="F42:F48" si="23">IF(D$12=0,0,D42/D$12)</f>
        <v>310.94252468265165</v>
      </c>
      <c r="G42" s="1"/>
      <c r="H42" s="1">
        <f>SUM(OSRRefH22_1x_0)</f>
        <v>65982.789999999994</v>
      </c>
      <c r="I42" s="1"/>
      <c r="J42" s="5">
        <f t="shared" ref="J42:J48" si="24">IF(H$12=0,0,H42/H$12)</f>
        <v>0.31414877091038729</v>
      </c>
      <c r="K42" s="1"/>
      <c r="L42" s="1">
        <f t="shared" ref="L42:L48" si="25">+D42-H42</f>
        <v>-57164.459999999992</v>
      </c>
      <c r="M42" s="1"/>
      <c r="N42" s="5">
        <f t="shared" ref="N42:N48" si="26">IF(H42=0,0,L42/H42)</f>
        <v>-0.8663540902104927</v>
      </c>
      <c r="O42" s="13"/>
      <c r="P42" s="1">
        <f>SUM(OSRRefP22_1x_0)</f>
        <v>507809.64</v>
      </c>
      <c r="Q42" s="1"/>
      <c r="R42" s="5">
        <f t="shared" ref="R42:R48" si="27">IF(P$12=0,0,P42/P$12)</f>
        <v>0.21475414595455888</v>
      </c>
      <c r="S42" s="1"/>
      <c r="T42" s="1">
        <f>SUM(OSRRefT22_1x_0)</f>
        <v>618300.97000000009</v>
      </c>
      <c r="U42" s="1"/>
      <c r="V42" s="5">
        <f t="shared" ref="V42:V48" si="28">IF(T$12=0,0,T42/T$12)</f>
        <v>0.20731435967885203</v>
      </c>
      <c r="W42" s="1"/>
      <c r="X42" s="1">
        <f t="shared" ref="X42:X48" si="29">+P42-T42</f>
        <v>-110491.33000000007</v>
      </c>
      <c r="Y42" s="1"/>
      <c r="Z42" s="5">
        <f t="shared" ref="Z42:Z48" si="30">IF(T42=0,0,X42/T42)</f>
        <v>-0.1787015310682758</v>
      </c>
    </row>
    <row r="43" spans="1:26" s="24" customFormat="1" hidden="1" outlineLevel="2" x14ac:dyDescent="0.25">
      <c r="A43" s="26"/>
      <c r="B43" s="11" t="str">
        <f>CONCATENATE("          ", "6002", " - ", "STAFF SALARIES")</f>
        <v xml:space="preserve">          6002 - STAFF SALARIES</v>
      </c>
      <c r="C43" s="11"/>
      <c r="D43" s="6">
        <v>8818.33</v>
      </c>
      <c r="E43" s="2"/>
      <c r="F43" s="7">
        <f t="shared" si="23"/>
        <v>310.94252468265165</v>
      </c>
      <c r="G43" s="2"/>
      <c r="H43" s="6">
        <v>18233.099999999999</v>
      </c>
      <c r="I43" s="2"/>
      <c r="J43" s="7">
        <f t="shared" si="24"/>
        <v>8.6809089989771299E-2</v>
      </c>
      <c r="K43" s="2"/>
      <c r="L43" s="6">
        <f t="shared" si="25"/>
        <v>-9414.7699999999986</v>
      </c>
      <c r="M43" s="2"/>
      <c r="N43" s="7">
        <f t="shared" si="26"/>
        <v>-0.51635596799227779</v>
      </c>
      <c r="O43" s="11"/>
      <c r="P43" s="6">
        <v>161213.56</v>
      </c>
      <c r="Q43" s="2"/>
      <c r="R43" s="7">
        <f t="shared" si="27"/>
        <v>6.8177674598879287E-2</v>
      </c>
      <c r="S43" s="2"/>
      <c r="T43" s="6">
        <v>184839.18</v>
      </c>
      <c r="U43" s="2"/>
      <c r="V43" s="7">
        <f t="shared" si="28"/>
        <v>6.19759924446893E-2</v>
      </c>
      <c r="W43" s="2"/>
      <c r="X43" s="6">
        <f t="shared" si="29"/>
        <v>-23625.619999999995</v>
      </c>
      <c r="Y43" s="2"/>
      <c r="Z43" s="7">
        <f t="shared" si="30"/>
        <v>-0.12781716517028477</v>
      </c>
    </row>
    <row r="44" spans="1:26" s="24" customFormat="1" hidden="1" outlineLevel="2" x14ac:dyDescent="0.25">
      <c r="A44" s="26"/>
      <c r="B44" s="11" t="str">
        <f>CONCATENATE("          ", "6004", " - ", "STAFF HOURLY")</f>
        <v xml:space="preserve">          6004 - STAFF HOURLY</v>
      </c>
      <c r="C44" s="11"/>
      <c r="D44" s="6"/>
      <c r="E44" s="2"/>
      <c r="F44" s="7">
        <f t="shared" si="23"/>
        <v>0</v>
      </c>
      <c r="G44" s="2"/>
      <c r="H44" s="6"/>
      <c r="I44" s="2"/>
      <c r="J44" s="7">
        <f t="shared" si="24"/>
        <v>0</v>
      </c>
      <c r="K44" s="2"/>
      <c r="L44" s="6">
        <f t="shared" si="25"/>
        <v>0</v>
      </c>
      <c r="M44" s="2"/>
      <c r="N44" s="7">
        <f t="shared" si="26"/>
        <v>0</v>
      </c>
      <c r="O44" s="11"/>
      <c r="P44" s="6">
        <v>-3363.69</v>
      </c>
      <c r="Q44" s="2"/>
      <c r="R44" s="7">
        <f t="shared" si="27"/>
        <v>-1.4225141003740894E-3</v>
      </c>
      <c r="S44" s="2"/>
      <c r="T44" s="6"/>
      <c r="U44" s="2"/>
      <c r="V44" s="7">
        <f t="shared" si="28"/>
        <v>0</v>
      </c>
      <c r="W44" s="2"/>
      <c r="X44" s="6">
        <f t="shared" si="29"/>
        <v>-3363.69</v>
      </c>
      <c r="Y44" s="2"/>
      <c r="Z44" s="7">
        <f t="shared" si="30"/>
        <v>0</v>
      </c>
    </row>
    <row r="45" spans="1:26" s="24" customFormat="1" hidden="1" outlineLevel="2" x14ac:dyDescent="0.25">
      <c r="A45" s="26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3"/>
        <v>0</v>
      </c>
      <c r="G45" s="2"/>
      <c r="H45" s="6">
        <v>8689.5300000000007</v>
      </c>
      <c r="I45" s="2"/>
      <c r="J45" s="7">
        <f t="shared" si="24"/>
        <v>4.1371472307990279E-2</v>
      </c>
      <c r="K45" s="2"/>
      <c r="L45" s="6">
        <f t="shared" si="25"/>
        <v>-8689.5300000000007</v>
      </c>
      <c r="M45" s="2"/>
      <c r="N45" s="7">
        <f t="shared" si="26"/>
        <v>-1</v>
      </c>
      <c r="O45" s="11"/>
      <c r="P45" s="6">
        <v>67287.22</v>
      </c>
      <c r="Q45" s="2"/>
      <c r="R45" s="7">
        <f t="shared" si="27"/>
        <v>2.8455957363780083E-2</v>
      </c>
      <c r="S45" s="2"/>
      <c r="T45" s="6">
        <v>69428.960000000006</v>
      </c>
      <c r="U45" s="2"/>
      <c r="V45" s="7">
        <f t="shared" si="28"/>
        <v>2.3279310698103271E-2</v>
      </c>
      <c r="W45" s="2"/>
      <c r="X45" s="6">
        <f t="shared" si="29"/>
        <v>-2141.7400000000052</v>
      </c>
      <c r="Y45" s="2"/>
      <c r="Z45" s="7">
        <f t="shared" si="30"/>
        <v>-3.0847934349009478E-2</v>
      </c>
    </row>
    <row r="46" spans="1:26" s="24" customFormat="1" hidden="1" outlineLevel="2" x14ac:dyDescent="0.25">
      <c r="A46" s="26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3"/>
        <v>0</v>
      </c>
      <c r="G46" s="2"/>
      <c r="H46" s="6">
        <v>3791.82</v>
      </c>
      <c r="I46" s="2"/>
      <c r="J46" s="7">
        <f t="shared" si="24"/>
        <v>1.8053125557640482E-2</v>
      </c>
      <c r="K46" s="2"/>
      <c r="L46" s="6">
        <f t="shared" si="25"/>
        <v>-3791.82</v>
      </c>
      <c r="M46" s="2"/>
      <c r="N46" s="7">
        <f t="shared" si="26"/>
        <v>-1</v>
      </c>
      <c r="O46" s="11"/>
      <c r="P46" s="6">
        <v>21785.59</v>
      </c>
      <c r="Q46" s="2"/>
      <c r="R46" s="7">
        <f t="shared" si="27"/>
        <v>9.2131881832061679E-3</v>
      </c>
      <c r="S46" s="2"/>
      <c r="T46" s="6">
        <v>33754.519999999997</v>
      </c>
      <c r="U46" s="2"/>
      <c r="V46" s="7">
        <f t="shared" si="28"/>
        <v>1.1317783797212874E-2</v>
      </c>
      <c r="W46" s="2"/>
      <c r="X46" s="6">
        <f t="shared" si="29"/>
        <v>-11968.929999999997</v>
      </c>
      <c r="Y46" s="2"/>
      <c r="Z46" s="7">
        <f t="shared" si="30"/>
        <v>-0.35458747450711781</v>
      </c>
    </row>
    <row r="47" spans="1:26" s="24" customFormat="1" hidden="1" outlineLevel="2" x14ac:dyDescent="0.25">
      <c r="A47" s="26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23"/>
        <v>0</v>
      </c>
      <c r="G47" s="2"/>
      <c r="H47" s="6">
        <v>31006.26</v>
      </c>
      <c r="I47" s="2"/>
      <c r="J47" s="7">
        <f t="shared" si="24"/>
        <v>0.14762301608537476</v>
      </c>
      <c r="K47" s="2"/>
      <c r="L47" s="6">
        <f t="shared" si="25"/>
        <v>-31006.26</v>
      </c>
      <c r="M47" s="2"/>
      <c r="N47" s="7">
        <f t="shared" si="26"/>
        <v>-1</v>
      </c>
      <c r="O47" s="11"/>
      <c r="P47" s="6">
        <v>250050.06999999998</v>
      </c>
      <c r="Q47" s="2"/>
      <c r="R47" s="7">
        <f t="shared" si="27"/>
        <v>0.10574688820150728</v>
      </c>
      <c r="S47" s="2"/>
      <c r="T47" s="6">
        <v>303218.27</v>
      </c>
      <c r="U47" s="2"/>
      <c r="V47" s="7">
        <f t="shared" si="28"/>
        <v>0.10166812691233408</v>
      </c>
      <c r="W47" s="2"/>
      <c r="X47" s="6">
        <f t="shared" si="29"/>
        <v>-53168.200000000041</v>
      </c>
      <c r="Y47" s="2"/>
      <c r="Z47" s="7">
        <f t="shared" si="30"/>
        <v>-0.17534629427177997</v>
      </c>
    </row>
    <row r="48" spans="1:26" s="24" customFormat="1" hidden="1" outlineLevel="2" x14ac:dyDescent="0.25">
      <c r="A48" s="26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3"/>
        <v>0</v>
      </c>
      <c r="G48" s="2"/>
      <c r="H48" s="6">
        <v>4262.08</v>
      </c>
      <c r="I48" s="2"/>
      <c r="J48" s="7">
        <f t="shared" si="24"/>
        <v>2.0292066969610462E-2</v>
      </c>
      <c r="K48" s="2"/>
      <c r="L48" s="6">
        <f t="shared" si="25"/>
        <v>-4262.08</v>
      </c>
      <c r="M48" s="2"/>
      <c r="N48" s="7">
        <f t="shared" si="26"/>
        <v>-1</v>
      </c>
      <c r="O48" s="11"/>
      <c r="P48" s="6">
        <v>10836.89</v>
      </c>
      <c r="Q48" s="2"/>
      <c r="R48" s="7">
        <f t="shared" si="27"/>
        <v>4.582951707560139E-3</v>
      </c>
      <c r="S48" s="2"/>
      <c r="T48" s="6">
        <v>27060.04</v>
      </c>
      <c r="U48" s="2"/>
      <c r="V48" s="7">
        <f t="shared" si="28"/>
        <v>9.0731458265124881E-3</v>
      </c>
      <c r="W48" s="2"/>
      <c r="X48" s="6">
        <f t="shared" si="29"/>
        <v>-16223.150000000001</v>
      </c>
      <c r="Y48" s="2"/>
      <c r="Z48" s="7">
        <f t="shared" si="30"/>
        <v>-0.59952424312750463</v>
      </c>
    </row>
    <row r="49" spans="1:26" s="27" customFormat="1" outlineLevel="1" collapsed="1" x14ac:dyDescent="0.25">
      <c r="A49" s="25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0</v>
      </c>
      <c r="E49" s="1"/>
      <c r="F49" s="5">
        <f t="shared" ref="F49:F57" si="31">IF(D$12=0,0,D49/D$12)</f>
        <v>0</v>
      </c>
      <c r="G49" s="1"/>
      <c r="H49" s="1">
        <f>SUM(OSRRefH22_2x_0)</f>
        <v>994.47</v>
      </c>
      <c r="I49" s="1"/>
      <c r="J49" s="5">
        <f t="shared" ref="J49:J57" si="32">IF(H$12=0,0,H49/H$12)</f>
        <v>4.7347426231484427E-3</v>
      </c>
      <c r="K49" s="1"/>
      <c r="L49" s="1">
        <f t="shared" ref="L49:L57" si="33">+D49-H49</f>
        <v>-994.47</v>
      </c>
      <c r="M49" s="1"/>
      <c r="N49" s="5">
        <f t="shared" ref="N49:N57" si="34">IF(H49=0,0,L49/H49)</f>
        <v>-1</v>
      </c>
      <c r="O49" s="13"/>
      <c r="P49" s="1">
        <f>SUM(OSRRefP22_2x_0)</f>
        <v>3607.19</v>
      </c>
      <c r="Q49" s="1"/>
      <c r="R49" s="5">
        <f t="shared" ref="R49:R57" si="35">IF(P$12=0,0,P49/P$12)</f>
        <v>1.5254909452798596E-3</v>
      </c>
      <c r="S49" s="1"/>
      <c r="T49" s="1">
        <f>SUM(OSRRefT22_2x_0)</f>
        <v>5574.66</v>
      </c>
      <c r="U49" s="1"/>
      <c r="V49" s="5">
        <f t="shared" ref="V49:V57" si="36">IF(T$12=0,0,T49/T$12)</f>
        <v>1.8691658664667938E-3</v>
      </c>
      <c r="W49" s="1"/>
      <c r="X49" s="1">
        <f t="shared" ref="X49:X57" si="37">+P49-T49</f>
        <v>-1967.4699999999998</v>
      </c>
      <c r="Y49" s="1"/>
      <c r="Z49" s="5">
        <f t="shared" ref="Z49:Z57" si="38">IF(T49=0,0,X49/T49)</f>
        <v>-0.35293094107981471</v>
      </c>
    </row>
    <row r="50" spans="1:26" s="24" customFormat="1" hidden="1" outlineLevel="2" x14ac:dyDescent="0.25">
      <c r="A50" s="26"/>
      <c r="B50" s="11" t="str">
        <f>CONCATENATE("          ", "6362", " - ", "ADVERTISING EXPENSE")</f>
        <v xml:space="preserve">          6362 - ADVERTISING EXPENSE</v>
      </c>
      <c r="C50" s="11"/>
      <c r="D50" s="6"/>
      <c r="E50" s="2"/>
      <c r="F50" s="7">
        <f t="shared" si="31"/>
        <v>0</v>
      </c>
      <c r="G50" s="2"/>
      <c r="H50" s="6">
        <v>994.47</v>
      </c>
      <c r="I50" s="2"/>
      <c r="J50" s="7">
        <f t="shared" si="32"/>
        <v>4.7347426231484427E-3</v>
      </c>
      <c r="K50" s="2"/>
      <c r="L50" s="6">
        <f t="shared" si="33"/>
        <v>-994.47</v>
      </c>
      <c r="M50" s="2"/>
      <c r="N50" s="7">
        <f t="shared" si="34"/>
        <v>-1</v>
      </c>
      <c r="O50" s="11"/>
      <c r="P50" s="6">
        <v>3607.19</v>
      </c>
      <c r="Q50" s="2"/>
      <c r="R50" s="7">
        <f t="shared" si="35"/>
        <v>1.5254909452798596E-3</v>
      </c>
      <c r="S50" s="2"/>
      <c r="T50" s="6">
        <v>5574.66</v>
      </c>
      <c r="U50" s="2"/>
      <c r="V50" s="7">
        <f t="shared" si="36"/>
        <v>1.8691658664667938E-3</v>
      </c>
      <c r="W50" s="2"/>
      <c r="X50" s="6">
        <f t="shared" si="37"/>
        <v>-1967.4699999999998</v>
      </c>
      <c r="Y50" s="2"/>
      <c r="Z50" s="7">
        <f t="shared" si="38"/>
        <v>-0.35293094107981471</v>
      </c>
    </row>
    <row r="51" spans="1:26" s="27" customFormat="1" outlineLevel="1" collapsed="1" x14ac:dyDescent="0.25">
      <c r="A51" s="25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0</v>
      </c>
      <c r="E51" s="1"/>
      <c r="F51" s="5">
        <f t="shared" si="31"/>
        <v>0</v>
      </c>
      <c r="G51" s="1"/>
      <c r="H51" s="1">
        <f>SUM(OSRRefH22_3x_0)</f>
        <v>-152.54</v>
      </c>
      <c r="I51" s="1"/>
      <c r="J51" s="5">
        <f t="shared" si="32"/>
        <v>-7.262538233783457E-4</v>
      </c>
      <c r="K51" s="1"/>
      <c r="L51" s="1">
        <f t="shared" si="33"/>
        <v>152.54</v>
      </c>
      <c r="M51" s="1"/>
      <c r="N51" s="5">
        <f t="shared" si="34"/>
        <v>-1</v>
      </c>
      <c r="O51" s="13"/>
      <c r="P51" s="1">
        <f>SUM(OSRRefP22_3x_0)</f>
        <v>-428.92</v>
      </c>
      <c r="Q51" s="1"/>
      <c r="R51" s="5">
        <f t="shared" si="35"/>
        <v>-1.8139149206153194E-4</v>
      </c>
      <c r="S51" s="1"/>
      <c r="T51" s="1">
        <f>SUM(OSRRefT22_3x_0)</f>
        <v>-1168.3800000000001</v>
      </c>
      <c r="U51" s="1"/>
      <c r="V51" s="5">
        <f t="shared" si="36"/>
        <v>-3.9175411864803824E-4</v>
      </c>
      <c r="W51" s="1"/>
      <c r="X51" s="1">
        <f t="shared" si="37"/>
        <v>739.46</v>
      </c>
      <c r="Y51" s="1"/>
      <c r="Z51" s="5">
        <f t="shared" si="38"/>
        <v>-0.63289340796658622</v>
      </c>
    </row>
    <row r="52" spans="1:26" s="24" customFormat="1" hidden="1" outlineLevel="2" x14ac:dyDescent="0.25">
      <c r="A52" s="26"/>
      <c r="B52" s="11" t="str">
        <f>CONCATENATE("          ", "6272", " - ", "CASH (OVER/SHORT)")</f>
        <v xml:space="preserve">          6272 - CASH (OVER/SHORT)</v>
      </c>
      <c r="C52" s="11"/>
      <c r="D52" s="6"/>
      <c r="E52" s="2"/>
      <c r="F52" s="7">
        <f t="shared" si="31"/>
        <v>0</v>
      </c>
      <c r="G52" s="2"/>
      <c r="H52" s="6">
        <v>-152.54</v>
      </c>
      <c r="I52" s="2"/>
      <c r="J52" s="7">
        <f t="shared" si="32"/>
        <v>-7.262538233783457E-4</v>
      </c>
      <c r="K52" s="2"/>
      <c r="L52" s="6">
        <f t="shared" si="33"/>
        <v>152.54</v>
      </c>
      <c r="M52" s="2"/>
      <c r="N52" s="7">
        <f t="shared" si="34"/>
        <v>-1</v>
      </c>
      <c r="O52" s="11"/>
      <c r="P52" s="6">
        <v>-428.92</v>
      </c>
      <c r="Q52" s="2"/>
      <c r="R52" s="7">
        <f t="shared" si="35"/>
        <v>-1.8139149206153194E-4</v>
      </c>
      <c r="S52" s="2"/>
      <c r="T52" s="6">
        <v>-1168.3800000000001</v>
      </c>
      <c r="U52" s="2"/>
      <c r="V52" s="7">
        <f t="shared" si="36"/>
        <v>-3.9175411864803824E-4</v>
      </c>
      <c r="W52" s="2"/>
      <c r="X52" s="6">
        <f t="shared" si="37"/>
        <v>739.46</v>
      </c>
      <c r="Y52" s="2"/>
      <c r="Z52" s="7">
        <f t="shared" si="38"/>
        <v>-0.63289340796658622</v>
      </c>
    </row>
    <row r="53" spans="1:26" s="27" customFormat="1" outlineLevel="1" collapsed="1" x14ac:dyDescent="0.25">
      <c r="A53" s="25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60</v>
      </c>
      <c r="E53" s="1"/>
      <c r="F53" s="5">
        <f t="shared" si="31"/>
        <v>2.1156558533145278</v>
      </c>
      <c r="G53" s="1"/>
      <c r="H53" s="1">
        <f>SUM(OSRRefH22_4x_0)</f>
        <v>8821.69</v>
      </c>
      <c r="I53" s="1"/>
      <c r="J53" s="5">
        <f t="shared" si="32"/>
        <v>4.2000695497302475E-2</v>
      </c>
      <c r="K53" s="1"/>
      <c r="L53" s="1">
        <f t="shared" si="33"/>
        <v>-8761.69</v>
      </c>
      <c r="M53" s="1"/>
      <c r="N53" s="5">
        <f t="shared" si="34"/>
        <v>-0.99319858213108825</v>
      </c>
      <c r="O53" s="13"/>
      <c r="P53" s="1">
        <f>SUM(OSRRefP22_4x_0)</f>
        <v>89220.63</v>
      </c>
      <c r="Q53" s="1"/>
      <c r="R53" s="5">
        <f t="shared" si="35"/>
        <v>3.7731659046838291E-2</v>
      </c>
      <c r="S53" s="1"/>
      <c r="T53" s="1">
        <f>SUM(OSRRefT22_4x_0)</f>
        <v>98206.53</v>
      </c>
      <c r="U53" s="1"/>
      <c r="V53" s="5">
        <f t="shared" si="36"/>
        <v>3.2928338901412314E-2</v>
      </c>
      <c r="W53" s="1"/>
      <c r="X53" s="1">
        <f t="shared" si="37"/>
        <v>-8985.8999999999942</v>
      </c>
      <c r="Y53" s="1"/>
      <c r="Z53" s="5">
        <f t="shared" si="38"/>
        <v>-9.1500025507468746E-2</v>
      </c>
    </row>
    <row r="54" spans="1:26" s="24" customFormat="1" hidden="1" outlineLevel="2" x14ac:dyDescent="0.25">
      <c r="A54" s="26"/>
      <c r="B54" s="11" t="str">
        <f>CONCATENATE("          ", "6381", " - ", "BANK/CREDIT CARD FEES")</f>
        <v xml:space="preserve">          6381 - BANK/CREDIT CARD FEES</v>
      </c>
      <c r="C54" s="11"/>
      <c r="D54" s="6">
        <v>60</v>
      </c>
      <c r="E54" s="2"/>
      <c r="F54" s="7">
        <f t="shared" si="31"/>
        <v>2.1156558533145278</v>
      </c>
      <c r="G54" s="2"/>
      <c r="H54" s="6">
        <v>8821.69</v>
      </c>
      <c r="I54" s="2"/>
      <c r="J54" s="7">
        <f t="shared" si="32"/>
        <v>4.2000695497302475E-2</v>
      </c>
      <c r="K54" s="2"/>
      <c r="L54" s="6">
        <f t="shared" si="33"/>
        <v>-8761.69</v>
      </c>
      <c r="M54" s="2"/>
      <c r="N54" s="7">
        <f t="shared" si="34"/>
        <v>-0.99319858213108825</v>
      </c>
      <c r="O54" s="11"/>
      <c r="P54" s="6">
        <v>89220.63</v>
      </c>
      <c r="Q54" s="2"/>
      <c r="R54" s="7">
        <f t="shared" si="35"/>
        <v>3.7731659046838291E-2</v>
      </c>
      <c r="S54" s="2"/>
      <c r="T54" s="6">
        <v>98206.53</v>
      </c>
      <c r="U54" s="2"/>
      <c r="V54" s="7">
        <f t="shared" si="36"/>
        <v>3.2928338901412314E-2</v>
      </c>
      <c r="W54" s="2"/>
      <c r="X54" s="6">
        <f t="shared" si="37"/>
        <v>-8985.8999999999942</v>
      </c>
      <c r="Y54" s="2"/>
      <c r="Z54" s="7">
        <f t="shared" si="38"/>
        <v>-9.1500025507468746E-2</v>
      </c>
    </row>
    <row r="55" spans="1:26" s="27" customFormat="1" outlineLevel="1" collapsed="1" x14ac:dyDescent="0.25">
      <c r="A55" s="25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8990.73</v>
      </c>
      <c r="E55" s="1"/>
      <c r="F55" s="5">
        <f t="shared" si="31"/>
        <v>317.021509167842</v>
      </c>
      <c r="G55" s="1"/>
      <c r="H55" s="1">
        <f>SUM(OSRRefH22_5x_0)</f>
        <v>8655.27</v>
      </c>
      <c r="I55" s="1"/>
      <c r="J55" s="5">
        <f t="shared" si="32"/>
        <v>4.1208358003618037E-2</v>
      </c>
      <c r="K55" s="1"/>
      <c r="L55" s="1">
        <f t="shared" si="33"/>
        <v>335.45999999999913</v>
      </c>
      <c r="M55" s="1"/>
      <c r="N55" s="5">
        <f t="shared" si="34"/>
        <v>3.8757889701880946E-2</v>
      </c>
      <c r="O55" s="13"/>
      <c r="P55" s="1">
        <f>SUM(OSRRefP22_5x_0)</f>
        <v>94718.959999999992</v>
      </c>
      <c r="Q55" s="1"/>
      <c r="R55" s="5">
        <f t="shared" si="35"/>
        <v>4.0056918495095961E-2</v>
      </c>
      <c r="S55" s="1"/>
      <c r="T55" s="1">
        <f>SUM(OSRRefT22_5x_0)</f>
        <v>92899.35</v>
      </c>
      <c r="U55" s="1"/>
      <c r="V55" s="5">
        <f t="shared" si="36"/>
        <v>3.1148858232959851E-2</v>
      </c>
      <c r="W55" s="1"/>
      <c r="X55" s="1">
        <f t="shared" si="37"/>
        <v>1819.609999999986</v>
      </c>
      <c r="Y55" s="1"/>
      <c r="Z55" s="5">
        <f t="shared" si="38"/>
        <v>1.958689700197026E-2</v>
      </c>
    </row>
    <row r="56" spans="1:26" s="24" customFormat="1" hidden="1" outlineLevel="2" x14ac:dyDescent="0.25">
      <c r="A56" s="26"/>
      <c r="B56" s="11" t="str">
        <f>CONCATENATE("          ", "6321", " - ", "BUILDING DEPRECIATION")</f>
        <v xml:space="preserve">          6321 - BUILDING DEPRECIATION</v>
      </c>
      <c r="C56" s="11"/>
      <c r="D56" s="6">
        <v>5080.51</v>
      </c>
      <c r="E56" s="2"/>
      <c r="F56" s="7">
        <f t="shared" si="31"/>
        <v>179.14351198871651</v>
      </c>
      <c r="G56" s="2"/>
      <c r="H56" s="6">
        <v>5080.51</v>
      </c>
      <c r="I56" s="2"/>
      <c r="J56" s="7">
        <f t="shared" si="32"/>
        <v>2.4188670592709582E-2</v>
      </c>
      <c r="K56" s="2"/>
      <c r="L56" s="6">
        <f t="shared" si="33"/>
        <v>0</v>
      </c>
      <c r="M56" s="2"/>
      <c r="N56" s="7">
        <f t="shared" si="34"/>
        <v>0</v>
      </c>
      <c r="O56" s="11"/>
      <c r="P56" s="6">
        <v>55885.61</v>
      </c>
      <c r="Q56" s="2"/>
      <c r="R56" s="7">
        <f t="shared" si="35"/>
        <v>2.3634183956609323E-2</v>
      </c>
      <c r="S56" s="2"/>
      <c r="T56" s="6">
        <v>55885.61</v>
      </c>
      <c r="U56" s="2"/>
      <c r="V56" s="7">
        <f t="shared" si="36"/>
        <v>1.8738268278007147E-2</v>
      </c>
      <c r="W56" s="2"/>
      <c r="X56" s="6">
        <f t="shared" si="37"/>
        <v>0</v>
      </c>
      <c r="Y56" s="2"/>
      <c r="Z56" s="7">
        <f t="shared" si="38"/>
        <v>0</v>
      </c>
    </row>
    <row r="57" spans="1:26" s="24" customFormat="1" hidden="1" outlineLevel="2" x14ac:dyDescent="0.25">
      <c r="A57" s="26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3910.22</v>
      </c>
      <c r="E57" s="2"/>
      <c r="F57" s="7">
        <f t="shared" si="31"/>
        <v>137.87799717912552</v>
      </c>
      <c r="G57" s="2"/>
      <c r="H57" s="6">
        <v>3574.76</v>
      </c>
      <c r="I57" s="2"/>
      <c r="J57" s="7">
        <f t="shared" si="32"/>
        <v>1.7019687410908452E-2</v>
      </c>
      <c r="K57" s="2"/>
      <c r="L57" s="6">
        <f t="shared" si="33"/>
        <v>335.45999999999958</v>
      </c>
      <c r="M57" s="2"/>
      <c r="N57" s="7">
        <f t="shared" si="34"/>
        <v>9.384126486813088E-2</v>
      </c>
      <c r="O57" s="11"/>
      <c r="P57" s="6">
        <v>38833.35</v>
      </c>
      <c r="Q57" s="2"/>
      <c r="R57" s="7">
        <f t="shared" si="35"/>
        <v>1.6422734538486642E-2</v>
      </c>
      <c r="S57" s="2"/>
      <c r="T57" s="6">
        <v>37013.740000000005</v>
      </c>
      <c r="U57" s="2"/>
      <c r="V57" s="7">
        <f t="shared" si="36"/>
        <v>1.2410589954952703E-2</v>
      </c>
      <c r="W57" s="2"/>
      <c r="X57" s="6">
        <f t="shared" si="37"/>
        <v>1819.6099999999933</v>
      </c>
      <c r="Y57" s="2"/>
      <c r="Z57" s="7">
        <f t="shared" si="38"/>
        <v>4.9160392870323102E-2</v>
      </c>
    </row>
    <row r="58" spans="1:26" s="27" customFormat="1" outlineLevel="1" collapsed="1" x14ac:dyDescent="0.25">
      <c r="A58" s="25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0</v>
      </c>
      <c r="E58" s="1"/>
      <c r="F58" s="5">
        <f t="shared" ref="F58:F66" si="39">IF(D$12=0,0,D58/D$12)</f>
        <v>0</v>
      </c>
      <c r="G58" s="1"/>
      <c r="H58" s="1">
        <f>SUM(OSRRefH22_6x_0)</f>
        <v>6.33</v>
      </c>
      <c r="I58" s="1"/>
      <c r="J58" s="5">
        <f t="shared" ref="J58:J66" si="40">IF(H$12=0,0,H58/H$12)</f>
        <v>3.013758163094879E-5</v>
      </c>
      <c r="K58" s="1"/>
      <c r="L58" s="1">
        <f t="shared" ref="L58:L66" si="41">+D58-H58</f>
        <v>-6.33</v>
      </c>
      <c r="M58" s="1"/>
      <c r="N58" s="5">
        <f t="shared" ref="N58:N66" si="42">IF(H58=0,0,L58/H58)</f>
        <v>-1</v>
      </c>
      <c r="O58" s="13"/>
      <c r="P58" s="1">
        <f>SUM(OSRRefP22_6x_0)</f>
        <v>125.87</v>
      </c>
      <c r="Q58" s="1"/>
      <c r="R58" s="5">
        <f t="shared" ref="R58:R66" si="43">IF(P$12=0,0,P58/P$12)</f>
        <v>5.3230782210633746E-5</v>
      </c>
      <c r="S58" s="1"/>
      <c r="T58" s="1">
        <f>SUM(OSRRefT22_6x_0)</f>
        <v>134.54</v>
      </c>
      <c r="U58" s="1"/>
      <c r="V58" s="5">
        <f t="shared" ref="V58:V66" si="44">IF(T$12=0,0,T58/T$12)</f>
        <v>4.5110836476922796E-5</v>
      </c>
      <c r="W58" s="1"/>
      <c r="X58" s="1">
        <f t="shared" ref="X58:X66" si="45">+P58-T58</f>
        <v>-8.6699999999999875</v>
      </c>
      <c r="Y58" s="1"/>
      <c r="Z58" s="5">
        <f t="shared" ref="Z58:Z66" si="46">IF(T58=0,0,X58/T58)</f>
        <v>-6.4441801694663209E-2</v>
      </c>
    </row>
    <row r="59" spans="1:26" s="24" customFormat="1" hidden="1" outlineLevel="2" x14ac:dyDescent="0.25">
      <c r="A59" s="26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39"/>
        <v>0</v>
      </c>
      <c r="G59" s="2"/>
      <c r="H59" s="6">
        <v>6.33</v>
      </c>
      <c r="I59" s="2"/>
      <c r="J59" s="7">
        <f t="shared" si="40"/>
        <v>3.013758163094879E-5</v>
      </c>
      <c r="K59" s="2"/>
      <c r="L59" s="6">
        <f t="shared" si="41"/>
        <v>-6.33</v>
      </c>
      <c r="M59" s="2"/>
      <c r="N59" s="7">
        <f t="shared" si="42"/>
        <v>-1</v>
      </c>
      <c r="O59" s="11"/>
      <c r="P59" s="6">
        <v>125.87</v>
      </c>
      <c r="Q59" s="2"/>
      <c r="R59" s="7">
        <f t="shared" si="43"/>
        <v>5.3230782210633746E-5</v>
      </c>
      <c r="S59" s="2"/>
      <c r="T59" s="6">
        <v>134.54</v>
      </c>
      <c r="U59" s="2"/>
      <c r="V59" s="7">
        <f t="shared" si="44"/>
        <v>4.5110836476922796E-5</v>
      </c>
      <c r="W59" s="2"/>
      <c r="X59" s="6">
        <f t="shared" si="45"/>
        <v>-8.6699999999999875</v>
      </c>
      <c r="Y59" s="2"/>
      <c r="Z59" s="7">
        <f t="shared" si="46"/>
        <v>-6.4441801694663209E-2</v>
      </c>
    </row>
    <row r="60" spans="1:26" s="27" customFormat="1" outlineLevel="1" collapsed="1" x14ac:dyDescent="0.25">
      <c r="A60" s="25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39"/>
        <v>0</v>
      </c>
      <c r="G60" s="1"/>
      <c r="H60" s="1">
        <f>SUM(OSRRefH22_7x_0)</f>
        <v>96.5</v>
      </c>
      <c r="I60" s="1"/>
      <c r="J60" s="5">
        <f t="shared" si="40"/>
        <v>4.5944338505316879E-4</v>
      </c>
      <c r="K60" s="1"/>
      <c r="L60" s="1">
        <f t="shared" si="41"/>
        <v>-96.5</v>
      </c>
      <c r="M60" s="1"/>
      <c r="N60" s="5">
        <f t="shared" si="42"/>
        <v>-1</v>
      </c>
      <c r="O60" s="13"/>
      <c r="P60" s="1">
        <f>SUM(OSRRefP22_7x_0)</f>
        <v>163.84</v>
      </c>
      <c r="Q60" s="1"/>
      <c r="R60" s="5">
        <f t="shared" si="43"/>
        <v>6.9288403570272759E-5</v>
      </c>
      <c r="S60" s="1"/>
      <c r="T60" s="1">
        <f>SUM(OSRRefT22_7x_0)</f>
        <v>417.84</v>
      </c>
      <c r="U60" s="1"/>
      <c r="V60" s="5">
        <f t="shared" si="44"/>
        <v>1.4010043045575607E-4</v>
      </c>
      <c r="W60" s="1"/>
      <c r="X60" s="1">
        <f t="shared" si="45"/>
        <v>-253.99999999999997</v>
      </c>
      <c r="Y60" s="1"/>
      <c r="Z60" s="5">
        <f t="shared" si="46"/>
        <v>-0.60788818686578594</v>
      </c>
    </row>
    <row r="61" spans="1:26" s="24" customFormat="1" hidden="1" outlineLevel="2" x14ac:dyDescent="0.25">
      <c r="A61" s="26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39"/>
        <v>0</v>
      </c>
      <c r="G61" s="2"/>
      <c r="H61" s="6">
        <v>96.5</v>
      </c>
      <c r="I61" s="2"/>
      <c r="J61" s="7">
        <f t="shared" si="40"/>
        <v>4.5944338505316879E-4</v>
      </c>
      <c r="K61" s="2"/>
      <c r="L61" s="6">
        <f t="shared" si="41"/>
        <v>-96.5</v>
      </c>
      <c r="M61" s="2"/>
      <c r="N61" s="7">
        <f t="shared" si="42"/>
        <v>-1</v>
      </c>
      <c r="O61" s="11"/>
      <c r="P61" s="6">
        <v>163.84</v>
      </c>
      <c r="Q61" s="2"/>
      <c r="R61" s="7">
        <f t="shared" si="43"/>
        <v>6.9288403570272759E-5</v>
      </c>
      <c r="S61" s="2"/>
      <c r="T61" s="6">
        <v>417.84</v>
      </c>
      <c r="U61" s="2"/>
      <c r="V61" s="7">
        <f t="shared" si="44"/>
        <v>1.4010043045575607E-4</v>
      </c>
      <c r="W61" s="2"/>
      <c r="X61" s="6">
        <f t="shared" si="45"/>
        <v>-253.99999999999997</v>
      </c>
      <c r="Y61" s="2"/>
      <c r="Z61" s="7">
        <f t="shared" si="46"/>
        <v>-0.60788818686578594</v>
      </c>
    </row>
    <row r="62" spans="1:26" s="27" customFormat="1" outlineLevel="1" collapsed="1" x14ac:dyDescent="0.25">
      <c r="A62" s="25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SUM(OSRRefD22_8x_0)</f>
        <v>36.270000000000003</v>
      </c>
      <c r="E62" s="1"/>
      <c r="F62" s="5">
        <f t="shared" si="39"/>
        <v>1.2789139633286319</v>
      </c>
      <c r="G62" s="1"/>
      <c r="H62" s="1">
        <f>SUM(OSRRefH22_8x_0)</f>
        <v>140.79</v>
      </c>
      <c r="I62" s="1"/>
      <c r="J62" s="5">
        <f t="shared" si="40"/>
        <v>6.703112350428562E-4</v>
      </c>
      <c r="K62" s="1"/>
      <c r="L62" s="1">
        <f t="shared" si="41"/>
        <v>-104.51999999999998</v>
      </c>
      <c r="M62" s="1"/>
      <c r="N62" s="5">
        <f t="shared" si="42"/>
        <v>-0.74238227146814395</v>
      </c>
      <c r="O62" s="13"/>
      <c r="P62" s="1">
        <f>SUM(OSRRefP22_8x_0)</f>
        <v>986.12</v>
      </c>
      <c r="Q62" s="1"/>
      <c r="R62" s="5">
        <f t="shared" si="43"/>
        <v>4.1703296221140979E-4</v>
      </c>
      <c r="S62" s="1"/>
      <c r="T62" s="1">
        <f>SUM(OSRRefT22_8x_0)</f>
        <v>1336.21</v>
      </c>
      <c r="U62" s="1"/>
      <c r="V62" s="5">
        <f t="shared" si="44"/>
        <v>4.4802698683535759E-4</v>
      </c>
      <c r="W62" s="1"/>
      <c r="X62" s="1">
        <f t="shared" si="45"/>
        <v>-350.09000000000003</v>
      </c>
      <c r="Y62" s="1"/>
      <c r="Z62" s="5">
        <f t="shared" si="46"/>
        <v>-0.2620022301883686</v>
      </c>
    </row>
    <row r="63" spans="1:26" s="24" customFormat="1" hidden="1" outlineLevel="2" x14ac:dyDescent="0.25">
      <c r="A63" s="26"/>
      <c r="B63" s="11" t="str">
        <f>CONCATENATE("          ", "6351", " - ", "EQUIPMENT RENTAL")</f>
        <v xml:space="preserve">          6351 - EQUIPMENT RENTAL</v>
      </c>
      <c r="C63" s="11"/>
      <c r="D63" s="6">
        <v>36.270000000000003</v>
      </c>
      <c r="E63" s="2"/>
      <c r="F63" s="7">
        <f t="shared" si="39"/>
        <v>1.2789139633286319</v>
      </c>
      <c r="G63" s="2"/>
      <c r="H63" s="6">
        <v>140.79</v>
      </c>
      <c r="I63" s="2"/>
      <c r="J63" s="7">
        <f t="shared" si="40"/>
        <v>6.703112350428562E-4</v>
      </c>
      <c r="K63" s="2"/>
      <c r="L63" s="6">
        <f t="shared" si="41"/>
        <v>-104.51999999999998</v>
      </c>
      <c r="M63" s="2"/>
      <c r="N63" s="7">
        <f t="shared" si="42"/>
        <v>-0.74238227146814395</v>
      </c>
      <c r="O63" s="11"/>
      <c r="P63" s="6">
        <v>986.12</v>
      </c>
      <c r="Q63" s="2"/>
      <c r="R63" s="7">
        <f t="shared" si="43"/>
        <v>4.1703296221140979E-4</v>
      </c>
      <c r="S63" s="2"/>
      <c r="T63" s="6">
        <v>1336.21</v>
      </c>
      <c r="U63" s="2"/>
      <c r="V63" s="7">
        <f t="shared" si="44"/>
        <v>4.4802698683535759E-4</v>
      </c>
      <c r="W63" s="2"/>
      <c r="X63" s="6">
        <f t="shared" si="45"/>
        <v>-350.09000000000003</v>
      </c>
      <c r="Y63" s="2"/>
      <c r="Z63" s="7">
        <f t="shared" si="46"/>
        <v>-0.2620022301883686</v>
      </c>
    </row>
    <row r="64" spans="1:26" s="27" customFormat="1" outlineLevel="1" collapsed="1" x14ac:dyDescent="0.25">
      <c r="A64" s="25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SUM(OSRRefD22_9x_0)</f>
        <v>0</v>
      </c>
      <c r="E64" s="1"/>
      <c r="F64" s="5">
        <f t="shared" si="39"/>
        <v>0</v>
      </c>
      <c r="G64" s="1"/>
      <c r="H64" s="1">
        <f>SUM(OSRRefH22_9x_0)</f>
        <v>79.33</v>
      </c>
      <c r="I64" s="1"/>
      <c r="J64" s="5">
        <f t="shared" si="40"/>
        <v>3.7769579001313862E-4</v>
      </c>
      <c r="K64" s="1"/>
      <c r="L64" s="1">
        <f t="shared" si="41"/>
        <v>-79.33</v>
      </c>
      <c r="M64" s="1"/>
      <c r="N64" s="5">
        <f t="shared" si="42"/>
        <v>-1</v>
      </c>
      <c r="O64" s="13"/>
      <c r="P64" s="1">
        <f>SUM(OSRRefP22_9x_0)</f>
        <v>331.18</v>
      </c>
      <c r="Q64" s="1"/>
      <c r="R64" s="5">
        <f t="shared" si="43"/>
        <v>1.4005696712892415E-4</v>
      </c>
      <c r="S64" s="1"/>
      <c r="T64" s="1">
        <f>SUM(OSRRefT22_9x_0)</f>
        <v>580.81000000000006</v>
      </c>
      <c r="U64" s="1"/>
      <c r="V64" s="5">
        <f t="shared" si="44"/>
        <v>1.9474375601428225E-4</v>
      </c>
      <c r="W64" s="1"/>
      <c r="X64" s="1">
        <f t="shared" si="45"/>
        <v>-249.63000000000005</v>
      </c>
      <c r="Y64" s="1"/>
      <c r="Z64" s="5">
        <f t="shared" si="46"/>
        <v>-0.42979631893390269</v>
      </c>
    </row>
    <row r="65" spans="1:26" s="24" customFormat="1" hidden="1" outlineLevel="2" x14ac:dyDescent="0.25">
      <c r="A65" s="26"/>
      <c r="B65" s="11" t="str">
        <f>CONCATENATE("          ", "6305", " - ", "FREIGHT OUT")</f>
        <v xml:space="preserve">          6305 - FREIGHT OUT</v>
      </c>
      <c r="C65" s="11"/>
      <c r="D65" s="6"/>
      <c r="E65" s="2"/>
      <c r="F65" s="7">
        <f t="shared" si="39"/>
        <v>0</v>
      </c>
      <c r="G65" s="2"/>
      <c r="H65" s="6">
        <v>79.33</v>
      </c>
      <c r="I65" s="2"/>
      <c r="J65" s="7">
        <f t="shared" si="40"/>
        <v>3.7769579001313862E-4</v>
      </c>
      <c r="K65" s="2"/>
      <c r="L65" s="6">
        <f t="shared" si="41"/>
        <v>-79.33</v>
      </c>
      <c r="M65" s="2"/>
      <c r="N65" s="7">
        <f t="shared" si="42"/>
        <v>-1</v>
      </c>
      <c r="O65" s="11"/>
      <c r="P65" s="6">
        <v>331.18</v>
      </c>
      <c r="Q65" s="2"/>
      <c r="R65" s="7">
        <f t="shared" si="43"/>
        <v>1.4005696712892415E-4</v>
      </c>
      <c r="S65" s="2"/>
      <c r="T65" s="6">
        <v>588.74</v>
      </c>
      <c r="U65" s="2"/>
      <c r="V65" s="7">
        <f t="shared" si="44"/>
        <v>1.9740265993328028E-4</v>
      </c>
      <c r="W65" s="2"/>
      <c r="X65" s="6">
        <f t="shared" si="45"/>
        <v>-257.56</v>
      </c>
      <c r="Y65" s="2"/>
      <c r="Z65" s="7">
        <f t="shared" si="46"/>
        <v>-0.43747664503855693</v>
      </c>
    </row>
    <row r="66" spans="1:26" s="24" customFormat="1" hidden="1" outlineLevel="2" x14ac:dyDescent="0.25">
      <c r="A66" s="26"/>
      <c r="B66" s="11" t="str">
        <f>CONCATENATE("          ", "6307", " - ", "POSTAGE")</f>
        <v xml:space="preserve">          6307 - POSTAGE</v>
      </c>
      <c r="C66" s="11"/>
      <c r="D66" s="6"/>
      <c r="E66" s="2"/>
      <c r="F66" s="7">
        <f t="shared" si="39"/>
        <v>0</v>
      </c>
      <c r="G66" s="2"/>
      <c r="H66" s="6"/>
      <c r="I66" s="2"/>
      <c r="J66" s="7">
        <f t="shared" si="40"/>
        <v>0</v>
      </c>
      <c r="K66" s="2"/>
      <c r="L66" s="6">
        <f t="shared" si="41"/>
        <v>0</v>
      </c>
      <c r="M66" s="2"/>
      <c r="N66" s="7">
        <f t="shared" si="42"/>
        <v>0</v>
      </c>
      <c r="O66" s="11"/>
      <c r="P66" s="6"/>
      <c r="Q66" s="2"/>
      <c r="R66" s="7">
        <f t="shared" si="43"/>
        <v>0</v>
      </c>
      <c r="S66" s="2"/>
      <c r="T66" s="6">
        <v>-7.93</v>
      </c>
      <c r="U66" s="2"/>
      <c r="V66" s="7">
        <f t="shared" si="44"/>
        <v>-2.658903918998051E-6</v>
      </c>
      <c r="W66" s="2"/>
      <c r="X66" s="6">
        <f t="shared" si="45"/>
        <v>7.93</v>
      </c>
      <c r="Y66" s="2"/>
      <c r="Z66" s="7">
        <f t="shared" si="46"/>
        <v>-1</v>
      </c>
    </row>
    <row r="67" spans="1:26" s="27" customFormat="1" outlineLevel="1" collapsed="1" x14ac:dyDescent="0.25">
      <c r="A67" s="25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SUM(OSRRefD22_10x_0)</f>
        <v>0</v>
      </c>
      <c r="E67" s="1"/>
      <c r="F67" s="5">
        <f t="shared" ref="F67:F78" si="47">IF(D$12=0,0,D67/D$12)</f>
        <v>0</v>
      </c>
      <c r="G67" s="1"/>
      <c r="H67" s="1">
        <f>SUM(OSRRefH22_10x_0)</f>
        <v>339.11</v>
      </c>
      <c r="I67" s="1"/>
      <c r="J67" s="5">
        <f t="shared" ref="J67:J78" si="48">IF(H$12=0,0,H67/H$12)</f>
        <v>1.6145269047189645E-3</v>
      </c>
      <c r="K67" s="1"/>
      <c r="L67" s="1">
        <f t="shared" ref="L67:L78" si="49">+D67-H67</f>
        <v>-339.11</v>
      </c>
      <c r="M67" s="1"/>
      <c r="N67" s="5">
        <f t="shared" ref="N67:N78" si="50">IF(H67=0,0,L67/H67)</f>
        <v>-1</v>
      </c>
      <c r="O67" s="13"/>
      <c r="P67" s="1">
        <f>SUM(OSRRefP22_10x_0)</f>
        <v>10781.14</v>
      </c>
      <c r="Q67" s="1"/>
      <c r="R67" s="5">
        <f t="shared" ref="R67:R78" si="51">IF(P$12=0,0,P67/P$12)</f>
        <v>4.5593748734595362E-3</v>
      </c>
      <c r="S67" s="1"/>
      <c r="T67" s="1">
        <f>SUM(OSRRefT22_10x_0)</f>
        <v>8267.4699999999993</v>
      </c>
      <c r="U67" s="1"/>
      <c r="V67" s="5">
        <f t="shared" ref="V67:V78" si="52">IF(T$12=0,0,T67/T$12)</f>
        <v>2.7720565426480222E-3</v>
      </c>
      <c r="W67" s="1"/>
      <c r="X67" s="1">
        <f t="shared" ref="X67:X78" si="53">+P67-T67</f>
        <v>2513.67</v>
      </c>
      <c r="Y67" s="1"/>
      <c r="Z67" s="5">
        <f t="shared" ref="Z67:Z78" si="54">IF(T67=0,0,X67/T67)</f>
        <v>0.30404343771431891</v>
      </c>
    </row>
    <row r="68" spans="1:26" s="24" customFormat="1" hidden="1" outlineLevel="2" x14ac:dyDescent="0.25">
      <c r="A68" s="26"/>
      <c r="B68" s="11" t="str">
        <f>CONCATENATE("          ", "6279", " - ", "GENERAL EXPENSE")</f>
        <v xml:space="preserve">          6279 - GENERAL EXPENSE</v>
      </c>
      <c r="C68" s="11"/>
      <c r="D68" s="6"/>
      <c r="E68" s="2"/>
      <c r="F68" s="7">
        <f t="shared" si="47"/>
        <v>0</v>
      </c>
      <c r="G68" s="2"/>
      <c r="H68" s="6">
        <v>339.11</v>
      </c>
      <c r="I68" s="2"/>
      <c r="J68" s="7">
        <f t="shared" si="48"/>
        <v>1.6145269047189645E-3</v>
      </c>
      <c r="K68" s="2"/>
      <c r="L68" s="6">
        <f t="shared" si="49"/>
        <v>-339.11</v>
      </c>
      <c r="M68" s="2"/>
      <c r="N68" s="7">
        <f t="shared" si="50"/>
        <v>-1</v>
      </c>
      <c r="O68" s="11"/>
      <c r="P68" s="6">
        <v>10781.14</v>
      </c>
      <c r="Q68" s="2"/>
      <c r="R68" s="7">
        <f t="shared" si="51"/>
        <v>4.5593748734595362E-3</v>
      </c>
      <c r="S68" s="2"/>
      <c r="T68" s="6">
        <v>8267.4699999999993</v>
      </c>
      <c r="U68" s="2"/>
      <c r="V68" s="7">
        <f t="shared" si="52"/>
        <v>2.7720565426480222E-3</v>
      </c>
      <c r="W68" s="2"/>
      <c r="X68" s="6">
        <f t="shared" si="53"/>
        <v>2513.67</v>
      </c>
      <c r="Y68" s="2"/>
      <c r="Z68" s="7">
        <f t="shared" si="54"/>
        <v>0.30404343771431891</v>
      </c>
    </row>
    <row r="69" spans="1:26" s="27" customFormat="1" outlineLevel="1" collapsed="1" x14ac:dyDescent="0.25">
      <c r="A69" s="25"/>
      <c r="B69" s="13" t="str">
        <f>CONCATENATE("     ","Insurance                                         ")</f>
        <v xml:space="preserve">     Insurance                                         </v>
      </c>
      <c r="C69" s="13"/>
      <c r="D69" s="1">
        <f>SUM(OSRRefD22_11x_0)</f>
        <v>243.54</v>
      </c>
      <c r="E69" s="1"/>
      <c r="F69" s="5">
        <f t="shared" si="47"/>
        <v>8.5874471086036674</v>
      </c>
      <c r="G69" s="1"/>
      <c r="H69" s="1">
        <f>SUM(OSRRefH22_11x_0)</f>
        <v>229.44</v>
      </c>
      <c r="I69" s="1"/>
      <c r="J69" s="5">
        <f t="shared" si="48"/>
        <v>1.0923802100165703E-3</v>
      </c>
      <c r="K69" s="1"/>
      <c r="L69" s="1">
        <f t="shared" si="49"/>
        <v>14.099999999999994</v>
      </c>
      <c r="M69" s="1"/>
      <c r="N69" s="5">
        <f t="shared" si="50"/>
        <v>6.1453974895397466E-2</v>
      </c>
      <c r="O69" s="13"/>
      <c r="P69" s="1">
        <f>SUM(OSRRefP22_11x_0)</f>
        <v>2678.94</v>
      </c>
      <c r="Q69" s="1"/>
      <c r="R69" s="5">
        <f t="shared" si="51"/>
        <v>1.1329313712191561E-3</v>
      </c>
      <c r="S69" s="1"/>
      <c r="T69" s="1">
        <f>SUM(OSRRefT22_11x_0)</f>
        <v>2114.4499999999998</v>
      </c>
      <c r="U69" s="1"/>
      <c r="V69" s="5">
        <f t="shared" si="52"/>
        <v>7.0896839741808686E-4</v>
      </c>
      <c r="W69" s="1"/>
      <c r="X69" s="1">
        <f t="shared" si="53"/>
        <v>564.49000000000024</v>
      </c>
      <c r="Y69" s="1"/>
      <c r="Z69" s="5">
        <f t="shared" si="54"/>
        <v>0.26696776939629702</v>
      </c>
    </row>
    <row r="70" spans="1:26" s="24" customFormat="1" hidden="1" outlineLevel="2" x14ac:dyDescent="0.25">
      <c r="A70" s="26"/>
      <c r="B70" s="11" t="str">
        <f>CONCATENATE("          ", "6314", " - ", "LIABILITY INSURANCE")</f>
        <v xml:space="preserve">          6314 - LIABILITY INSURANCE</v>
      </c>
      <c r="C70" s="11"/>
      <c r="D70" s="6">
        <v>243.54</v>
      </c>
      <c r="E70" s="2"/>
      <c r="F70" s="7">
        <f t="shared" si="47"/>
        <v>8.5874471086036674</v>
      </c>
      <c r="G70" s="2"/>
      <c r="H70" s="6">
        <v>229.44</v>
      </c>
      <c r="I70" s="2"/>
      <c r="J70" s="7">
        <f t="shared" si="48"/>
        <v>1.0923802100165703E-3</v>
      </c>
      <c r="K70" s="2"/>
      <c r="L70" s="6">
        <f t="shared" si="49"/>
        <v>14.099999999999994</v>
      </c>
      <c r="M70" s="2"/>
      <c r="N70" s="7">
        <f t="shared" si="50"/>
        <v>6.1453974895397466E-2</v>
      </c>
      <c r="O70" s="11"/>
      <c r="P70" s="6">
        <v>2678.94</v>
      </c>
      <c r="Q70" s="2"/>
      <c r="R70" s="7">
        <f t="shared" si="51"/>
        <v>1.1329313712191561E-3</v>
      </c>
      <c r="S70" s="2"/>
      <c r="T70" s="6">
        <v>2114.4499999999998</v>
      </c>
      <c r="U70" s="2"/>
      <c r="V70" s="7">
        <f t="shared" si="52"/>
        <v>7.0896839741808686E-4</v>
      </c>
      <c r="W70" s="2"/>
      <c r="X70" s="6">
        <f t="shared" si="53"/>
        <v>564.49000000000024</v>
      </c>
      <c r="Y70" s="2"/>
      <c r="Z70" s="7">
        <f t="shared" si="54"/>
        <v>0.26696776939629702</v>
      </c>
    </row>
    <row r="71" spans="1:26" s="27" customFormat="1" outlineLevel="1" collapsed="1" x14ac:dyDescent="0.25">
      <c r="A71" s="25"/>
      <c r="B71" s="13" t="str">
        <f>CONCATENATE("     ","Interest                                          ")</f>
        <v xml:space="preserve">     Interest                                          </v>
      </c>
      <c r="C71" s="13"/>
      <c r="D71" s="1">
        <f>SUM(OSRRefD22_12x_0)</f>
        <v>4175</v>
      </c>
      <c r="E71" s="1"/>
      <c r="F71" s="5">
        <f t="shared" si="47"/>
        <v>147.21438645980254</v>
      </c>
      <c r="G71" s="1"/>
      <c r="H71" s="1">
        <f>SUM(OSRRefH22_12x_0)</f>
        <v>4280</v>
      </c>
      <c r="I71" s="1"/>
      <c r="J71" s="5">
        <f t="shared" si="48"/>
        <v>2.0377385368161267E-2</v>
      </c>
      <c r="K71" s="1"/>
      <c r="L71" s="1">
        <f t="shared" si="49"/>
        <v>-105</v>
      </c>
      <c r="M71" s="1"/>
      <c r="N71" s="5">
        <f t="shared" si="50"/>
        <v>-2.4532710280373831E-2</v>
      </c>
      <c r="O71" s="13"/>
      <c r="P71" s="1">
        <f>SUM(OSRRefP22_12x_0)</f>
        <v>44668.77</v>
      </c>
      <c r="Q71" s="1"/>
      <c r="R71" s="5">
        <f t="shared" si="51"/>
        <v>1.8890550309739334E-2</v>
      </c>
      <c r="S71" s="1"/>
      <c r="T71" s="1">
        <f>SUM(OSRRefT22_12x_0)</f>
        <v>46235.4</v>
      </c>
      <c r="U71" s="1"/>
      <c r="V71" s="5">
        <f t="shared" si="52"/>
        <v>1.5502583386688839E-2</v>
      </c>
      <c r="W71" s="1"/>
      <c r="X71" s="1">
        <f t="shared" si="53"/>
        <v>-1566.6300000000047</v>
      </c>
      <c r="Y71" s="1"/>
      <c r="Z71" s="5">
        <f t="shared" si="54"/>
        <v>-3.3883777365395447E-2</v>
      </c>
    </row>
    <row r="72" spans="1:26" s="24" customFormat="1" hidden="1" outlineLevel="2" x14ac:dyDescent="0.25">
      <c r="A72" s="26"/>
      <c r="B72" s="11" t="str">
        <f>CONCATENATE("          ", "6401", " - ", "INTEREST EXPENSE")</f>
        <v xml:space="preserve">          6401 - INTEREST EXPENSE</v>
      </c>
      <c r="C72" s="11"/>
      <c r="D72" s="6">
        <v>4175</v>
      </c>
      <c r="E72" s="2"/>
      <c r="F72" s="7">
        <f t="shared" si="47"/>
        <v>147.21438645980254</v>
      </c>
      <c r="G72" s="2"/>
      <c r="H72" s="6">
        <v>4280</v>
      </c>
      <c r="I72" s="2"/>
      <c r="J72" s="7">
        <f t="shared" si="48"/>
        <v>2.0377385368161267E-2</v>
      </c>
      <c r="K72" s="2"/>
      <c r="L72" s="6">
        <f t="shared" si="49"/>
        <v>-105</v>
      </c>
      <c r="M72" s="2"/>
      <c r="N72" s="7">
        <f t="shared" si="50"/>
        <v>-2.4532710280373831E-2</v>
      </c>
      <c r="O72" s="11"/>
      <c r="P72" s="6">
        <v>44668.77</v>
      </c>
      <c r="Q72" s="2"/>
      <c r="R72" s="7">
        <f t="shared" si="51"/>
        <v>1.8890550309739334E-2</v>
      </c>
      <c r="S72" s="2"/>
      <c r="T72" s="6">
        <v>46235.4</v>
      </c>
      <c r="U72" s="2"/>
      <c r="V72" s="7">
        <f t="shared" si="52"/>
        <v>1.5502583386688839E-2</v>
      </c>
      <c r="W72" s="2"/>
      <c r="X72" s="6">
        <f t="shared" si="53"/>
        <v>-1566.6300000000047</v>
      </c>
      <c r="Y72" s="2"/>
      <c r="Z72" s="7">
        <f t="shared" si="54"/>
        <v>-3.3883777365395447E-2</v>
      </c>
    </row>
    <row r="73" spans="1:26" s="27" customFormat="1" outlineLevel="1" collapsed="1" x14ac:dyDescent="0.25">
      <c r="A73" s="25"/>
      <c r="B73" s="13" t="str">
        <f>CONCATENATE("     ","Rent                                              ")</f>
        <v xml:space="preserve">     Rent                                              </v>
      </c>
      <c r="C73" s="13"/>
      <c r="D73" s="1">
        <f>SUM(OSRRefD22_13x_0)</f>
        <v>1150</v>
      </c>
      <c r="E73" s="1"/>
      <c r="F73" s="5">
        <f t="shared" si="47"/>
        <v>40.550070521861777</v>
      </c>
      <c r="G73" s="1"/>
      <c r="H73" s="1">
        <f>SUM(OSRRefH22_13x_0)</f>
        <v>1150</v>
      </c>
      <c r="I73" s="1"/>
      <c r="J73" s="5">
        <f t="shared" si="48"/>
        <v>5.475232049856415E-3</v>
      </c>
      <c r="K73" s="1"/>
      <c r="L73" s="1">
        <f t="shared" si="49"/>
        <v>0</v>
      </c>
      <c r="M73" s="1"/>
      <c r="N73" s="5">
        <f t="shared" si="50"/>
        <v>0</v>
      </c>
      <c r="O73" s="13"/>
      <c r="P73" s="1">
        <f>SUM(OSRRefP22_13x_0)</f>
        <v>12650</v>
      </c>
      <c r="Q73" s="1"/>
      <c r="R73" s="5">
        <f t="shared" si="51"/>
        <v>5.3497211008541896E-3</v>
      </c>
      <c r="S73" s="1"/>
      <c r="T73" s="1">
        <f>SUM(OSRRefT22_13x_0)</f>
        <v>12650</v>
      </c>
      <c r="U73" s="1"/>
      <c r="V73" s="5">
        <f t="shared" si="52"/>
        <v>4.2415049905832718E-3</v>
      </c>
      <c r="W73" s="1"/>
      <c r="X73" s="1">
        <f t="shared" si="53"/>
        <v>0</v>
      </c>
      <c r="Y73" s="1"/>
      <c r="Z73" s="5">
        <f t="shared" si="54"/>
        <v>0</v>
      </c>
    </row>
    <row r="74" spans="1:26" s="24" customFormat="1" hidden="1" outlineLevel="2" x14ac:dyDescent="0.25">
      <c r="A74" s="26"/>
      <c r="B74" s="11" t="str">
        <f>CONCATENATE("          ", "6273", " - ", "RENT")</f>
        <v xml:space="preserve">          6273 - RENT</v>
      </c>
      <c r="C74" s="11"/>
      <c r="D74" s="6">
        <v>1150</v>
      </c>
      <c r="E74" s="2"/>
      <c r="F74" s="7">
        <f t="shared" si="47"/>
        <v>40.550070521861777</v>
      </c>
      <c r="G74" s="2"/>
      <c r="H74" s="6">
        <v>1150</v>
      </c>
      <c r="I74" s="2"/>
      <c r="J74" s="7">
        <f t="shared" si="48"/>
        <v>5.475232049856415E-3</v>
      </c>
      <c r="K74" s="2"/>
      <c r="L74" s="6">
        <f t="shared" si="49"/>
        <v>0</v>
      </c>
      <c r="M74" s="2"/>
      <c r="N74" s="7">
        <f t="shared" si="50"/>
        <v>0</v>
      </c>
      <c r="O74" s="11"/>
      <c r="P74" s="6">
        <v>12650</v>
      </c>
      <c r="Q74" s="2"/>
      <c r="R74" s="7">
        <f t="shared" si="51"/>
        <v>5.3497211008541896E-3</v>
      </c>
      <c r="S74" s="2"/>
      <c r="T74" s="6">
        <v>12650</v>
      </c>
      <c r="U74" s="2"/>
      <c r="V74" s="7">
        <f t="shared" si="52"/>
        <v>4.2415049905832718E-3</v>
      </c>
      <c r="W74" s="2"/>
      <c r="X74" s="6">
        <f t="shared" si="53"/>
        <v>0</v>
      </c>
      <c r="Y74" s="2"/>
      <c r="Z74" s="7">
        <f t="shared" si="54"/>
        <v>0</v>
      </c>
    </row>
    <row r="75" spans="1:26" s="27" customFormat="1" outlineLevel="1" collapsed="1" x14ac:dyDescent="0.25">
      <c r="A75" s="25"/>
      <c r="B75" s="13" t="str">
        <f>CONCATENATE("     ","Repair and Maintenance                            ")</f>
        <v xml:space="preserve">     Repair and Maintenance                            </v>
      </c>
      <c r="C75" s="13"/>
      <c r="D75" s="1">
        <f>SUM(OSRRefD22_14x_0)</f>
        <v>102.5</v>
      </c>
      <c r="E75" s="1"/>
      <c r="F75" s="5">
        <f t="shared" si="47"/>
        <v>3.6142454160789845</v>
      </c>
      <c r="G75" s="1"/>
      <c r="H75" s="1">
        <f>SUM(OSRRefH22_14x_0)</f>
        <v>1268.75</v>
      </c>
      <c r="I75" s="1"/>
      <c r="J75" s="5">
        <f t="shared" si="48"/>
        <v>6.0406092723959363E-3</v>
      </c>
      <c r="K75" s="1"/>
      <c r="L75" s="1">
        <f t="shared" si="49"/>
        <v>-1166.25</v>
      </c>
      <c r="M75" s="1"/>
      <c r="N75" s="5">
        <f t="shared" si="50"/>
        <v>-0.91921182266009849</v>
      </c>
      <c r="O75" s="13"/>
      <c r="P75" s="1">
        <f>SUM(OSRRefP22_14x_0)</f>
        <v>17615.409999999996</v>
      </c>
      <c r="Q75" s="1"/>
      <c r="R75" s="5">
        <f t="shared" si="51"/>
        <v>7.4496071602527967E-3</v>
      </c>
      <c r="S75" s="1"/>
      <c r="T75" s="1">
        <f>SUM(OSRRefT22_14x_0)</f>
        <v>14674.18</v>
      </c>
      <c r="U75" s="1"/>
      <c r="V75" s="5">
        <f t="shared" si="52"/>
        <v>4.9202061425072914E-3</v>
      </c>
      <c r="W75" s="1"/>
      <c r="X75" s="1">
        <f t="shared" si="53"/>
        <v>2941.2299999999959</v>
      </c>
      <c r="Y75" s="1"/>
      <c r="Z75" s="5">
        <f t="shared" si="54"/>
        <v>0.20043573133217638</v>
      </c>
    </row>
    <row r="76" spans="1:26" s="24" customFormat="1" hidden="1" outlineLevel="2" x14ac:dyDescent="0.25">
      <c r="A76" s="26"/>
      <c r="B76" s="11" t="str">
        <f>CONCATENATE("          ", "6371", " - ", "COMPUTER SOFTWARE MAINTENANCE")</f>
        <v xml:space="preserve">          6371 - COMPUTER SOFTWARE MAINTENANCE</v>
      </c>
      <c r="C76" s="11"/>
      <c r="D76" s="6"/>
      <c r="E76" s="2"/>
      <c r="F76" s="7">
        <f t="shared" si="47"/>
        <v>0</v>
      </c>
      <c r="G76" s="2"/>
      <c r="H76" s="6"/>
      <c r="I76" s="2"/>
      <c r="J76" s="7">
        <f t="shared" si="48"/>
        <v>0</v>
      </c>
      <c r="K76" s="2"/>
      <c r="L76" s="6">
        <f t="shared" si="49"/>
        <v>0</v>
      </c>
      <c r="M76" s="2"/>
      <c r="N76" s="7">
        <f t="shared" si="50"/>
        <v>0</v>
      </c>
      <c r="O76" s="11"/>
      <c r="P76" s="6">
        <v>1311.93</v>
      </c>
      <c r="Q76" s="2"/>
      <c r="R76" s="7">
        <f t="shared" si="51"/>
        <v>5.5481894101530734E-4</v>
      </c>
      <c r="S76" s="2"/>
      <c r="T76" s="6"/>
      <c r="U76" s="2"/>
      <c r="V76" s="7">
        <f t="shared" si="52"/>
        <v>0</v>
      </c>
      <c r="W76" s="2"/>
      <c r="X76" s="6">
        <f t="shared" si="53"/>
        <v>1311.93</v>
      </c>
      <c r="Y76" s="2"/>
      <c r="Z76" s="7">
        <f t="shared" si="54"/>
        <v>0</v>
      </c>
    </row>
    <row r="77" spans="1:26" s="24" customFormat="1" hidden="1" outlineLevel="2" x14ac:dyDescent="0.25">
      <c r="A77" s="26"/>
      <c r="B77" s="11" t="str">
        <f>CONCATENATE("          ", "6373", " - ", "MAINTENANCE CONTRACTS")</f>
        <v xml:space="preserve">          6373 - MAINTENANCE CONTRACTS</v>
      </c>
      <c r="C77" s="11"/>
      <c r="D77" s="6"/>
      <c r="E77" s="2"/>
      <c r="F77" s="7">
        <f t="shared" si="47"/>
        <v>0</v>
      </c>
      <c r="G77" s="2"/>
      <c r="H77" s="6"/>
      <c r="I77" s="2"/>
      <c r="J77" s="7">
        <f t="shared" si="48"/>
        <v>0</v>
      </c>
      <c r="K77" s="2"/>
      <c r="L77" s="6">
        <f t="shared" si="49"/>
        <v>0</v>
      </c>
      <c r="M77" s="2"/>
      <c r="N77" s="7">
        <f t="shared" si="50"/>
        <v>0</v>
      </c>
      <c r="O77" s="11"/>
      <c r="P77" s="6">
        <v>884.07</v>
      </c>
      <c r="Q77" s="2"/>
      <c r="R77" s="7">
        <f t="shared" si="51"/>
        <v>3.7387572597882721E-4</v>
      </c>
      <c r="S77" s="2"/>
      <c r="T77" s="6">
        <v>1086.48</v>
      </c>
      <c r="U77" s="2"/>
      <c r="V77" s="7">
        <f t="shared" si="52"/>
        <v>3.6429330768133702E-4</v>
      </c>
      <c r="W77" s="2"/>
      <c r="X77" s="6">
        <f t="shared" si="53"/>
        <v>-202.40999999999997</v>
      </c>
      <c r="Y77" s="2"/>
      <c r="Z77" s="7">
        <f t="shared" si="54"/>
        <v>-0.18629887342610998</v>
      </c>
    </row>
    <row r="78" spans="1:26" s="24" customFormat="1" hidden="1" outlineLevel="2" x14ac:dyDescent="0.25">
      <c r="A78" s="26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102.5</v>
      </c>
      <c r="E78" s="2"/>
      <c r="F78" s="7">
        <f t="shared" si="47"/>
        <v>3.6142454160789845</v>
      </c>
      <c r="G78" s="2"/>
      <c r="H78" s="6">
        <v>1268.75</v>
      </c>
      <c r="I78" s="2"/>
      <c r="J78" s="7">
        <f t="shared" si="48"/>
        <v>6.0406092723959363E-3</v>
      </c>
      <c r="K78" s="2"/>
      <c r="L78" s="6">
        <f t="shared" si="49"/>
        <v>-1166.25</v>
      </c>
      <c r="M78" s="2"/>
      <c r="N78" s="7">
        <f t="shared" si="50"/>
        <v>-0.91921182266009849</v>
      </c>
      <c r="O78" s="11"/>
      <c r="P78" s="6">
        <v>15419.409999999998</v>
      </c>
      <c r="Q78" s="2"/>
      <c r="R78" s="7">
        <f t="shared" si="51"/>
        <v>6.5209124932586633E-3</v>
      </c>
      <c r="S78" s="2"/>
      <c r="T78" s="6">
        <v>13587.7</v>
      </c>
      <c r="U78" s="2"/>
      <c r="V78" s="7">
        <f t="shared" si="52"/>
        <v>4.5559128348259545E-3</v>
      </c>
      <c r="W78" s="2"/>
      <c r="X78" s="6">
        <f t="shared" si="53"/>
        <v>1831.7099999999973</v>
      </c>
      <c r="Y78" s="2"/>
      <c r="Z78" s="7">
        <f t="shared" si="54"/>
        <v>0.13480647938944759</v>
      </c>
    </row>
    <row r="79" spans="1:26" s="27" customFormat="1" outlineLevel="1" collapsed="1" x14ac:dyDescent="0.25">
      <c r="A79" s="25"/>
      <c r="B79" s="13" t="str">
        <f>CONCATENATE("     ","Royalty &amp; Commissions                             ")</f>
        <v xml:space="preserve">     Royalty &amp; Commissions                             </v>
      </c>
      <c r="C79" s="13"/>
      <c r="D79" s="1">
        <f>SUM(OSRRefD22_15x_0)</f>
        <v>0</v>
      </c>
      <c r="E79" s="1"/>
      <c r="F79" s="5">
        <f t="shared" ref="F79:F85" si="55">IF(D$12=0,0,D79/D$12)</f>
        <v>0</v>
      </c>
      <c r="G79" s="1"/>
      <c r="H79" s="1">
        <f>SUM(OSRRefH22_15x_0)</f>
        <v>0</v>
      </c>
      <c r="I79" s="1"/>
      <c r="J79" s="5">
        <f t="shared" ref="J79:J85" si="56">IF(H$12=0,0,H79/H$12)</f>
        <v>0</v>
      </c>
      <c r="K79" s="1"/>
      <c r="L79" s="1">
        <f t="shared" ref="L79:L85" si="57">+D79-H79</f>
        <v>0</v>
      </c>
      <c r="M79" s="1"/>
      <c r="N79" s="5">
        <f t="shared" ref="N79:N85" si="58">IF(H79=0,0,L79/H79)</f>
        <v>0</v>
      </c>
      <c r="O79" s="13"/>
      <c r="P79" s="1">
        <f>SUM(OSRRefP22_15x_0)</f>
        <v>24556.14</v>
      </c>
      <c r="Q79" s="1"/>
      <c r="R79" s="5">
        <f t="shared" ref="R79:R85" si="59">IF(P$12=0,0,P79/P$12)</f>
        <v>1.0384861684863999E-2</v>
      </c>
      <c r="S79" s="1"/>
      <c r="T79" s="1">
        <f>SUM(OSRRefT22_15x_0)</f>
        <v>22801.38</v>
      </c>
      <c r="U79" s="1"/>
      <c r="V79" s="5">
        <f t="shared" ref="V79:V85" si="60">IF(T$12=0,0,T79/T$12)</f>
        <v>7.6452305978012341E-3</v>
      </c>
      <c r="W79" s="1"/>
      <c r="X79" s="1">
        <f t="shared" ref="X79:X85" si="61">+P79-T79</f>
        <v>1754.7599999999984</v>
      </c>
      <c r="Y79" s="1"/>
      <c r="Z79" s="5">
        <f t="shared" ref="Z79:Z85" si="62">IF(T79=0,0,X79/T79)</f>
        <v>7.6958499880270329E-2</v>
      </c>
    </row>
    <row r="80" spans="1:26" s="24" customFormat="1" hidden="1" outlineLevel="2" x14ac:dyDescent="0.25">
      <c r="A80" s="26"/>
      <c r="B80" s="11" t="str">
        <f>CONCATENATE("          ", "6254", " - ", "ROYALTY &amp; COMMISSIONS")</f>
        <v xml:space="preserve">          6254 - ROYALTY &amp; COMMISSIONS</v>
      </c>
      <c r="C80" s="11"/>
      <c r="D80" s="6"/>
      <c r="E80" s="2"/>
      <c r="F80" s="7">
        <f t="shared" si="55"/>
        <v>0</v>
      </c>
      <c r="G80" s="2"/>
      <c r="H80" s="6"/>
      <c r="I80" s="2"/>
      <c r="J80" s="7">
        <f t="shared" si="56"/>
        <v>0</v>
      </c>
      <c r="K80" s="2"/>
      <c r="L80" s="6">
        <f t="shared" si="57"/>
        <v>0</v>
      </c>
      <c r="M80" s="2"/>
      <c r="N80" s="7">
        <f t="shared" si="58"/>
        <v>0</v>
      </c>
      <c r="O80" s="11"/>
      <c r="P80" s="6">
        <v>24556.14</v>
      </c>
      <c r="Q80" s="2"/>
      <c r="R80" s="7">
        <f t="shared" si="59"/>
        <v>1.0384861684863999E-2</v>
      </c>
      <c r="S80" s="2"/>
      <c r="T80" s="6">
        <v>22801.38</v>
      </c>
      <c r="U80" s="2"/>
      <c r="V80" s="7">
        <f t="shared" si="60"/>
        <v>7.6452305978012341E-3</v>
      </c>
      <c r="W80" s="2"/>
      <c r="X80" s="6">
        <f t="shared" si="61"/>
        <v>1754.7599999999984</v>
      </c>
      <c r="Y80" s="2"/>
      <c r="Z80" s="7">
        <f t="shared" si="62"/>
        <v>7.6958499880270329E-2</v>
      </c>
    </row>
    <row r="81" spans="1:26" s="27" customFormat="1" outlineLevel="1" collapsed="1" x14ac:dyDescent="0.25">
      <c r="A81" s="25"/>
      <c r="B81" s="13" t="str">
        <f>CONCATENATE("     ","Services                                          ")</f>
        <v xml:space="preserve">     Services                                          </v>
      </c>
      <c r="C81" s="13"/>
      <c r="D81" s="1">
        <f>SUM(OSRRefD22_16x_0)</f>
        <v>924.63</v>
      </c>
      <c r="E81" s="1"/>
      <c r="F81" s="5">
        <f t="shared" si="55"/>
        <v>32.603314527503528</v>
      </c>
      <c r="G81" s="1"/>
      <c r="H81" s="1">
        <f>SUM(OSRRefH22_16x_0)</f>
        <v>1740.24</v>
      </c>
      <c r="I81" s="1"/>
      <c r="J81" s="5">
        <f t="shared" si="56"/>
        <v>8.2854068021235901E-3</v>
      </c>
      <c r="K81" s="1"/>
      <c r="L81" s="1">
        <f t="shared" si="57"/>
        <v>-815.61</v>
      </c>
      <c r="M81" s="1"/>
      <c r="N81" s="5">
        <f t="shared" si="58"/>
        <v>-0.46867673424355261</v>
      </c>
      <c r="O81" s="13"/>
      <c r="P81" s="1">
        <f>SUM(OSRRefP22_16x_0)</f>
        <v>17105.14</v>
      </c>
      <c r="Q81" s="1"/>
      <c r="R81" s="5">
        <f t="shared" si="59"/>
        <v>7.233812521032809E-3</v>
      </c>
      <c r="S81" s="1"/>
      <c r="T81" s="1">
        <f>SUM(OSRRefT22_16x_0)</f>
        <v>18098.71</v>
      </c>
      <c r="U81" s="1"/>
      <c r="V81" s="5">
        <f t="shared" si="60"/>
        <v>6.0684402204046932E-3</v>
      </c>
      <c r="W81" s="1"/>
      <c r="X81" s="1">
        <f t="shared" si="61"/>
        <v>-993.56999999999971</v>
      </c>
      <c r="Y81" s="1"/>
      <c r="Z81" s="5">
        <f t="shared" si="62"/>
        <v>-5.4897282734515322E-2</v>
      </c>
    </row>
    <row r="82" spans="1:26" s="24" customFormat="1" hidden="1" outlineLevel="2" x14ac:dyDescent="0.25">
      <c r="A82" s="26"/>
      <c r="B82" s="11" t="str">
        <f>CONCATENATE("          ", "6282", " - ", "JANITORIAL/EXTERMINATOR EXPENS")</f>
        <v xml:space="preserve">          6282 - JANITORIAL/EXTERMINATOR EXPENS</v>
      </c>
      <c r="C82" s="11"/>
      <c r="D82" s="6">
        <v>372</v>
      </c>
      <c r="E82" s="2"/>
      <c r="F82" s="7">
        <f t="shared" si="55"/>
        <v>13.117066290550071</v>
      </c>
      <c r="G82" s="2"/>
      <c r="H82" s="6">
        <v>640.17999999999995</v>
      </c>
      <c r="I82" s="2"/>
      <c r="J82" s="7">
        <f t="shared" si="56"/>
        <v>3.0479426553713736E-3</v>
      </c>
      <c r="K82" s="2"/>
      <c r="L82" s="6">
        <f t="shared" si="57"/>
        <v>-268.17999999999995</v>
      </c>
      <c r="M82" s="2"/>
      <c r="N82" s="7">
        <f t="shared" si="58"/>
        <v>-0.41891343059764435</v>
      </c>
      <c r="O82" s="11"/>
      <c r="P82" s="6">
        <v>6418.09</v>
      </c>
      <c r="Q82" s="2"/>
      <c r="R82" s="7">
        <f t="shared" si="59"/>
        <v>2.7142285770894283E-3</v>
      </c>
      <c r="S82" s="2"/>
      <c r="T82" s="6">
        <v>6366.99</v>
      </c>
      <c r="U82" s="2"/>
      <c r="V82" s="7">
        <f t="shared" si="60"/>
        <v>2.1348316094856748E-3</v>
      </c>
      <c r="W82" s="2"/>
      <c r="X82" s="6">
        <f t="shared" si="61"/>
        <v>51.100000000000364</v>
      </c>
      <c r="Y82" s="2"/>
      <c r="Z82" s="7">
        <f t="shared" si="62"/>
        <v>8.0257704189892493E-3</v>
      </c>
    </row>
    <row r="83" spans="1:26" s="24" customFormat="1" hidden="1" outlineLevel="2" x14ac:dyDescent="0.25">
      <c r="A83" s="26"/>
      <c r="B83" s="11" t="str">
        <f>CONCATENATE("          ", "6284", " - ", "TRASH REMOVAL EXPENSE")</f>
        <v xml:space="preserve">          6284 - TRASH REMOVAL EXPENSE</v>
      </c>
      <c r="C83" s="11"/>
      <c r="D83" s="6">
        <v>289</v>
      </c>
      <c r="E83" s="2"/>
      <c r="F83" s="7">
        <f t="shared" si="55"/>
        <v>10.190409026798308</v>
      </c>
      <c r="G83" s="2"/>
      <c r="H83" s="6">
        <v>237</v>
      </c>
      <c r="I83" s="2"/>
      <c r="J83" s="7">
        <f t="shared" si="56"/>
        <v>1.1283739094051918E-3</v>
      </c>
      <c r="K83" s="2"/>
      <c r="L83" s="6">
        <f t="shared" si="57"/>
        <v>52</v>
      </c>
      <c r="M83" s="2"/>
      <c r="N83" s="7">
        <f t="shared" si="58"/>
        <v>0.21940928270042195</v>
      </c>
      <c r="O83" s="11"/>
      <c r="P83" s="6">
        <v>3178</v>
      </c>
      <c r="Q83" s="2"/>
      <c r="R83" s="7">
        <f t="shared" si="59"/>
        <v>1.3439852694477957E-3</v>
      </c>
      <c r="S83" s="2"/>
      <c r="T83" s="6">
        <v>3177.73</v>
      </c>
      <c r="U83" s="2"/>
      <c r="V83" s="7">
        <f t="shared" si="60"/>
        <v>1.065482818476378E-3</v>
      </c>
      <c r="W83" s="2"/>
      <c r="X83" s="6">
        <f t="shared" si="61"/>
        <v>0.26999999999998181</v>
      </c>
      <c r="Y83" s="2"/>
      <c r="Z83" s="7">
        <f t="shared" si="62"/>
        <v>8.4966312430565779E-5</v>
      </c>
    </row>
    <row r="84" spans="1:26" s="24" customFormat="1" hidden="1" outlineLevel="2" x14ac:dyDescent="0.25">
      <c r="A84" s="26"/>
      <c r="B84" s="11" t="str">
        <f>CONCATENATE("          ", "6285", " - ", "JANITORIAL SERVICES")</f>
        <v xml:space="preserve">          6285 - JANITORIAL SERVICES</v>
      </c>
      <c r="C84" s="11"/>
      <c r="D84" s="6">
        <v>134.1</v>
      </c>
      <c r="E84" s="2"/>
      <c r="F84" s="7">
        <f t="shared" si="55"/>
        <v>4.7284908321579691</v>
      </c>
      <c r="G84" s="2"/>
      <c r="H84" s="6">
        <v>223.53</v>
      </c>
      <c r="I84" s="2"/>
      <c r="J84" s="7">
        <f t="shared" si="56"/>
        <v>1.0642422783516561E-3</v>
      </c>
      <c r="K84" s="2"/>
      <c r="L84" s="6">
        <f t="shared" si="57"/>
        <v>-89.43</v>
      </c>
      <c r="M84" s="2"/>
      <c r="N84" s="7">
        <f t="shared" si="58"/>
        <v>-0.40008052610387868</v>
      </c>
      <c r="O84" s="11"/>
      <c r="P84" s="6">
        <v>1321.88</v>
      </c>
      <c r="Q84" s="2"/>
      <c r="R84" s="7">
        <f t="shared" si="59"/>
        <v>5.5902682441084082E-4</v>
      </c>
      <c r="S84" s="2"/>
      <c r="T84" s="6">
        <v>1323.65</v>
      </c>
      <c r="U84" s="2"/>
      <c r="V84" s="7">
        <f t="shared" si="60"/>
        <v>4.4381565856012242E-4</v>
      </c>
      <c r="W84" s="2"/>
      <c r="X84" s="6">
        <f t="shared" si="61"/>
        <v>-1.7699999999999818</v>
      </c>
      <c r="Y84" s="2"/>
      <c r="Z84" s="7">
        <f t="shared" si="62"/>
        <v>-1.3372114985078999E-3</v>
      </c>
    </row>
    <row r="85" spans="1:26" s="24" customFormat="1" hidden="1" outlineLevel="2" x14ac:dyDescent="0.25">
      <c r="A85" s="26"/>
      <c r="B85" s="11" t="str">
        <f>CONCATENATE("          ", "6286", " - ", "LAUNDRY EXPENSE")</f>
        <v xml:space="preserve">          6286 - LAUNDRY EXPENSE</v>
      </c>
      <c r="C85" s="11"/>
      <c r="D85" s="6">
        <v>129.53</v>
      </c>
      <c r="E85" s="2"/>
      <c r="F85" s="7">
        <f t="shared" si="55"/>
        <v>4.5673483779971793</v>
      </c>
      <c r="G85" s="2"/>
      <c r="H85" s="6">
        <v>639.53</v>
      </c>
      <c r="I85" s="2"/>
      <c r="J85" s="7">
        <f t="shared" si="56"/>
        <v>3.0448479589953682E-3</v>
      </c>
      <c r="K85" s="2"/>
      <c r="L85" s="6">
        <f t="shared" si="57"/>
        <v>-510</v>
      </c>
      <c r="M85" s="2"/>
      <c r="N85" s="7">
        <f t="shared" si="58"/>
        <v>-0.79746063515394117</v>
      </c>
      <c r="O85" s="11"/>
      <c r="P85" s="6">
        <v>6187.17</v>
      </c>
      <c r="Q85" s="2"/>
      <c r="R85" s="7">
        <f t="shared" si="59"/>
        <v>2.6165718500847446E-3</v>
      </c>
      <c r="S85" s="2"/>
      <c r="T85" s="6">
        <v>7230.34</v>
      </c>
      <c r="U85" s="2"/>
      <c r="V85" s="7">
        <f t="shared" si="60"/>
        <v>2.4243101338825182E-3</v>
      </c>
      <c r="W85" s="2"/>
      <c r="X85" s="6">
        <f t="shared" si="61"/>
        <v>-1043.17</v>
      </c>
      <c r="Y85" s="2"/>
      <c r="Z85" s="7">
        <f t="shared" si="62"/>
        <v>-0.14427675600317552</v>
      </c>
    </row>
    <row r="86" spans="1:26" s="27" customFormat="1" outlineLevel="1" collapsed="1" x14ac:dyDescent="0.25">
      <c r="A86" s="25"/>
      <c r="B86" s="13" t="str">
        <f>CONCATENATE("     ","Subscriptions &amp; Dues                              ")</f>
        <v xml:space="preserve">     Subscriptions &amp; Dues                              </v>
      </c>
      <c r="C86" s="13"/>
      <c r="D86" s="1">
        <f>SUM(OSRRefD22_17x_0)</f>
        <v>0</v>
      </c>
      <c r="E86" s="1"/>
      <c r="F86" s="5">
        <f t="shared" ref="F86:F88" si="63">IF(D$12=0,0,D86/D$12)</f>
        <v>0</v>
      </c>
      <c r="G86" s="1"/>
      <c r="H86" s="1">
        <f>SUM(OSRRefH22_17x_0)</f>
        <v>176.4</v>
      </c>
      <c r="I86" s="1"/>
      <c r="J86" s="5">
        <f t="shared" ref="J86:J88" si="64">IF(H$12=0,0,H86/H$12)</f>
        <v>8.3985298573449716E-4</v>
      </c>
      <c r="K86" s="1"/>
      <c r="L86" s="1">
        <f t="shared" ref="L86:L88" si="65">+D86-H86</f>
        <v>-176.4</v>
      </c>
      <c r="M86" s="1"/>
      <c r="N86" s="5">
        <f t="shared" ref="N86:N88" si="66">IF(H86=0,0,L86/H86)</f>
        <v>-1</v>
      </c>
      <c r="O86" s="13"/>
      <c r="P86" s="1">
        <f>SUM(OSRRefP22_17x_0)</f>
        <v>1411.2</v>
      </c>
      <c r="Q86" s="1"/>
      <c r="R86" s="5">
        <f t="shared" ref="R86:R88" si="67">IF(P$12=0,0,P86/P$12)</f>
        <v>5.9680050731426349E-4</v>
      </c>
      <c r="S86" s="1"/>
      <c r="T86" s="1">
        <f>SUM(OSRRefT22_17x_0)</f>
        <v>1611.18</v>
      </c>
      <c r="U86" s="1"/>
      <c r="V86" s="5">
        <f t="shared" ref="V86:V88" si="68">IF(T$12=0,0,T86/T$12)</f>
        <v>5.4022355816031272E-4</v>
      </c>
      <c r="W86" s="1"/>
      <c r="X86" s="1">
        <f t="shared" ref="X86:X88" si="69">+P86-T86</f>
        <v>-199.98000000000002</v>
      </c>
      <c r="Y86" s="1"/>
      <c r="Z86" s="5">
        <f t="shared" ref="Z86:Z88" si="70">IF(T86=0,0,X86/T86)</f>
        <v>-0.12412021003239862</v>
      </c>
    </row>
    <row r="87" spans="1:26" s="24" customFormat="1" hidden="1" outlineLevel="2" x14ac:dyDescent="0.25">
      <c r="A87" s="26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63"/>
        <v>0</v>
      </c>
      <c r="G87" s="2"/>
      <c r="H87" s="6"/>
      <c r="I87" s="2"/>
      <c r="J87" s="7">
        <f t="shared" si="64"/>
        <v>0</v>
      </c>
      <c r="K87" s="2"/>
      <c r="L87" s="6">
        <f t="shared" si="65"/>
        <v>0</v>
      </c>
      <c r="M87" s="2"/>
      <c r="N87" s="7">
        <f t="shared" si="66"/>
        <v>0</v>
      </c>
      <c r="O87" s="11"/>
      <c r="P87" s="6"/>
      <c r="Q87" s="2"/>
      <c r="R87" s="7">
        <f t="shared" si="67"/>
        <v>0</v>
      </c>
      <c r="S87" s="2"/>
      <c r="T87" s="6">
        <v>383.2</v>
      </c>
      <c r="U87" s="2"/>
      <c r="V87" s="7">
        <f t="shared" si="68"/>
        <v>1.284857480151391E-4</v>
      </c>
      <c r="W87" s="2"/>
      <c r="X87" s="6">
        <f t="shared" si="69"/>
        <v>-383.2</v>
      </c>
      <c r="Y87" s="2"/>
      <c r="Z87" s="7">
        <f t="shared" si="70"/>
        <v>-1</v>
      </c>
    </row>
    <row r="88" spans="1:26" s="24" customFormat="1" hidden="1" outlineLevel="2" x14ac:dyDescent="0.25">
      <c r="A88" s="26"/>
      <c r="B88" s="11" t="str">
        <f>CONCATENATE("          ", "6275", " - ", "SUBSCRIPTIONS")</f>
        <v xml:space="preserve">          6275 - SUBSCRIPTIONS</v>
      </c>
      <c r="C88" s="11"/>
      <c r="D88" s="6"/>
      <c r="E88" s="2"/>
      <c r="F88" s="7">
        <f t="shared" si="63"/>
        <v>0</v>
      </c>
      <c r="G88" s="2"/>
      <c r="H88" s="6">
        <v>176.4</v>
      </c>
      <c r="I88" s="2"/>
      <c r="J88" s="7">
        <f t="shared" si="64"/>
        <v>8.3985298573449716E-4</v>
      </c>
      <c r="K88" s="2"/>
      <c r="L88" s="6">
        <f t="shared" si="65"/>
        <v>-176.4</v>
      </c>
      <c r="M88" s="2"/>
      <c r="N88" s="7">
        <f t="shared" si="66"/>
        <v>-1</v>
      </c>
      <c r="O88" s="11"/>
      <c r="P88" s="6">
        <v>1411.2</v>
      </c>
      <c r="Q88" s="2"/>
      <c r="R88" s="7">
        <f t="shared" si="67"/>
        <v>5.9680050731426349E-4</v>
      </c>
      <c r="S88" s="2"/>
      <c r="T88" s="6">
        <v>1227.98</v>
      </c>
      <c r="U88" s="2"/>
      <c r="V88" s="7">
        <f t="shared" si="68"/>
        <v>4.1173781014517362E-4</v>
      </c>
      <c r="W88" s="2"/>
      <c r="X88" s="6">
        <f t="shared" si="69"/>
        <v>183.22000000000003</v>
      </c>
      <c r="Y88" s="2"/>
      <c r="Z88" s="7">
        <f t="shared" si="70"/>
        <v>0.14920438443622863</v>
      </c>
    </row>
    <row r="89" spans="1:26" s="27" customFormat="1" outlineLevel="1" collapsed="1" x14ac:dyDescent="0.25">
      <c r="A89" s="25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SUM(OSRRefD22_18x_0)</f>
        <v>534.56000000000006</v>
      </c>
      <c r="E89" s="1"/>
      <c r="F89" s="5">
        <f t="shared" ref="F89:F97" si="71">IF(D$12=0,0,D89/D$12)</f>
        <v>18.849083215796899</v>
      </c>
      <c r="G89" s="1"/>
      <c r="H89" s="1">
        <f>SUM(OSRRefH22_18x_0)</f>
        <v>518.21</v>
      </c>
      <c r="I89" s="1"/>
      <c r="J89" s="5">
        <f t="shared" ref="J89:J97" si="72">IF(H$12=0,0,H89/H$12)</f>
        <v>2.4672347830922551E-3</v>
      </c>
      <c r="K89" s="1"/>
      <c r="L89" s="1">
        <f t="shared" ref="L89:L97" si="73">+D89-H89</f>
        <v>16.350000000000023</v>
      </c>
      <c r="M89" s="1"/>
      <c r="N89" s="5">
        <f t="shared" ref="N89:N97" si="74">IF(H89=0,0,L89/H89)</f>
        <v>3.1550915651955815E-2</v>
      </c>
      <c r="O89" s="13"/>
      <c r="P89" s="1">
        <f>SUM(OSRRefP22_18x_0)</f>
        <v>50172.06</v>
      </c>
      <c r="Q89" s="1"/>
      <c r="R89" s="5">
        <f t="shared" ref="R89:R97" si="75">IF(P$12=0,0,P89/P$12)</f>
        <v>2.1217907356151974E-2</v>
      </c>
      <c r="S89" s="1"/>
      <c r="T89" s="1">
        <f>SUM(OSRRefT22_18x_0)</f>
        <v>46118.479999999996</v>
      </c>
      <c r="U89" s="1"/>
      <c r="V89" s="5">
        <f t="shared" ref="V89:V97" si="76">IF(T$12=0,0,T89/T$12)</f>
        <v>1.5463380480483383E-2</v>
      </c>
      <c r="W89" s="1"/>
      <c r="X89" s="1">
        <f t="shared" ref="X89:X97" si="77">+P89-T89</f>
        <v>4053.5800000000017</v>
      </c>
      <c r="Y89" s="1"/>
      <c r="Z89" s="5">
        <f t="shared" ref="Z89:Z97" si="78">IF(T89=0,0,X89/T89)</f>
        <v>8.7894917612202361E-2</v>
      </c>
    </row>
    <row r="90" spans="1:26" s="24" customFormat="1" hidden="1" outlineLevel="2" x14ac:dyDescent="0.25">
      <c r="A90" s="26"/>
      <c r="B90" s="11" t="str">
        <f>CONCATENATE("          ", "6234", " - ", "EXPENDABLE SUPPLIES &amp; EQUIPMEN")</f>
        <v xml:space="preserve">          6234 - EXPENDABLE SUPPLIES &amp; EQUIPMEN</v>
      </c>
      <c r="C90" s="11"/>
      <c r="D90" s="6"/>
      <c r="E90" s="2"/>
      <c r="F90" s="7">
        <f t="shared" si="71"/>
        <v>0</v>
      </c>
      <c r="G90" s="2"/>
      <c r="H90" s="6"/>
      <c r="I90" s="2"/>
      <c r="J90" s="7">
        <f t="shared" si="72"/>
        <v>0</v>
      </c>
      <c r="K90" s="2"/>
      <c r="L90" s="6">
        <f t="shared" si="73"/>
        <v>0</v>
      </c>
      <c r="M90" s="2"/>
      <c r="N90" s="7">
        <f t="shared" si="74"/>
        <v>0</v>
      </c>
      <c r="O90" s="11"/>
      <c r="P90" s="6">
        <v>1092.46</v>
      </c>
      <c r="Q90" s="2"/>
      <c r="R90" s="7">
        <f t="shared" si="75"/>
        <v>4.6200445168689076E-4</v>
      </c>
      <c r="S90" s="2"/>
      <c r="T90" s="6">
        <v>939.33</v>
      </c>
      <c r="U90" s="2"/>
      <c r="V90" s="7">
        <f t="shared" si="76"/>
        <v>3.1495437808731899E-4</v>
      </c>
      <c r="W90" s="2"/>
      <c r="X90" s="6">
        <f t="shared" si="77"/>
        <v>153.13</v>
      </c>
      <c r="Y90" s="2"/>
      <c r="Z90" s="7">
        <f t="shared" si="78"/>
        <v>0.16302045074680888</v>
      </c>
    </row>
    <row r="91" spans="1:26" s="24" customFormat="1" hidden="1" outlineLevel="2" x14ac:dyDescent="0.25">
      <c r="A91" s="26"/>
      <c r="B91" s="11" t="str">
        <f>CONCATENATE("          ", "6237", " - ", "JANITORIAL SUPPLIES")</f>
        <v xml:space="preserve">          6237 - JANITORIAL SUPPLIES</v>
      </c>
      <c r="C91" s="11"/>
      <c r="D91" s="6"/>
      <c r="E91" s="2"/>
      <c r="F91" s="7">
        <f t="shared" si="71"/>
        <v>0</v>
      </c>
      <c r="G91" s="2"/>
      <c r="H91" s="6">
        <v>325.44</v>
      </c>
      <c r="I91" s="2"/>
      <c r="J91" s="7">
        <f t="shared" si="72"/>
        <v>1.5494430593958886E-3</v>
      </c>
      <c r="K91" s="2"/>
      <c r="L91" s="6">
        <f t="shared" si="73"/>
        <v>-325.44</v>
      </c>
      <c r="M91" s="2"/>
      <c r="N91" s="7">
        <f t="shared" si="74"/>
        <v>-1</v>
      </c>
      <c r="O91" s="11"/>
      <c r="P91" s="6">
        <v>4418.97</v>
      </c>
      <c r="Q91" s="2"/>
      <c r="R91" s="7">
        <f t="shared" si="75"/>
        <v>1.8687950239558609E-3</v>
      </c>
      <c r="S91" s="2"/>
      <c r="T91" s="6">
        <v>7212.17</v>
      </c>
      <c r="U91" s="2"/>
      <c r="V91" s="7">
        <f t="shared" si="76"/>
        <v>2.4182177903505895E-3</v>
      </c>
      <c r="W91" s="2"/>
      <c r="X91" s="6">
        <f t="shared" si="77"/>
        <v>-2793.2</v>
      </c>
      <c r="Y91" s="2"/>
      <c r="Z91" s="7">
        <f t="shared" si="78"/>
        <v>-0.38728981707308618</v>
      </c>
    </row>
    <row r="92" spans="1:26" s="24" customFormat="1" hidden="1" outlineLevel="2" x14ac:dyDescent="0.25">
      <c r="A92" s="26"/>
      <c r="B92" s="11" t="str">
        <f>CONCATENATE("          ", "6239", " - ", "KITCHEN SUPPLIES")</f>
        <v xml:space="preserve">          6239 - KITCHEN SUPPLIES</v>
      </c>
      <c r="C92" s="11"/>
      <c r="D92" s="6"/>
      <c r="E92" s="2"/>
      <c r="F92" s="7">
        <f t="shared" si="71"/>
        <v>0</v>
      </c>
      <c r="G92" s="2"/>
      <c r="H92" s="6"/>
      <c r="I92" s="2"/>
      <c r="J92" s="7">
        <f t="shared" si="72"/>
        <v>0</v>
      </c>
      <c r="K92" s="2"/>
      <c r="L92" s="6">
        <f t="shared" si="73"/>
        <v>0</v>
      </c>
      <c r="M92" s="2"/>
      <c r="N92" s="7">
        <f t="shared" si="74"/>
        <v>0</v>
      </c>
      <c r="O92" s="11"/>
      <c r="P92" s="6">
        <v>441.2</v>
      </c>
      <c r="Q92" s="2"/>
      <c r="R92" s="7">
        <f t="shared" si="75"/>
        <v>1.8658473910647183E-4</v>
      </c>
      <c r="S92" s="2"/>
      <c r="T92" s="6">
        <v>61.06</v>
      </c>
      <c r="U92" s="2"/>
      <c r="V92" s="7">
        <f t="shared" si="76"/>
        <v>2.0473224879447795E-5</v>
      </c>
      <c r="W92" s="2"/>
      <c r="X92" s="6">
        <f t="shared" si="77"/>
        <v>380.14</v>
      </c>
      <c r="Y92" s="2"/>
      <c r="Z92" s="7">
        <f t="shared" si="78"/>
        <v>6.2256796593514574</v>
      </c>
    </row>
    <row r="93" spans="1:26" s="24" customFormat="1" hidden="1" outlineLevel="2" x14ac:dyDescent="0.25">
      <c r="A93" s="26"/>
      <c r="B93" s="11" t="str">
        <f>CONCATENATE("          ", "6241", " - ", "OFFICE EXPENSE")</f>
        <v xml:space="preserve">          6241 - OFFICE EXPENSE</v>
      </c>
      <c r="C93" s="11"/>
      <c r="D93" s="6"/>
      <c r="E93" s="2"/>
      <c r="F93" s="7">
        <f t="shared" si="71"/>
        <v>0</v>
      </c>
      <c r="G93" s="2"/>
      <c r="H93" s="6">
        <v>259.93</v>
      </c>
      <c r="I93" s="2"/>
      <c r="J93" s="7">
        <f t="shared" si="72"/>
        <v>1.237545275407981E-3</v>
      </c>
      <c r="K93" s="2"/>
      <c r="L93" s="6">
        <f t="shared" si="73"/>
        <v>-259.93</v>
      </c>
      <c r="M93" s="2"/>
      <c r="N93" s="7">
        <f t="shared" si="74"/>
        <v>-1</v>
      </c>
      <c r="O93" s="11"/>
      <c r="P93" s="6">
        <v>2377.21</v>
      </c>
      <c r="Q93" s="2"/>
      <c r="R93" s="7">
        <f t="shared" si="75"/>
        <v>1.0053288931353036E-3</v>
      </c>
      <c r="S93" s="2"/>
      <c r="T93" s="6">
        <v>7941.09</v>
      </c>
      <c r="U93" s="2"/>
      <c r="V93" s="7">
        <f t="shared" si="76"/>
        <v>2.662622360922602E-3</v>
      </c>
      <c r="W93" s="2"/>
      <c r="X93" s="6">
        <f t="shared" si="77"/>
        <v>-5563.88</v>
      </c>
      <c r="Y93" s="2"/>
      <c r="Z93" s="7">
        <f t="shared" si="78"/>
        <v>-0.70064436997943602</v>
      </c>
    </row>
    <row r="94" spans="1:26" s="24" customFormat="1" hidden="1" outlineLevel="2" x14ac:dyDescent="0.25">
      <c r="A94" s="26"/>
      <c r="B94" s="11" t="str">
        <f>CONCATENATE("          ", "6243", " - ", "PAPER SUPPLIES")</f>
        <v xml:space="preserve">          6243 - PAPER SUPPLIES</v>
      </c>
      <c r="C94" s="11"/>
      <c r="D94" s="6"/>
      <c r="E94" s="2"/>
      <c r="F94" s="7">
        <f t="shared" si="71"/>
        <v>0</v>
      </c>
      <c r="G94" s="2"/>
      <c r="H94" s="6">
        <v>279.75</v>
      </c>
      <c r="I94" s="2"/>
      <c r="J94" s="7">
        <f t="shared" si="72"/>
        <v>1.3319097095194194E-3</v>
      </c>
      <c r="K94" s="2"/>
      <c r="L94" s="6">
        <f t="shared" si="73"/>
        <v>-279.75</v>
      </c>
      <c r="M94" s="2"/>
      <c r="N94" s="7">
        <f t="shared" si="74"/>
        <v>-1</v>
      </c>
      <c r="O94" s="11"/>
      <c r="P94" s="6">
        <v>4964.92</v>
      </c>
      <c r="Q94" s="2"/>
      <c r="R94" s="7">
        <f t="shared" si="75"/>
        <v>2.0996788370002358E-3</v>
      </c>
      <c r="S94" s="2"/>
      <c r="T94" s="6">
        <v>9328.98</v>
      </c>
      <c r="U94" s="2"/>
      <c r="V94" s="7">
        <f t="shared" si="76"/>
        <v>3.1279774883044686E-3</v>
      </c>
      <c r="W94" s="2"/>
      <c r="X94" s="6">
        <f t="shared" si="77"/>
        <v>-4364.0599999999995</v>
      </c>
      <c r="Y94" s="2"/>
      <c r="Z94" s="7">
        <f t="shared" si="78"/>
        <v>-0.46779605058645207</v>
      </c>
    </row>
    <row r="95" spans="1:26" s="24" customFormat="1" hidden="1" outlineLevel="2" x14ac:dyDescent="0.25">
      <c r="A95" s="26"/>
      <c r="B95" s="11" t="str">
        <f>CONCATENATE("          ", "6245", " - ", "PRINTING")</f>
        <v xml:space="preserve">          6245 - PRINTING</v>
      </c>
      <c r="C95" s="11"/>
      <c r="D95" s="6"/>
      <c r="E95" s="2"/>
      <c r="F95" s="7">
        <f t="shared" si="71"/>
        <v>0</v>
      </c>
      <c r="G95" s="2"/>
      <c r="H95" s="6"/>
      <c r="I95" s="2"/>
      <c r="J95" s="7">
        <f t="shared" si="72"/>
        <v>0</v>
      </c>
      <c r="K95" s="2"/>
      <c r="L95" s="6">
        <f t="shared" si="73"/>
        <v>0</v>
      </c>
      <c r="M95" s="2"/>
      <c r="N95" s="7">
        <f t="shared" si="74"/>
        <v>0</v>
      </c>
      <c r="O95" s="11"/>
      <c r="P95" s="6">
        <v>81.739999999999995</v>
      </c>
      <c r="Q95" s="2"/>
      <c r="R95" s="7">
        <f t="shared" si="75"/>
        <v>3.4568079271448338E-5</v>
      </c>
      <c r="S95" s="2"/>
      <c r="T95" s="6">
        <v>51.82</v>
      </c>
      <c r="U95" s="2"/>
      <c r="V95" s="7">
        <f t="shared" si="76"/>
        <v>1.7375082103717402E-5</v>
      </c>
      <c r="W95" s="2"/>
      <c r="X95" s="6">
        <f t="shared" si="77"/>
        <v>29.919999999999995</v>
      </c>
      <c r="Y95" s="2"/>
      <c r="Z95" s="7">
        <f t="shared" si="78"/>
        <v>0.57738324971053634</v>
      </c>
    </row>
    <row r="96" spans="1:26" s="24" customFormat="1" hidden="1" outlineLevel="2" x14ac:dyDescent="0.25">
      <c r="A96" s="26"/>
      <c r="B96" s="11" t="str">
        <f>CONCATENATE("          ", "6247", " - ", "STORE SUPPLIES")</f>
        <v xml:space="preserve">          6247 - STORE SUPPLIES</v>
      </c>
      <c r="C96" s="11"/>
      <c r="D96" s="6">
        <v>493.49</v>
      </c>
      <c r="E96" s="2"/>
      <c r="F96" s="7">
        <f t="shared" si="71"/>
        <v>17.400916784203105</v>
      </c>
      <c r="G96" s="2"/>
      <c r="H96" s="6">
        <v>-346.91</v>
      </c>
      <c r="I96" s="2"/>
      <c r="J96" s="7">
        <f t="shared" si="72"/>
        <v>-1.651663261231034E-3</v>
      </c>
      <c r="K96" s="2"/>
      <c r="L96" s="6">
        <f t="shared" si="73"/>
        <v>840.40000000000009</v>
      </c>
      <c r="M96" s="2"/>
      <c r="N96" s="7">
        <f t="shared" si="74"/>
        <v>-2.4225303392810815</v>
      </c>
      <c r="O96" s="11"/>
      <c r="P96" s="6">
        <v>36601.379999999997</v>
      </c>
      <c r="Q96" s="2"/>
      <c r="R96" s="7">
        <f t="shared" si="75"/>
        <v>1.5478828055840515E-2</v>
      </c>
      <c r="S96" s="2"/>
      <c r="T96" s="6">
        <v>19432.849999999999</v>
      </c>
      <c r="U96" s="2"/>
      <c r="V96" s="7">
        <f t="shared" si="76"/>
        <v>6.515773142787046E-3</v>
      </c>
      <c r="W96" s="2"/>
      <c r="X96" s="6">
        <f t="shared" si="77"/>
        <v>17168.53</v>
      </c>
      <c r="Y96" s="2"/>
      <c r="Z96" s="7">
        <f t="shared" si="78"/>
        <v>0.88347977779893327</v>
      </c>
    </row>
    <row r="97" spans="1:26" s="24" customFormat="1" hidden="1" outlineLevel="2" x14ac:dyDescent="0.25">
      <c r="A97" s="26"/>
      <c r="B97" s="11" t="str">
        <f>CONCATENATE("          ", "6248", " - ", "UNIFORMS")</f>
        <v xml:space="preserve">          6248 - UNIFORMS</v>
      </c>
      <c r="C97" s="11"/>
      <c r="D97" s="6">
        <v>41.07</v>
      </c>
      <c r="E97" s="2"/>
      <c r="F97" s="7">
        <f t="shared" si="71"/>
        <v>1.4481664315937941</v>
      </c>
      <c r="G97" s="2"/>
      <c r="H97" s="6"/>
      <c r="I97" s="2"/>
      <c r="J97" s="7">
        <f t="shared" si="72"/>
        <v>0</v>
      </c>
      <c r="K97" s="2"/>
      <c r="L97" s="6">
        <f t="shared" si="73"/>
        <v>41.07</v>
      </c>
      <c r="M97" s="2"/>
      <c r="N97" s="7">
        <f t="shared" si="74"/>
        <v>0</v>
      </c>
      <c r="O97" s="11"/>
      <c r="P97" s="6">
        <v>194.18</v>
      </c>
      <c r="Q97" s="2"/>
      <c r="R97" s="7">
        <f t="shared" si="75"/>
        <v>8.2119276155246366E-5</v>
      </c>
      <c r="S97" s="2"/>
      <c r="T97" s="6">
        <v>1151.18</v>
      </c>
      <c r="U97" s="2"/>
      <c r="V97" s="7">
        <f t="shared" si="76"/>
        <v>3.8598701304819378E-4</v>
      </c>
      <c r="W97" s="2"/>
      <c r="X97" s="6">
        <f t="shared" si="77"/>
        <v>-957</v>
      </c>
      <c r="Y97" s="2"/>
      <c r="Z97" s="7">
        <f t="shared" si="78"/>
        <v>-0.83132090550565507</v>
      </c>
    </row>
    <row r="98" spans="1:26" s="27" customFormat="1" outlineLevel="1" collapsed="1" x14ac:dyDescent="0.25">
      <c r="A98" s="25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SUM(OSRRefD22_19x_0)</f>
        <v>400.8</v>
      </c>
      <c r="E98" s="1"/>
      <c r="F98" s="5">
        <f t="shared" ref="F98:F105" si="79">IF(D$12=0,0,D98/D$12)</f>
        <v>14.132581100141044</v>
      </c>
      <c r="G98" s="1"/>
      <c r="H98" s="1">
        <f>SUM(OSRRefH22_19x_0)</f>
        <v>349.31</v>
      </c>
      <c r="I98" s="1"/>
      <c r="J98" s="5">
        <f t="shared" ref="J98:J105" si="80">IF(H$12=0,0,H98/H$12)</f>
        <v>1.6630898324655168E-3</v>
      </c>
      <c r="K98" s="1"/>
      <c r="L98" s="1">
        <f t="shared" ref="L98:L105" si="81">+D98-H98</f>
        <v>51.490000000000009</v>
      </c>
      <c r="M98" s="1"/>
      <c r="N98" s="5">
        <f t="shared" ref="N98:N105" si="82">IF(H98=0,0,L98/H98)</f>
        <v>0.14740488391400192</v>
      </c>
      <c r="O98" s="13"/>
      <c r="P98" s="1">
        <f>SUM(OSRRefP22_19x_0)</f>
        <v>4376.67</v>
      </c>
      <c r="Q98" s="1"/>
      <c r="R98" s="5">
        <f t="shared" ref="R98:R105" si="83">IF(P$12=0,0,P98/P$12)</f>
        <v>1.8509062332391704E-3</v>
      </c>
      <c r="S98" s="1"/>
      <c r="T98" s="1">
        <f>SUM(OSRRefT22_19x_0)</f>
        <v>3880.81</v>
      </c>
      <c r="U98" s="1"/>
      <c r="V98" s="5">
        <f t="shared" ref="V98:V105" si="84">IF(T$12=0,0,T98/T$12)</f>
        <v>1.3012233187751356E-3</v>
      </c>
      <c r="W98" s="1"/>
      <c r="X98" s="1">
        <f t="shared" ref="X98:X105" si="85">+P98-T98</f>
        <v>495.86000000000013</v>
      </c>
      <c r="Y98" s="1"/>
      <c r="Z98" s="5">
        <f t="shared" ref="Z98:Z105" si="86">IF(T98=0,0,X98/T98)</f>
        <v>0.12777229495904208</v>
      </c>
    </row>
    <row r="99" spans="1:26" s="24" customFormat="1" hidden="1" outlineLevel="2" x14ac:dyDescent="0.25">
      <c r="A99" s="26"/>
      <c r="B99" s="11" t="str">
        <f>CONCATENATE("          ", "6309", " - ", "TELEPHONE")</f>
        <v xml:space="preserve">          6309 - TELEPHONE</v>
      </c>
      <c r="C99" s="11"/>
      <c r="D99" s="6">
        <v>400.8</v>
      </c>
      <c r="E99" s="2"/>
      <c r="F99" s="7">
        <f t="shared" si="79"/>
        <v>14.132581100141044</v>
      </c>
      <c r="G99" s="2"/>
      <c r="H99" s="6">
        <v>349.31</v>
      </c>
      <c r="I99" s="2"/>
      <c r="J99" s="7">
        <f t="shared" si="80"/>
        <v>1.6630898324655168E-3</v>
      </c>
      <c r="K99" s="2"/>
      <c r="L99" s="6">
        <f t="shared" si="81"/>
        <v>51.490000000000009</v>
      </c>
      <c r="M99" s="2"/>
      <c r="N99" s="7">
        <f t="shared" si="82"/>
        <v>0.14740488391400192</v>
      </c>
      <c r="O99" s="11"/>
      <c r="P99" s="6">
        <v>4376.67</v>
      </c>
      <c r="Q99" s="2"/>
      <c r="R99" s="7">
        <f t="shared" si="83"/>
        <v>1.8509062332391704E-3</v>
      </c>
      <c r="S99" s="2"/>
      <c r="T99" s="6">
        <v>3880.81</v>
      </c>
      <c r="U99" s="2"/>
      <c r="V99" s="7">
        <f t="shared" si="84"/>
        <v>1.3012233187751356E-3</v>
      </c>
      <c r="W99" s="2"/>
      <c r="X99" s="6">
        <f t="shared" si="85"/>
        <v>495.86000000000013</v>
      </c>
      <c r="Y99" s="2"/>
      <c r="Z99" s="7">
        <f t="shared" si="86"/>
        <v>0.12777229495904208</v>
      </c>
    </row>
    <row r="100" spans="1:26" s="27" customFormat="1" outlineLevel="1" collapsed="1" x14ac:dyDescent="0.25">
      <c r="A100" s="25"/>
      <c r="B100" s="13" t="str">
        <f>CONCATENATE("     ","Training                                          ")</f>
        <v xml:space="preserve">     Training                                          </v>
      </c>
      <c r="C100" s="13"/>
      <c r="D100" s="1">
        <f>SUM(OSRRefD22_20x_0)</f>
        <v>0</v>
      </c>
      <c r="E100" s="1"/>
      <c r="F100" s="5">
        <f t="shared" si="79"/>
        <v>0</v>
      </c>
      <c r="G100" s="1"/>
      <c r="H100" s="1">
        <f>SUM(OSRRefH22_20x_0)</f>
        <v>0</v>
      </c>
      <c r="I100" s="1"/>
      <c r="J100" s="5">
        <f t="shared" si="80"/>
        <v>0</v>
      </c>
      <c r="K100" s="1"/>
      <c r="L100" s="1">
        <f t="shared" si="81"/>
        <v>0</v>
      </c>
      <c r="M100" s="1"/>
      <c r="N100" s="5">
        <f t="shared" si="82"/>
        <v>0</v>
      </c>
      <c r="O100" s="13"/>
      <c r="P100" s="1">
        <f>SUM(OSRRefP22_20x_0)</f>
        <v>110</v>
      </c>
      <c r="Q100" s="1"/>
      <c r="R100" s="5">
        <f t="shared" si="83"/>
        <v>4.6519313920471215E-5</v>
      </c>
      <c r="S100" s="1"/>
      <c r="T100" s="1">
        <f>SUM(OSRRefT22_20x_0)</f>
        <v>297.82</v>
      </c>
      <c r="U100" s="1"/>
      <c r="V100" s="5">
        <f t="shared" si="84"/>
        <v>9.9858104054981027E-5</v>
      </c>
      <c r="W100" s="1"/>
      <c r="X100" s="1">
        <f t="shared" si="85"/>
        <v>-187.82</v>
      </c>
      <c r="Y100" s="1"/>
      <c r="Z100" s="5">
        <f t="shared" si="86"/>
        <v>-0.63064938553488681</v>
      </c>
    </row>
    <row r="101" spans="1:26" s="24" customFormat="1" hidden="1" outlineLevel="2" x14ac:dyDescent="0.25">
      <c r="A101" s="26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79"/>
        <v>0</v>
      </c>
      <c r="G101" s="2"/>
      <c r="H101" s="6"/>
      <c r="I101" s="2"/>
      <c r="J101" s="7">
        <f t="shared" si="80"/>
        <v>0</v>
      </c>
      <c r="K101" s="2"/>
      <c r="L101" s="6">
        <f t="shared" si="81"/>
        <v>0</v>
      </c>
      <c r="M101" s="2"/>
      <c r="N101" s="7">
        <f t="shared" si="82"/>
        <v>0</v>
      </c>
      <c r="O101" s="11"/>
      <c r="P101" s="6">
        <v>110</v>
      </c>
      <c r="Q101" s="2"/>
      <c r="R101" s="7">
        <f t="shared" si="83"/>
        <v>4.6519313920471215E-5</v>
      </c>
      <c r="S101" s="2"/>
      <c r="T101" s="6">
        <v>297.82</v>
      </c>
      <c r="U101" s="2"/>
      <c r="V101" s="7">
        <f t="shared" si="84"/>
        <v>9.9858104054981027E-5</v>
      </c>
      <c r="W101" s="2"/>
      <c r="X101" s="6">
        <f t="shared" si="85"/>
        <v>-187.82</v>
      </c>
      <c r="Y101" s="2"/>
      <c r="Z101" s="7">
        <f t="shared" si="86"/>
        <v>-0.63064938553488681</v>
      </c>
    </row>
    <row r="102" spans="1:26" s="27" customFormat="1" outlineLevel="1" collapsed="1" x14ac:dyDescent="0.25">
      <c r="A102" s="25"/>
      <c r="B102" s="13" t="str">
        <f>CONCATENATE("     ","Travel                                            ")</f>
        <v xml:space="preserve">     Travel                                            </v>
      </c>
      <c r="C102" s="13"/>
      <c r="D102" s="1">
        <f>SUM(OSRRefD22_21x_0)</f>
        <v>0</v>
      </c>
      <c r="E102" s="1"/>
      <c r="F102" s="5">
        <f t="shared" si="79"/>
        <v>0</v>
      </c>
      <c r="G102" s="1"/>
      <c r="H102" s="1">
        <f>SUM(OSRRefH22_21x_0)</f>
        <v>0</v>
      </c>
      <c r="I102" s="1"/>
      <c r="J102" s="5">
        <f t="shared" si="80"/>
        <v>0</v>
      </c>
      <c r="K102" s="1"/>
      <c r="L102" s="1">
        <f t="shared" si="81"/>
        <v>0</v>
      </c>
      <c r="M102" s="1"/>
      <c r="N102" s="5">
        <f t="shared" si="82"/>
        <v>0</v>
      </c>
      <c r="O102" s="13"/>
      <c r="P102" s="1">
        <f>SUM(OSRRefP22_21x_0)</f>
        <v>66</v>
      </c>
      <c r="Q102" s="1"/>
      <c r="R102" s="5">
        <f t="shared" si="83"/>
        <v>2.791158835228273E-5</v>
      </c>
      <c r="S102" s="1"/>
      <c r="T102" s="1">
        <f>SUM(OSRRefT22_21x_0)</f>
        <v>0</v>
      </c>
      <c r="U102" s="1"/>
      <c r="V102" s="5">
        <f t="shared" si="84"/>
        <v>0</v>
      </c>
      <c r="W102" s="1"/>
      <c r="X102" s="1">
        <f t="shared" si="85"/>
        <v>66</v>
      </c>
      <c r="Y102" s="1"/>
      <c r="Z102" s="5">
        <f t="shared" si="86"/>
        <v>0</v>
      </c>
    </row>
    <row r="103" spans="1:26" s="24" customFormat="1" hidden="1" outlineLevel="2" x14ac:dyDescent="0.25">
      <c r="A103" s="26"/>
      <c r="B103" s="11" t="str">
        <f>CONCATENATE("          ", "6298", " - ", "VEHICLE MILEAGE")</f>
        <v xml:space="preserve">          6298 - VEHICLE MILEAGE</v>
      </c>
      <c r="C103" s="11"/>
      <c r="D103" s="6"/>
      <c r="E103" s="2"/>
      <c r="F103" s="7">
        <f t="shared" si="79"/>
        <v>0</v>
      </c>
      <c r="G103" s="2"/>
      <c r="H103" s="6"/>
      <c r="I103" s="2"/>
      <c r="J103" s="7">
        <f t="shared" si="80"/>
        <v>0</v>
      </c>
      <c r="K103" s="2"/>
      <c r="L103" s="6">
        <f t="shared" si="81"/>
        <v>0</v>
      </c>
      <c r="M103" s="2"/>
      <c r="N103" s="7">
        <f t="shared" si="82"/>
        <v>0</v>
      </c>
      <c r="O103" s="11"/>
      <c r="P103" s="6">
        <v>66</v>
      </c>
      <c r="Q103" s="2"/>
      <c r="R103" s="7">
        <f t="shared" si="83"/>
        <v>2.791158835228273E-5</v>
      </c>
      <c r="S103" s="2"/>
      <c r="T103" s="6"/>
      <c r="U103" s="2"/>
      <c r="V103" s="7">
        <f t="shared" si="84"/>
        <v>0</v>
      </c>
      <c r="W103" s="2"/>
      <c r="X103" s="6">
        <f t="shared" si="85"/>
        <v>66</v>
      </c>
      <c r="Y103" s="2"/>
      <c r="Z103" s="7">
        <f t="shared" si="86"/>
        <v>0</v>
      </c>
    </row>
    <row r="104" spans="1:26" s="27" customFormat="1" outlineLevel="1" collapsed="1" x14ac:dyDescent="0.25">
      <c r="A104" s="25"/>
      <c r="B104" s="13" t="str">
        <f>CONCATENATE("     ","Utilities                                         ")</f>
        <v xml:space="preserve">     Utilities                                         </v>
      </c>
      <c r="C104" s="13"/>
      <c r="D104" s="1">
        <f>SUM(OSRRefD22_22x_0)</f>
        <v>1109</v>
      </c>
      <c r="E104" s="1"/>
      <c r="F104" s="5">
        <f t="shared" si="79"/>
        <v>39.104372355430186</v>
      </c>
      <c r="G104" s="1"/>
      <c r="H104" s="1">
        <f>SUM(OSRRefH22_22x_0)</f>
        <v>1057</v>
      </c>
      <c r="I104" s="1"/>
      <c r="J104" s="5">
        <f t="shared" si="80"/>
        <v>5.0324524145202009E-3</v>
      </c>
      <c r="K104" s="1"/>
      <c r="L104" s="1">
        <f t="shared" si="81"/>
        <v>52</v>
      </c>
      <c r="M104" s="1"/>
      <c r="N104" s="5">
        <f t="shared" si="82"/>
        <v>4.9195837275307477E-2</v>
      </c>
      <c r="O104" s="13"/>
      <c r="P104" s="1">
        <f>SUM(OSRRefP22_22x_0)</f>
        <v>11603.74</v>
      </c>
      <c r="Q104" s="1"/>
      <c r="R104" s="5">
        <f t="shared" si="83"/>
        <v>4.9072547610138966E-3</v>
      </c>
      <c r="S104" s="1"/>
      <c r="T104" s="1">
        <f>SUM(OSRRefT22_22x_0)</f>
        <v>9536.49</v>
      </c>
      <c r="U104" s="1"/>
      <c r="V104" s="5">
        <f t="shared" si="84"/>
        <v>3.1975549349918947E-3</v>
      </c>
      <c r="W104" s="1"/>
      <c r="X104" s="1">
        <f t="shared" si="85"/>
        <v>2067.25</v>
      </c>
      <c r="Y104" s="1"/>
      <c r="Z104" s="5">
        <f t="shared" si="86"/>
        <v>0.21677262808433712</v>
      </c>
    </row>
    <row r="105" spans="1:26" s="24" customFormat="1" hidden="1" outlineLevel="2" x14ac:dyDescent="0.25">
      <c r="A105" s="26"/>
      <c r="B105" s="11" t="str">
        <f>CONCATENATE("          ", "6274", " - ", "UTILITIES")</f>
        <v xml:space="preserve">          6274 - UTILITIES</v>
      </c>
      <c r="C105" s="11"/>
      <c r="D105" s="6">
        <v>1109</v>
      </c>
      <c r="E105" s="2"/>
      <c r="F105" s="7">
        <f t="shared" si="79"/>
        <v>39.104372355430186</v>
      </c>
      <c r="G105" s="2"/>
      <c r="H105" s="6">
        <v>1057</v>
      </c>
      <c r="I105" s="2"/>
      <c r="J105" s="7">
        <f t="shared" si="80"/>
        <v>5.0324524145202009E-3</v>
      </c>
      <c r="K105" s="2"/>
      <c r="L105" s="6">
        <f t="shared" si="81"/>
        <v>52</v>
      </c>
      <c r="M105" s="2"/>
      <c r="N105" s="7">
        <f t="shared" si="82"/>
        <v>4.9195837275307477E-2</v>
      </c>
      <c r="O105" s="11"/>
      <c r="P105" s="6">
        <v>11603.74</v>
      </c>
      <c r="Q105" s="2"/>
      <c r="R105" s="7">
        <f t="shared" si="83"/>
        <v>4.9072547610138966E-3</v>
      </c>
      <c r="S105" s="2"/>
      <c r="T105" s="6">
        <v>9536.49</v>
      </c>
      <c r="U105" s="2"/>
      <c r="V105" s="7">
        <f t="shared" si="84"/>
        <v>3.1975549349918947E-3</v>
      </c>
      <c r="W105" s="2"/>
      <c r="X105" s="6">
        <f t="shared" si="85"/>
        <v>2067.25</v>
      </c>
      <c r="Y105" s="2"/>
      <c r="Z105" s="7">
        <f t="shared" si="86"/>
        <v>0.21677262808433712</v>
      </c>
    </row>
    <row r="106" spans="1:26" s="58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x14ac:dyDescent="0.25">
      <c r="A107" s="10"/>
      <c r="B107" s="28" t="s">
        <v>0</v>
      </c>
      <c r="C107" s="10"/>
      <c r="D107" s="4">
        <f>SUM(0)</f>
        <v>0</v>
      </c>
      <c r="E107" s="4"/>
      <c r="F107" s="12">
        <f>IF(D$12=0,0,D107/D$12)</f>
        <v>0</v>
      </c>
      <c r="G107" s="4"/>
      <c r="H107" s="4">
        <f>SUM(0)</f>
        <v>0</v>
      </c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>
        <f>SUM(0)</f>
        <v>0</v>
      </c>
      <c r="Q107" s="4"/>
      <c r="R107" s="12">
        <f>IF(P$12=0,0,P107/P$12)</f>
        <v>0</v>
      </c>
      <c r="S107" s="4"/>
      <c r="T107" s="4">
        <f>SUM(0)</f>
        <v>0</v>
      </c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9" t="s">
        <v>3</v>
      </c>
      <c r="C109" s="29"/>
      <c r="D109" s="21">
        <f>+D30-D32+D107</f>
        <v>-33684.75</v>
      </c>
      <c r="E109" s="14"/>
      <c r="F109" s="20">
        <f>IF(D$12=0,0,D109/D$12)</f>
        <v>-1187.7556417489423</v>
      </c>
      <c r="G109" s="14"/>
      <c r="H109" s="21">
        <f>+H30-H32+H107</f>
        <v>-6763.5799999999726</v>
      </c>
      <c r="I109" s="14"/>
      <c r="J109" s="20">
        <f>IF(H$12=0,0,H109/H$12)</f>
        <v>-3.220188694588496E-2</v>
      </c>
      <c r="K109" s="16"/>
      <c r="L109" s="21">
        <f>+D109-H109</f>
        <v>-26921.170000000027</v>
      </c>
      <c r="M109" s="16"/>
      <c r="N109" s="20">
        <f>IF(H109=0,0,L109/H109)</f>
        <v>3.9803136800333752</v>
      </c>
      <c r="O109" s="28"/>
      <c r="P109" s="21">
        <f>+P30-P32+P107</f>
        <v>100600.09999999998</v>
      </c>
      <c r="Q109" s="14"/>
      <c r="R109" s="20">
        <f>IF(P$12=0,0,P109/P$12)</f>
        <v>4.2544069384825411E-2</v>
      </c>
      <c r="S109" s="14"/>
      <c r="T109" s="21">
        <f>+T30-T32+T107</f>
        <v>412953.87000000011</v>
      </c>
      <c r="U109" s="14"/>
      <c r="V109" s="20">
        <f>IF(T$12=0,0,T109/T$12)</f>
        <v>0.1384621265206068</v>
      </c>
      <c r="W109" s="16"/>
      <c r="X109" s="21">
        <f>+P109-T109</f>
        <v>-312353.77000000014</v>
      </c>
      <c r="Y109" s="16"/>
      <c r="Z109" s="20">
        <f>IF(T109=0,0,X109/T109)</f>
        <v>-0.75638901265170377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1"/>
      <c r="B111" s="10" t="s">
        <v>13</v>
      </c>
      <c r="C111" s="10"/>
      <c r="D111" s="4">
        <v>11525.44</v>
      </c>
      <c r="E111" s="4"/>
      <c r="F111" s="12">
        <f>IF(D$12=0,0,D111/D$12)</f>
        <v>406.39774330042314</v>
      </c>
      <c r="G111" s="4"/>
      <c r="H111" s="4">
        <v>22002.2</v>
      </c>
      <c r="I111" s="4"/>
      <c r="J111" s="12">
        <f>IF(H$12=0,0,H111/H$12)</f>
        <v>0.10475404400639202</v>
      </c>
      <c r="K111" s="4"/>
      <c r="L111" s="4">
        <f>+D111-H111</f>
        <v>-10476.76</v>
      </c>
      <c r="M111" s="4"/>
      <c r="N111" s="12">
        <f>IF(H111=0,0,L111/H111)</f>
        <v>-0.47616874676168747</v>
      </c>
      <c r="O111" s="10"/>
      <c r="P111" s="4">
        <v>280006.67000000004</v>
      </c>
      <c r="Q111" s="4"/>
      <c r="R111" s="12">
        <f>IF(P$12=0,0,P111/P$12)</f>
        <v>0.11841561983232538</v>
      </c>
      <c r="S111" s="4"/>
      <c r="T111" s="4">
        <v>310216.39</v>
      </c>
      <c r="U111" s="4"/>
      <c r="V111" s="12">
        <f>IF(T$12=0,0,T111/T$12)</f>
        <v>0.10401457441468195</v>
      </c>
      <c r="W111" s="4"/>
      <c r="X111" s="4">
        <f>+P111-T111</f>
        <v>-30209.719999999972</v>
      </c>
      <c r="Y111" s="4"/>
      <c r="Z111" s="12">
        <f>IF(T111=0,0,X111/T111)</f>
        <v>-9.7382733388135842E-2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4</v>
      </c>
      <c r="C113" s="29"/>
      <c r="D113" s="35">
        <f>+D109-D111</f>
        <v>-45210.19</v>
      </c>
      <c r="E113" s="14"/>
      <c r="F113" s="32">
        <f>IF(D$12=0,0,D113/D$12)</f>
        <v>-1594.1533850493654</v>
      </c>
      <c r="G113" s="14"/>
      <c r="H113" s="35">
        <f>+H109-H111</f>
        <v>-28765.779999999973</v>
      </c>
      <c r="I113" s="14"/>
      <c r="J113" s="32">
        <f>IF(H$12=0,0,H113/H$12)</f>
        <v>-0.13695593095227698</v>
      </c>
      <c r="K113" s="16"/>
      <c r="L113" s="35">
        <f>D113-H113</f>
        <v>-16444.410000000029</v>
      </c>
      <c r="M113" s="16"/>
      <c r="N113" s="32">
        <f>IF(H113=0,0,L113/H113)</f>
        <v>0.57166570835207819</v>
      </c>
      <c r="O113" s="28"/>
      <c r="P113" s="35">
        <f>+P109-P111</f>
        <v>-179406.57000000007</v>
      </c>
      <c r="Q113" s="14"/>
      <c r="R113" s="32">
        <f>IF(P$12=0,0,P113/P$12)</f>
        <v>-7.5871550447499964E-2</v>
      </c>
      <c r="S113" s="14"/>
      <c r="T113" s="35">
        <f>+T109-T111</f>
        <v>102737.4800000001</v>
      </c>
      <c r="U113" s="14"/>
      <c r="V113" s="32">
        <f>IF(T$12=0,0,T113/T$12)</f>
        <v>3.4447552105924859E-2</v>
      </c>
      <c r="W113" s="16"/>
      <c r="X113" s="35">
        <f>P113-T113</f>
        <v>-282144.05000000016</v>
      </c>
      <c r="Y113" s="16"/>
      <c r="Z113" s="32">
        <f>IF(T113=0,0,X113/T113)</f>
        <v>-2.7462621236183709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5</v>
      </c>
      <c r="C116" s="29"/>
      <c r="D116" s="36">
        <f>SUM(D113:D115)</f>
        <v>-45210.19</v>
      </c>
      <c r="E116" s="14"/>
      <c r="F116" s="33">
        <f>IF(D$12=0,0,D116/D$12)</f>
        <v>-1594.1533850493654</v>
      </c>
      <c r="G116" s="14"/>
      <c r="H116" s="36">
        <f>SUM(H113:H115)</f>
        <v>-28765.779999999973</v>
      </c>
      <c r="I116" s="14"/>
      <c r="J116" s="33">
        <f>IF(H$12=0,0,H116/H$12)</f>
        <v>-0.13695593095227698</v>
      </c>
      <c r="K116" s="16"/>
      <c r="L116" s="36">
        <f>+D116-H116</f>
        <v>-16444.410000000029</v>
      </c>
      <c r="M116" s="16"/>
      <c r="N116" s="33">
        <f>IF(H116=0,0,L116/H116)</f>
        <v>0.57166570835207819</v>
      </c>
      <c r="O116" s="28"/>
      <c r="P116" s="36">
        <f>SUM(P113:P115)</f>
        <v>-179406.57000000007</v>
      </c>
      <c r="Q116" s="14"/>
      <c r="R116" s="33">
        <f>IF(P$12=0,0,P116/P$12)</f>
        <v>-7.5871550447499964E-2</v>
      </c>
      <c r="S116" s="14"/>
      <c r="T116" s="36">
        <f>SUM(T113:T115)</f>
        <v>102737.4800000001</v>
      </c>
      <c r="U116" s="14"/>
      <c r="V116" s="33">
        <f>IF(T$12=0,0,T116/T$12)</f>
        <v>3.4447552105924859E-2</v>
      </c>
      <c r="W116" s="16"/>
      <c r="X116" s="36">
        <f>+P116-T116</f>
        <v>-282144.05000000016</v>
      </c>
      <c r="Y116" s="16"/>
      <c r="Z116" s="33">
        <f>IF(T116=0,0,X116/T116)</f>
        <v>-2.7462621236183709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5">
        <v>43992.374838425923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2" t="s">
        <v>313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3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40262.49</v>
      </c>
      <c r="I12" s="4"/>
      <c r="J12" s="12"/>
      <c r="K12" s="4"/>
      <c r="L12" s="4">
        <f t="shared" ref="L12:L14" si="0">+D12-H12</f>
        <v>-40262.49</v>
      </c>
      <c r="M12" s="4"/>
      <c r="N12" s="12">
        <f t="shared" ref="N12:N14" si="1">IF(H12=0,0,L12/H12)</f>
        <v>-1</v>
      </c>
      <c r="O12" s="10"/>
      <c r="P12" s="4">
        <f>SUM(OSRRefP13x_0)</f>
        <v>219221.16</v>
      </c>
      <c r="Q12" s="4"/>
      <c r="R12" s="12"/>
      <c r="S12" s="4"/>
      <c r="T12" s="4">
        <f>SUM(OSRRefT13x_0)</f>
        <v>402669.97</v>
      </c>
      <c r="U12" s="4"/>
      <c r="V12" s="12"/>
      <c r="W12" s="4"/>
      <c r="X12" s="4">
        <f t="shared" ref="X12:X14" si="2">+P12-T12</f>
        <v>-183448.80999999997</v>
      </c>
      <c r="Y12" s="4"/>
      <c r="Z12" s="12">
        <f t="shared" ref="Z12:Z14" si="3">IF(T12=0,0,X12/T12)</f>
        <v>-0.45558105562230028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--9895.51</f>
        <v>9895.51</v>
      </c>
      <c r="I13" s="2"/>
      <c r="J13" s="19"/>
      <c r="K13" s="2"/>
      <c r="L13" s="2">
        <f t="shared" si="0"/>
        <v>-9895.51</v>
      </c>
      <c r="M13" s="2"/>
      <c r="N13" s="19">
        <f t="shared" si="1"/>
        <v>-1</v>
      </c>
      <c r="O13" s="11"/>
      <c r="P13" s="2">
        <f>--48664.18</f>
        <v>48664.18</v>
      </c>
      <c r="Q13" s="2"/>
      <c r="R13" s="19"/>
      <c r="S13" s="2"/>
      <c r="T13" s="2">
        <f>--90776.48</f>
        <v>90776.48</v>
      </c>
      <c r="U13" s="2"/>
      <c r="V13" s="19"/>
      <c r="W13" s="2"/>
      <c r="X13" s="2">
        <f t="shared" si="2"/>
        <v>-42112.299999999996</v>
      </c>
      <c r="Y13" s="2"/>
      <c r="Z13" s="19">
        <f t="shared" si="3"/>
        <v>-0.46391201773851548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--30366.98</f>
        <v>30366.98</v>
      </c>
      <c r="I14" s="2"/>
      <c r="J14" s="19"/>
      <c r="K14" s="2"/>
      <c r="L14" s="2">
        <f t="shared" si="0"/>
        <v>-30366.98</v>
      </c>
      <c r="M14" s="2"/>
      <c r="N14" s="19">
        <f t="shared" si="1"/>
        <v>-1</v>
      </c>
      <c r="O14" s="11"/>
      <c r="P14" s="2">
        <f>--170556.98</f>
        <v>170556.98</v>
      </c>
      <c r="Q14" s="2"/>
      <c r="R14" s="19"/>
      <c r="S14" s="2"/>
      <c r="T14" s="2">
        <f>--311893.49</f>
        <v>311893.49</v>
      </c>
      <c r="U14" s="2"/>
      <c r="V14" s="19"/>
      <c r="W14" s="2"/>
      <c r="X14" s="2">
        <f t="shared" si="2"/>
        <v>-141336.50999999998</v>
      </c>
      <c r="Y14" s="2"/>
      <c r="Z14" s="19">
        <f t="shared" si="3"/>
        <v>-0.45315633231075131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19017.700000000004</v>
      </c>
      <c r="I16" s="4"/>
      <c r="J16" s="12">
        <f t="shared" ref="J16:J18" si="6">IF(H$12=0,0,H16/H$12)</f>
        <v>0.47234286801437281</v>
      </c>
      <c r="K16" s="4"/>
      <c r="L16" s="4">
        <f t="shared" ref="L16:L18" si="7">+D16-H16</f>
        <v>-19017.700000000004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196315.59999999998</v>
      </c>
      <c r="U16" s="4"/>
      <c r="V16" s="12">
        <f t="shared" ref="V16:V18" si="10">IF(T$12=0,0,T16/T$12)</f>
        <v>0.48753474216117976</v>
      </c>
      <c r="W16" s="4"/>
      <c r="X16" s="4">
        <f t="shared" ref="X16:X18" si="11">+P16-T16</f>
        <v>-196315.59999999998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16866.550000000003</v>
      </c>
      <c r="I17" s="2"/>
      <c r="J17" s="19">
        <f t="shared" si="6"/>
        <v>0.41891472683383474</v>
      </c>
      <c r="K17" s="2"/>
      <c r="L17" s="2">
        <f t="shared" si="7"/>
        <v>-16866.550000000003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190200.53999999998</v>
      </c>
      <c r="U17" s="2"/>
      <c r="V17" s="19">
        <f t="shared" si="10"/>
        <v>0.47234845945924397</v>
      </c>
      <c r="W17" s="2"/>
      <c r="X17" s="2">
        <f t="shared" si="11"/>
        <v>-190200.53999999998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2151.15</v>
      </c>
      <c r="I18" s="2"/>
      <c r="J18" s="19">
        <f t="shared" si="6"/>
        <v>5.342814118053802E-2</v>
      </c>
      <c r="K18" s="2"/>
      <c r="L18" s="2">
        <f t="shared" si="7"/>
        <v>-2151.15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6115.06</v>
      </c>
      <c r="U18" s="2"/>
      <c r="V18" s="19">
        <f t="shared" si="10"/>
        <v>1.5186282701935783E-2</v>
      </c>
      <c r="W18" s="2"/>
      <c r="X18" s="2">
        <f t="shared" si="11"/>
        <v>-6115.06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21244.789999999994</v>
      </c>
      <c r="I20" s="14"/>
      <c r="J20" s="20">
        <f>IF(H$12=0,0,H20/H$12)</f>
        <v>0.52765713198562714</v>
      </c>
      <c r="K20" s="16"/>
      <c r="L20" s="21">
        <f>+D20-H20</f>
        <v>-21244.789999999994</v>
      </c>
      <c r="M20" s="16"/>
      <c r="N20" s="20">
        <f>IF(H20=0,0,L20/H20)</f>
        <v>-1</v>
      </c>
      <c r="O20" s="28"/>
      <c r="P20" s="21">
        <f>P12-P16</f>
        <v>219221.16</v>
      </c>
      <c r="Q20" s="14"/>
      <c r="R20" s="20">
        <f>IF(P$12=0,0,P20/P$12)</f>
        <v>1</v>
      </c>
      <c r="S20" s="14"/>
      <c r="T20" s="21">
        <f>T12-T16</f>
        <v>206354.37</v>
      </c>
      <c r="U20" s="14"/>
      <c r="V20" s="20">
        <f>IF(T$12=0,0,T20/T$12)</f>
        <v>0.51246525783882024</v>
      </c>
      <c r="W20" s="16"/>
      <c r="X20" s="21">
        <f>+P20-T20</f>
        <v>12866.790000000008</v>
      </c>
      <c r="Y20" s="16"/>
      <c r="Z20" s="20">
        <f>IF(T20=0,0,X20/T20)</f>
        <v>6.2352883537189006E-2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0</v>
      </c>
      <c r="E22" s="22"/>
      <c r="F22" s="31">
        <f t="shared" ref="F22:F31" si="13">IF(D$12=0,0,D22/D$12)</f>
        <v>0</v>
      </c>
      <c r="G22" s="22"/>
      <c r="H22" s="22">
        <f>SUM(OSRRefH22x_0)</f>
        <v>0</v>
      </c>
      <c r="I22" s="22"/>
      <c r="J22" s="31">
        <f t="shared" ref="J22:J31" si="14">IF(H$12=0,0,H22/H$12)</f>
        <v>0</v>
      </c>
      <c r="K22" s="4"/>
      <c r="L22" s="22">
        <f t="shared" ref="L22:L31" si="15">+D22-H22</f>
        <v>0</v>
      </c>
      <c r="M22" s="4"/>
      <c r="N22" s="31">
        <f t="shared" ref="N22:N31" si="16">IF(H22=0,0,L22/H22)</f>
        <v>0</v>
      </c>
      <c r="O22" s="10"/>
      <c r="P22" s="22">
        <f>SUM(OSRRefP22x_0)</f>
        <v>89360.33</v>
      </c>
      <c r="Q22" s="22"/>
      <c r="R22" s="31">
        <f t="shared" ref="R22:R31" si="17">IF(P$12=0,0,P22/P$12)</f>
        <v>0.40762638971529941</v>
      </c>
      <c r="S22" s="22"/>
      <c r="T22" s="22">
        <f>SUM(OSRRefT22x_0)</f>
        <v>180288.42999999993</v>
      </c>
      <c r="U22" s="22"/>
      <c r="V22" s="31">
        <f t="shared" ref="V22:V31" si="18">IF(T$12=0,0,T22/T$12)</f>
        <v>0.44773249418127692</v>
      </c>
      <c r="W22" s="4"/>
      <c r="X22" s="22">
        <f t="shared" ref="X22:X31" si="19">+P22-T22</f>
        <v>-90928.099999999933</v>
      </c>
      <c r="Y22" s="4"/>
      <c r="Z22" s="31">
        <f t="shared" ref="Z22:Z31" si="20">IF(T22=0,0,X22/T22)</f>
        <v>-0.50434794956060114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3"/>
      <c r="P23" s="1">
        <f>SUM(OSRRefP22_0x_0)</f>
        <v>11123.479999999998</v>
      </c>
      <c r="Q23" s="1"/>
      <c r="R23" s="5">
        <f t="shared" si="17"/>
        <v>5.074090475572704E-2</v>
      </c>
      <c r="S23" s="1"/>
      <c r="T23" s="1">
        <f>SUM(OSRRefT22_0x_0)</f>
        <v>35799.410000000003</v>
      </c>
      <c r="U23" s="1"/>
      <c r="V23" s="5">
        <f t="shared" si="18"/>
        <v>8.8905090190857808E-2</v>
      </c>
      <c r="W23" s="1"/>
      <c r="X23" s="1">
        <f t="shared" si="19"/>
        <v>-24675.930000000008</v>
      </c>
      <c r="Y23" s="1"/>
      <c r="Z23" s="5">
        <f t="shared" si="20"/>
        <v>-0.68928314740382612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>
        <v>2378.39</v>
      </c>
      <c r="Q24" s="2"/>
      <c r="R24" s="7">
        <f t="shared" si="17"/>
        <v>1.084927203195166E-2</v>
      </c>
      <c r="S24" s="2"/>
      <c r="T24" s="6">
        <v>5364.59</v>
      </c>
      <c r="U24" s="2"/>
      <c r="V24" s="7">
        <f t="shared" si="18"/>
        <v>1.3322547991348847E-2</v>
      </c>
      <c r="W24" s="2"/>
      <c r="X24" s="6">
        <f t="shared" si="19"/>
        <v>-2986.2000000000003</v>
      </c>
      <c r="Y24" s="2"/>
      <c r="Z24" s="7">
        <f t="shared" si="20"/>
        <v>-0.55665018202695826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>
        <v>897.63</v>
      </c>
      <c r="Q25" s="2"/>
      <c r="R25" s="7">
        <f t="shared" si="17"/>
        <v>4.0946321057693516E-3</v>
      </c>
      <c r="S25" s="2"/>
      <c r="T25" s="6">
        <v>1209.8699999999999</v>
      </c>
      <c r="U25" s="2"/>
      <c r="V25" s="7">
        <f t="shared" si="18"/>
        <v>3.0046193909121161E-3</v>
      </c>
      <c r="W25" s="2"/>
      <c r="X25" s="6">
        <f t="shared" si="19"/>
        <v>-312.2399999999999</v>
      </c>
      <c r="Y25" s="2"/>
      <c r="Z25" s="7">
        <f t="shared" si="20"/>
        <v>-0.25807731409159657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4829.7</v>
      </c>
      <c r="Q26" s="2"/>
      <c r="R26" s="7">
        <f t="shared" si="17"/>
        <v>2.2031176187554156E-2</v>
      </c>
      <c r="S26" s="2"/>
      <c r="T26" s="6">
        <v>20270.86</v>
      </c>
      <c r="U26" s="2"/>
      <c r="V26" s="7">
        <f t="shared" si="18"/>
        <v>5.0341126754498235E-2</v>
      </c>
      <c r="W26" s="2"/>
      <c r="X26" s="6">
        <f t="shared" si="19"/>
        <v>-15441.16</v>
      </c>
      <c r="Y26" s="2"/>
      <c r="Z26" s="7">
        <f t="shared" si="20"/>
        <v>-0.76174173172721826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/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135.88999999999999</v>
      </c>
      <c r="Q27" s="2"/>
      <c r="R27" s="7">
        <f t="shared" si="17"/>
        <v>6.1987629296369009E-4</v>
      </c>
      <c r="S27" s="2"/>
      <c r="T27" s="6">
        <v>291.5</v>
      </c>
      <c r="U27" s="2"/>
      <c r="V27" s="7">
        <f t="shared" si="18"/>
        <v>7.2391790229601679E-4</v>
      </c>
      <c r="W27" s="2"/>
      <c r="X27" s="6">
        <f t="shared" si="19"/>
        <v>-155.61000000000001</v>
      </c>
      <c r="Y27" s="2"/>
      <c r="Z27" s="7">
        <f t="shared" si="20"/>
        <v>-0.53382504288164667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938.77</v>
      </c>
      <c r="Q28" s="2"/>
      <c r="R28" s="7">
        <f t="shared" si="17"/>
        <v>4.2822964717457021E-3</v>
      </c>
      <c r="S28" s="2"/>
      <c r="T28" s="6">
        <v>3046.46</v>
      </c>
      <c r="U28" s="2"/>
      <c r="V28" s="7">
        <f t="shared" si="18"/>
        <v>7.5656498546439908E-3</v>
      </c>
      <c r="W28" s="2"/>
      <c r="X28" s="6">
        <f t="shared" si="19"/>
        <v>-2107.69</v>
      </c>
      <c r="Y28" s="2"/>
      <c r="Z28" s="7">
        <f t="shared" si="20"/>
        <v>-0.69184890003479449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480.48</v>
      </c>
      <c r="Q29" s="2"/>
      <c r="R29" s="7">
        <f t="shared" si="17"/>
        <v>2.1917592261622922E-3</v>
      </c>
      <c r="S29" s="2"/>
      <c r="T29" s="6">
        <v>1757.16</v>
      </c>
      <c r="U29" s="2"/>
      <c r="V29" s="7">
        <f t="shared" si="18"/>
        <v>4.3637721481937187E-3</v>
      </c>
      <c r="W29" s="2"/>
      <c r="X29" s="6">
        <f t="shared" si="19"/>
        <v>-1276.68</v>
      </c>
      <c r="Y29" s="2"/>
      <c r="Z29" s="7">
        <f t="shared" si="20"/>
        <v>-0.72655876528033869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575.64</v>
      </c>
      <c r="Q30" s="2"/>
      <c r="R30" s="7">
        <f t="shared" si="17"/>
        <v>2.625841410564564E-3</v>
      </c>
      <c r="S30" s="2"/>
      <c r="T30" s="6">
        <v>2236.96</v>
      </c>
      <c r="U30" s="2"/>
      <c r="V30" s="7">
        <f t="shared" si="18"/>
        <v>5.5553186645629429E-3</v>
      </c>
      <c r="W30" s="2"/>
      <c r="X30" s="6">
        <f t="shared" si="19"/>
        <v>-1661.3200000000002</v>
      </c>
      <c r="Y30" s="2"/>
      <c r="Z30" s="7">
        <f t="shared" si="20"/>
        <v>-0.74266862170087977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886.98</v>
      </c>
      <c r="Q31" s="2"/>
      <c r="R31" s="7">
        <f t="shared" si="17"/>
        <v>4.0460510290156295E-3</v>
      </c>
      <c r="S31" s="2"/>
      <c r="T31" s="6">
        <v>1622.01</v>
      </c>
      <c r="U31" s="2"/>
      <c r="V31" s="7">
        <f t="shared" si="18"/>
        <v>4.0281374844019285E-3</v>
      </c>
      <c r="W31" s="2"/>
      <c r="X31" s="6">
        <f t="shared" si="19"/>
        <v>-735.03</v>
      </c>
      <c r="Y31" s="2"/>
      <c r="Z31" s="7">
        <f t="shared" si="20"/>
        <v>-0.45315996818761906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0</v>
      </c>
      <c r="I32" s="1"/>
      <c r="J32" s="5">
        <f t="shared" ref="J32:J37" si="22">IF(H$12=0,0,H32/H$12)</f>
        <v>0</v>
      </c>
      <c r="K32" s="1"/>
      <c r="L32" s="1">
        <f t="shared" ref="L32:L37" si="23">+D32-H32</f>
        <v>0</v>
      </c>
      <c r="M32" s="1"/>
      <c r="N32" s="5">
        <f t="shared" ref="N32:N37" si="24">IF(H32=0,0,L32/H32)</f>
        <v>0</v>
      </c>
      <c r="O32" s="13"/>
      <c r="P32" s="1">
        <f>SUM(OSRRefP22_1x_0)</f>
        <v>51637.380000000005</v>
      </c>
      <c r="Q32" s="1"/>
      <c r="R32" s="5">
        <f t="shared" ref="R32:R37" si="25">IF(P$12=0,0,P32/P$12)</f>
        <v>0.23554925081137243</v>
      </c>
      <c r="S32" s="1"/>
      <c r="T32" s="1">
        <f>SUM(OSRRefT22_1x_0)</f>
        <v>108556.81</v>
      </c>
      <c r="U32" s="1"/>
      <c r="V32" s="5">
        <f t="shared" ref="V32:V37" si="26">IF(T$12=0,0,T32/T$12)</f>
        <v>0.26959251518060812</v>
      </c>
      <c r="W32" s="1"/>
      <c r="X32" s="1">
        <f t="shared" ref="X32:X37" si="27">+P32-T32</f>
        <v>-56919.429999999993</v>
      </c>
      <c r="Y32" s="1"/>
      <c r="Z32" s="5">
        <f t="shared" ref="Z32:Z37" si="28">IF(T32=0,0,X32/T32)</f>
        <v>-0.52432850596844172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1"/>
      <c r="P33" s="6">
        <v>9840</v>
      </c>
      <c r="Q33" s="2"/>
      <c r="R33" s="7">
        <f t="shared" si="25"/>
        <v>4.488617795836862E-2</v>
      </c>
      <c r="S33" s="2"/>
      <c r="T33" s="6">
        <v>41348.32</v>
      </c>
      <c r="U33" s="2"/>
      <c r="V33" s="7">
        <f t="shared" si="26"/>
        <v>0.10268538277140458</v>
      </c>
      <c r="W33" s="2"/>
      <c r="X33" s="6">
        <f t="shared" si="27"/>
        <v>-31508.32</v>
      </c>
      <c r="Y33" s="2"/>
      <c r="Z33" s="7">
        <f t="shared" si="28"/>
        <v>-0.76202177017107342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14988.76</v>
      </c>
      <c r="Q34" s="2"/>
      <c r="R34" s="7">
        <f t="shared" si="25"/>
        <v>6.8372779343015971E-2</v>
      </c>
      <c r="S34" s="2"/>
      <c r="T34" s="6">
        <v>8304.02</v>
      </c>
      <c r="U34" s="2"/>
      <c r="V34" s="7">
        <f t="shared" si="26"/>
        <v>2.0622397046395093E-2</v>
      </c>
      <c r="W34" s="2"/>
      <c r="X34" s="6">
        <f t="shared" si="27"/>
        <v>6684.74</v>
      </c>
      <c r="Y34" s="2"/>
      <c r="Z34" s="7">
        <f t="shared" si="28"/>
        <v>0.80500046965204797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>
        <v>285.19</v>
      </c>
      <c r="Q35" s="2"/>
      <c r="R35" s="7">
        <f t="shared" si="25"/>
        <v>1.3009236882060107E-3</v>
      </c>
      <c r="S35" s="2"/>
      <c r="T35" s="6">
        <v>10505.29</v>
      </c>
      <c r="U35" s="2"/>
      <c r="V35" s="7">
        <f t="shared" si="26"/>
        <v>2.6089082332114315E-2</v>
      </c>
      <c r="W35" s="2"/>
      <c r="X35" s="6">
        <f t="shared" si="27"/>
        <v>-10220.1</v>
      </c>
      <c r="Y35" s="2"/>
      <c r="Z35" s="7">
        <f t="shared" si="28"/>
        <v>-0.9728527246749018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26466.43</v>
      </c>
      <c r="Q36" s="2"/>
      <c r="R36" s="7">
        <f t="shared" si="25"/>
        <v>0.12072935842507174</v>
      </c>
      <c r="S36" s="2"/>
      <c r="T36" s="6">
        <v>46974.18</v>
      </c>
      <c r="U36" s="2"/>
      <c r="V36" s="7">
        <f t="shared" si="26"/>
        <v>0.11665677477761752</v>
      </c>
      <c r="W36" s="2"/>
      <c r="X36" s="6">
        <f t="shared" si="27"/>
        <v>-20507.75</v>
      </c>
      <c r="Y36" s="2"/>
      <c r="Z36" s="7">
        <f t="shared" si="28"/>
        <v>-0.43657494393728641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/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>
        <v>57</v>
      </c>
      <c r="Q37" s="2"/>
      <c r="R37" s="7">
        <f t="shared" si="25"/>
        <v>2.6001139671006209E-4</v>
      </c>
      <c r="S37" s="2"/>
      <c r="T37" s="6">
        <v>1425</v>
      </c>
      <c r="U37" s="2"/>
      <c r="V37" s="7">
        <f t="shared" si="26"/>
        <v>3.5388782530765832E-3</v>
      </c>
      <c r="W37" s="2"/>
      <c r="X37" s="6">
        <f t="shared" si="27"/>
        <v>-1368</v>
      </c>
      <c r="Y37" s="2"/>
      <c r="Z37" s="7">
        <f t="shared" si="28"/>
        <v>-0.96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29">IF(D$12=0,0,D38/D$12)</f>
        <v>0</v>
      </c>
      <c r="G38" s="1"/>
      <c r="H38" s="1">
        <f>SUM(OSRRefH22_2x_0)</f>
        <v>0</v>
      </c>
      <c r="I38" s="1"/>
      <c r="J38" s="5">
        <f t="shared" ref="J38:J54" si="30">IF(H$12=0,0,H38/H$12)</f>
        <v>0</v>
      </c>
      <c r="K38" s="1"/>
      <c r="L38" s="1">
        <f t="shared" ref="L38:L54" si="31">+D38-H38</f>
        <v>0</v>
      </c>
      <c r="M38" s="1"/>
      <c r="N38" s="5">
        <f t="shared" ref="N38:N54" si="32">IF(H38=0,0,L38/H38)</f>
        <v>0</v>
      </c>
      <c r="O38" s="13"/>
      <c r="P38" s="1">
        <f>SUM(OSRRefP22_2x_0)</f>
        <v>856.19</v>
      </c>
      <c r="Q38" s="1"/>
      <c r="R38" s="5">
        <f t="shared" ref="R38:R54" si="33">IF(P$12=0,0,P38/P$12)</f>
        <v>3.9055992587576859E-3</v>
      </c>
      <c r="S38" s="1"/>
      <c r="T38" s="1">
        <f>SUM(OSRRefT22_2x_0)</f>
        <v>2324.6799999999998</v>
      </c>
      <c r="U38" s="1"/>
      <c r="V38" s="5">
        <f t="shared" ref="V38:V54" si="34">IF(T$12=0,0,T38/T$12)</f>
        <v>5.7731645595523306E-3</v>
      </c>
      <c r="W38" s="1"/>
      <c r="X38" s="1">
        <f t="shared" ref="X38:X54" si="35">+P38-T38</f>
        <v>-1468.4899999999998</v>
      </c>
      <c r="Y38" s="1"/>
      <c r="Z38" s="5">
        <f t="shared" ref="Z38:Z54" si="36">IF(T38=0,0,X38/T38)</f>
        <v>-0.63169554519331683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9"/>
        <v>0</v>
      </c>
      <c r="G39" s="2"/>
      <c r="H39" s="6"/>
      <c r="I39" s="2"/>
      <c r="J39" s="7">
        <f t="shared" si="30"/>
        <v>0</v>
      </c>
      <c r="K39" s="2"/>
      <c r="L39" s="6">
        <f t="shared" si="31"/>
        <v>0</v>
      </c>
      <c r="M39" s="2"/>
      <c r="N39" s="7">
        <f t="shared" si="32"/>
        <v>0</v>
      </c>
      <c r="O39" s="11"/>
      <c r="P39" s="6">
        <v>856.19</v>
      </c>
      <c r="Q39" s="2"/>
      <c r="R39" s="7">
        <f t="shared" si="33"/>
        <v>3.9055992587576859E-3</v>
      </c>
      <c r="S39" s="2"/>
      <c r="T39" s="6">
        <v>2324.6799999999998</v>
      </c>
      <c r="U39" s="2"/>
      <c r="V39" s="7">
        <f t="shared" si="34"/>
        <v>5.7731645595523306E-3</v>
      </c>
      <c r="W39" s="2"/>
      <c r="X39" s="6">
        <f t="shared" si="35"/>
        <v>-1468.4899999999998</v>
      </c>
      <c r="Y39" s="2"/>
      <c r="Z39" s="7">
        <f t="shared" si="36"/>
        <v>-0.63169554519331683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0</v>
      </c>
      <c r="I40" s="1"/>
      <c r="J40" s="5">
        <f t="shared" si="30"/>
        <v>0</v>
      </c>
      <c r="K40" s="1"/>
      <c r="L40" s="1">
        <f t="shared" si="31"/>
        <v>0</v>
      </c>
      <c r="M40" s="1"/>
      <c r="N40" s="5">
        <f t="shared" si="32"/>
        <v>0</v>
      </c>
      <c r="O40" s="13"/>
      <c r="P40" s="1">
        <f>SUM(OSRRefP22_3x_0)</f>
        <v>-11.14</v>
      </c>
      <c r="Q40" s="1"/>
      <c r="R40" s="5">
        <f t="shared" si="33"/>
        <v>-5.0816262444738457E-5</v>
      </c>
      <c r="S40" s="1"/>
      <c r="T40" s="1">
        <f>SUM(OSRRefT22_3x_0)</f>
        <v>-264.14</v>
      </c>
      <c r="U40" s="1"/>
      <c r="V40" s="5">
        <f t="shared" si="34"/>
        <v>-6.5597143983694636E-4</v>
      </c>
      <c r="W40" s="1"/>
      <c r="X40" s="1">
        <f t="shared" si="35"/>
        <v>253</v>
      </c>
      <c r="Y40" s="1"/>
      <c r="Z40" s="5">
        <f t="shared" si="36"/>
        <v>-0.95782539562353297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/>
      <c r="I41" s="2"/>
      <c r="J41" s="7">
        <f t="shared" si="30"/>
        <v>0</v>
      </c>
      <c r="K41" s="2"/>
      <c r="L41" s="6">
        <f t="shared" si="31"/>
        <v>0</v>
      </c>
      <c r="M41" s="2"/>
      <c r="N41" s="7">
        <f t="shared" si="32"/>
        <v>0</v>
      </c>
      <c r="O41" s="11"/>
      <c r="P41" s="6">
        <v>-11.14</v>
      </c>
      <c r="Q41" s="2"/>
      <c r="R41" s="7">
        <f t="shared" si="33"/>
        <v>-5.0816262444738457E-5</v>
      </c>
      <c r="S41" s="2"/>
      <c r="T41" s="6">
        <v>-264.14</v>
      </c>
      <c r="U41" s="2"/>
      <c r="V41" s="7">
        <f t="shared" si="34"/>
        <v>-6.5597143983694636E-4</v>
      </c>
      <c r="W41" s="2"/>
      <c r="X41" s="6">
        <f t="shared" si="35"/>
        <v>253</v>
      </c>
      <c r="Y41" s="2"/>
      <c r="Z41" s="7">
        <f t="shared" si="36"/>
        <v>-0.95782539562353297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0</v>
      </c>
      <c r="I42" s="1"/>
      <c r="J42" s="5">
        <f t="shared" si="30"/>
        <v>0</v>
      </c>
      <c r="K42" s="1"/>
      <c r="L42" s="1">
        <f t="shared" si="31"/>
        <v>0</v>
      </c>
      <c r="M42" s="1"/>
      <c r="N42" s="5">
        <f t="shared" si="32"/>
        <v>0</v>
      </c>
      <c r="O42" s="13"/>
      <c r="P42" s="1">
        <f>SUM(OSRRefP22_4x_0)</f>
        <v>6715.12</v>
      </c>
      <c r="Q42" s="1"/>
      <c r="R42" s="5">
        <f t="shared" si="33"/>
        <v>3.0631714566239865E-2</v>
      </c>
      <c r="S42" s="1"/>
      <c r="T42" s="1">
        <f>SUM(OSRRefT22_4x_0)</f>
        <v>12948</v>
      </c>
      <c r="U42" s="1"/>
      <c r="V42" s="5">
        <f t="shared" si="34"/>
        <v>3.2155365347954802E-2</v>
      </c>
      <c r="W42" s="1"/>
      <c r="X42" s="1">
        <f t="shared" si="35"/>
        <v>-6232.88</v>
      </c>
      <c r="Y42" s="1"/>
      <c r="Z42" s="5">
        <f t="shared" si="36"/>
        <v>-0.48137781896818044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/>
      <c r="I43" s="2"/>
      <c r="J43" s="7">
        <f t="shared" si="30"/>
        <v>0</v>
      </c>
      <c r="K43" s="2"/>
      <c r="L43" s="6">
        <f t="shared" si="31"/>
        <v>0</v>
      </c>
      <c r="M43" s="2"/>
      <c r="N43" s="7">
        <f t="shared" si="32"/>
        <v>0</v>
      </c>
      <c r="O43" s="11"/>
      <c r="P43" s="6">
        <v>6715.12</v>
      </c>
      <c r="Q43" s="2"/>
      <c r="R43" s="7">
        <f t="shared" si="33"/>
        <v>3.0631714566239865E-2</v>
      </c>
      <c r="S43" s="2"/>
      <c r="T43" s="6">
        <v>12948</v>
      </c>
      <c r="U43" s="2"/>
      <c r="V43" s="7">
        <f t="shared" si="34"/>
        <v>3.2155365347954802E-2</v>
      </c>
      <c r="W43" s="2"/>
      <c r="X43" s="6">
        <f t="shared" si="35"/>
        <v>-6232.88</v>
      </c>
      <c r="Y43" s="2"/>
      <c r="Z43" s="7">
        <f t="shared" si="36"/>
        <v>-0.48137781896818044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0</v>
      </c>
      <c r="E44" s="1"/>
      <c r="F44" s="5">
        <f t="shared" si="29"/>
        <v>0</v>
      </c>
      <c r="G44" s="1"/>
      <c r="H44" s="1">
        <f>SUM(OSRRefH22_5x_0)</f>
        <v>0</v>
      </c>
      <c r="I44" s="1"/>
      <c r="J44" s="5">
        <f t="shared" si="30"/>
        <v>0</v>
      </c>
      <c r="K44" s="1"/>
      <c r="L44" s="1">
        <f t="shared" si="31"/>
        <v>0</v>
      </c>
      <c r="M44" s="1"/>
      <c r="N44" s="5">
        <f t="shared" si="32"/>
        <v>0</v>
      </c>
      <c r="O44" s="13"/>
      <c r="P44" s="1">
        <f>SUM(OSRRefP22_5x_0)</f>
        <v>934.02</v>
      </c>
      <c r="Q44" s="1"/>
      <c r="R44" s="5">
        <f t="shared" si="33"/>
        <v>4.2606288553531969E-3</v>
      </c>
      <c r="S44" s="1"/>
      <c r="T44" s="1">
        <f>SUM(OSRRefT22_5x_0)</f>
        <v>469.74</v>
      </c>
      <c r="U44" s="1"/>
      <c r="V44" s="5">
        <f t="shared" si="34"/>
        <v>1.1665632776141713E-3</v>
      </c>
      <c r="W44" s="1"/>
      <c r="X44" s="1">
        <f t="shared" si="35"/>
        <v>464.28</v>
      </c>
      <c r="Y44" s="1"/>
      <c r="Z44" s="5">
        <f t="shared" si="36"/>
        <v>0.98837654872908409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>
        <v>934.02</v>
      </c>
      <c r="Q45" s="2"/>
      <c r="R45" s="7">
        <f t="shared" si="33"/>
        <v>4.2606288553531969E-3</v>
      </c>
      <c r="S45" s="2"/>
      <c r="T45" s="6">
        <v>469.74</v>
      </c>
      <c r="U45" s="2"/>
      <c r="V45" s="7">
        <f t="shared" si="34"/>
        <v>1.1665632776141713E-3</v>
      </c>
      <c r="W45" s="2"/>
      <c r="X45" s="6">
        <f t="shared" si="35"/>
        <v>464.28</v>
      </c>
      <c r="Y45" s="2"/>
      <c r="Z45" s="7">
        <f t="shared" si="36"/>
        <v>0.98837654872908409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3"/>
      <c r="P46" s="1">
        <f>SUM(OSRRefP22_6x_0)</f>
        <v>22.35</v>
      </c>
      <c r="Q46" s="1"/>
      <c r="R46" s="5">
        <f t="shared" si="33"/>
        <v>1.0195183713105068E-4</v>
      </c>
      <c r="S46" s="1"/>
      <c r="T46" s="1">
        <f>SUM(OSRRefT22_6x_0)</f>
        <v>0</v>
      </c>
      <c r="U46" s="1"/>
      <c r="V46" s="5">
        <f t="shared" si="34"/>
        <v>0</v>
      </c>
      <c r="W46" s="1"/>
      <c r="X46" s="1">
        <f t="shared" si="35"/>
        <v>22.35</v>
      </c>
      <c r="Y46" s="1"/>
      <c r="Z46" s="5">
        <f t="shared" si="36"/>
        <v>0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22.35</v>
      </c>
      <c r="Q47" s="2"/>
      <c r="R47" s="7">
        <f t="shared" si="33"/>
        <v>1.0195183713105068E-4</v>
      </c>
      <c r="S47" s="2"/>
      <c r="T47" s="6"/>
      <c r="U47" s="2"/>
      <c r="V47" s="7">
        <f t="shared" si="34"/>
        <v>0</v>
      </c>
      <c r="W47" s="2"/>
      <c r="X47" s="6">
        <f t="shared" si="35"/>
        <v>22.35</v>
      </c>
      <c r="Y47" s="2"/>
      <c r="Z47" s="7">
        <f t="shared" si="36"/>
        <v>0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SUM(OSRRefP22_7x_0)</f>
        <v>12</v>
      </c>
      <c r="Q48" s="1"/>
      <c r="R48" s="5">
        <f t="shared" si="33"/>
        <v>5.4739241412644655E-5</v>
      </c>
      <c r="S48" s="1"/>
      <c r="T48" s="1">
        <f>SUM(OSRRefT22_7x_0)</f>
        <v>0</v>
      </c>
      <c r="U48" s="1"/>
      <c r="V48" s="5">
        <f t="shared" si="34"/>
        <v>0</v>
      </c>
      <c r="W48" s="1"/>
      <c r="X48" s="1">
        <f t="shared" si="35"/>
        <v>12</v>
      </c>
      <c r="Y48" s="1"/>
      <c r="Z48" s="5">
        <f t="shared" si="36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12</v>
      </c>
      <c r="Q49" s="2"/>
      <c r="R49" s="7">
        <f t="shared" si="33"/>
        <v>5.4739241412644655E-5</v>
      </c>
      <c r="S49" s="2"/>
      <c r="T49" s="6"/>
      <c r="U49" s="2"/>
      <c r="V49" s="7">
        <f t="shared" si="34"/>
        <v>0</v>
      </c>
      <c r="W49" s="2"/>
      <c r="X49" s="6">
        <f t="shared" si="35"/>
        <v>12</v>
      </c>
      <c r="Y49" s="2"/>
      <c r="Z49" s="7">
        <f t="shared" si="36"/>
        <v>0</v>
      </c>
    </row>
    <row r="50" spans="1:26" s="27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3"/>
      <c r="P50" s="1">
        <f>SUM(OSRRefP22_8x_0)</f>
        <v>2057.59</v>
      </c>
      <c r="Q50" s="1"/>
      <c r="R50" s="5">
        <f t="shared" si="33"/>
        <v>9.3859096448536267E-3</v>
      </c>
      <c r="S50" s="1"/>
      <c r="T50" s="1">
        <f>SUM(OSRRefT22_8x_0)</f>
        <v>2749.91</v>
      </c>
      <c r="U50" s="1"/>
      <c r="V50" s="5">
        <f t="shared" si="34"/>
        <v>6.8291906645037374E-3</v>
      </c>
      <c r="W50" s="1"/>
      <c r="X50" s="1">
        <f t="shared" si="35"/>
        <v>-692.31999999999971</v>
      </c>
      <c r="Y50" s="1"/>
      <c r="Z50" s="5">
        <f t="shared" si="36"/>
        <v>-0.25176096672254716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2057.59</v>
      </c>
      <c r="Q51" s="2"/>
      <c r="R51" s="7">
        <f t="shared" si="33"/>
        <v>9.3859096448536267E-3</v>
      </c>
      <c r="S51" s="2"/>
      <c r="T51" s="6">
        <v>2749.91</v>
      </c>
      <c r="U51" s="2"/>
      <c r="V51" s="7">
        <f t="shared" si="34"/>
        <v>6.8291906645037374E-3</v>
      </c>
      <c r="W51" s="2"/>
      <c r="X51" s="6">
        <f t="shared" si="35"/>
        <v>-692.31999999999971</v>
      </c>
      <c r="Y51" s="2"/>
      <c r="Z51" s="7">
        <f t="shared" si="36"/>
        <v>-0.25176096672254716</v>
      </c>
    </row>
    <row r="52" spans="1:26" s="27" customFormat="1" outlineLevel="1" collapsed="1" x14ac:dyDescent="0.25">
      <c r="A52" s="25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29"/>
        <v>0</v>
      </c>
      <c r="G52" s="1"/>
      <c r="H52" s="1">
        <f>SUM(OSRRefH22_9x_0)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3"/>
      <c r="P52" s="1">
        <f>SUM(OSRRefP22_9x_0)</f>
        <v>5955.66</v>
      </c>
      <c r="Q52" s="1"/>
      <c r="R52" s="5">
        <f t="shared" si="33"/>
        <v>2.7167359209302605E-2</v>
      </c>
      <c r="S52" s="1"/>
      <c r="T52" s="1">
        <f>SUM(OSRRefT22_9x_0)</f>
        <v>7397.4800000000005</v>
      </c>
      <c r="U52" s="1"/>
      <c r="V52" s="5">
        <f t="shared" si="34"/>
        <v>1.8371074455837869E-2</v>
      </c>
      <c r="W52" s="1"/>
      <c r="X52" s="1">
        <f t="shared" si="35"/>
        <v>-1441.8200000000006</v>
      </c>
      <c r="Y52" s="1"/>
      <c r="Z52" s="5">
        <f t="shared" si="36"/>
        <v>-0.19490691424647319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93.22</v>
      </c>
      <c r="Q53" s="2"/>
      <c r="R53" s="7">
        <f t="shared" si="33"/>
        <v>4.2523267370722786E-4</v>
      </c>
      <c r="S53" s="2"/>
      <c r="T53" s="6">
        <v>378.06</v>
      </c>
      <c r="U53" s="2"/>
      <c r="V53" s="7">
        <f t="shared" si="34"/>
        <v>9.3888302621623367E-4</v>
      </c>
      <c r="W53" s="2"/>
      <c r="X53" s="6">
        <f t="shared" si="35"/>
        <v>-284.84000000000003</v>
      </c>
      <c r="Y53" s="2"/>
      <c r="Z53" s="7">
        <f t="shared" si="36"/>
        <v>-0.75342538221446342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5862.44</v>
      </c>
      <c r="Q54" s="2"/>
      <c r="R54" s="7">
        <f t="shared" si="33"/>
        <v>2.6742126535595375E-2</v>
      </c>
      <c r="S54" s="2"/>
      <c r="T54" s="6">
        <v>7019.42</v>
      </c>
      <c r="U54" s="2"/>
      <c r="V54" s="7">
        <f t="shared" si="34"/>
        <v>1.7432191429621633E-2</v>
      </c>
      <c r="W54" s="2"/>
      <c r="X54" s="6">
        <f t="shared" si="35"/>
        <v>-1156.9800000000005</v>
      </c>
      <c r="Y54" s="2"/>
      <c r="Z54" s="7">
        <f t="shared" si="36"/>
        <v>-0.1648255838801497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0</v>
      </c>
      <c r="E55" s="1"/>
      <c r="F55" s="5">
        <f t="shared" ref="F55:F58" si="37">IF(D$12=0,0,D55/D$12)</f>
        <v>0</v>
      </c>
      <c r="G55" s="1"/>
      <c r="H55" s="1">
        <f>SUM(OSRRefH22_10x_0)</f>
        <v>0</v>
      </c>
      <c r="I55" s="1"/>
      <c r="J55" s="5">
        <f t="shared" ref="J55:J58" si="38">IF(H$12=0,0,H55/H$12)</f>
        <v>0</v>
      </c>
      <c r="K55" s="1"/>
      <c r="L55" s="1">
        <f t="shared" ref="L55:L58" si="39">+D55-H55</f>
        <v>0</v>
      </c>
      <c r="M55" s="1"/>
      <c r="N55" s="5">
        <f t="shared" ref="N55:N58" si="40">IF(H55=0,0,L55/H55)</f>
        <v>0</v>
      </c>
      <c r="O55" s="13"/>
      <c r="P55" s="1">
        <f>SUM(OSRRefP22_10x_0)</f>
        <v>2457.09</v>
      </c>
      <c r="Q55" s="1"/>
      <c r="R55" s="5">
        <f t="shared" ref="R55:R58" si="41">IF(P$12=0,0,P55/P$12)</f>
        <v>1.1208270223549588E-2</v>
      </c>
      <c r="S55" s="1"/>
      <c r="T55" s="1">
        <f>SUM(OSRRefT22_10x_0)</f>
        <v>3512.02</v>
      </c>
      <c r="U55" s="1"/>
      <c r="V55" s="5">
        <f t="shared" ref="V55:V58" si="42">IF(T$12=0,0,T55/T$12)</f>
        <v>8.7218324227158039E-3</v>
      </c>
      <c r="W55" s="1"/>
      <c r="X55" s="1">
        <f t="shared" ref="X55:X58" si="43">+P55-T55</f>
        <v>-1054.9299999999998</v>
      </c>
      <c r="Y55" s="1"/>
      <c r="Z55" s="5">
        <f t="shared" ref="Z55:Z58" si="44">IF(T55=0,0,X55/T55)</f>
        <v>-0.30037699101941329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/>
      <c r="E56" s="2"/>
      <c r="F56" s="7">
        <f t="shared" si="37"/>
        <v>0</v>
      </c>
      <c r="G56" s="2"/>
      <c r="H56" s="6"/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2109.5100000000002</v>
      </c>
      <c r="Q56" s="2"/>
      <c r="R56" s="7">
        <f t="shared" si="41"/>
        <v>9.622748096032337E-3</v>
      </c>
      <c r="S56" s="2"/>
      <c r="T56" s="6">
        <v>3279.3</v>
      </c>
      <c r="U56" s="2"/>
      <c r="V56" s="7">
        <f t="shared" si="42"/>
        <v>8.1438901440800283E-3</v>
      </c>
      <c r="W56" s="2"/>
      <c r="X56" s="6">
        <f t="shared" si="43"/>
        <v>-1169.79</v>
      </c>
      <c r="Y56" s="2"/>
      <c r="Z56" s="7">
        <f t="shared" si="44"/>
        <v>-0.35671942182782906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>
        <v>161.58000000000001</v>
      </c>
      <c r="Q57" s="2"/>
      <c r="R57" s="7">
        <f t="shared" si="41"/>
        <v>7.3706388562126029E-4</v>
      </c>
      <c r="S57" s="2"/>
      <c r="T57" s="6">
        <v>232.72</v>
      </c>
      <c r="U57" s="2"/>
      <c r="V57" s="7">
        <f t="shared" si="42"/>
        <v>5.7794227863577712E-4</v>
      </c>
      <c r="W57" s="2"/>
      <c r="X57" s="6">
        <f t="shared" si="43"/>
        <v>-71.139999999999986</v>
      </c>
      <c r="Y57" s="2"/>
      <c r="Z57" s="7">
        <f t="shared" si="44"/>
        <v>-0.30568924028875899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186</v>
      </c>
      <c r="Q58" s="2"/>
      <c r="R58" s="7">
        <f t="shared" si="41"/>
        <v>8.4845824189599213E-4</v>
      </c>
      <c r="S58" s="2"/>
      <c r="T58" s="6"/>
      <c r="U58" s="2"/>
      <c r="V58" s="7">
        <f t="shared" si="42"/>
        <v>0</v>
      </c>
      <c r="W58" s="2"/>
      <c r="X58" s="6">
        <f t="shared" si="43"/>
        <v>186</v>
      </c>
      <c r="Y58" s="2"/>
      <c r="Z58" s="7">
        <f t="shared" si="44"/>
        <v>0</v>
      </c>
    </row>
    <row r="59" spans="1:26" s="27" customFormat="1" outlineLevel="1" collapsed="1" x14ac:dyDescent="0.25">
      <c r="A59" s="25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8" si="45">IF(D$12=0,0,D59/D$12)</f>
        <v>0</v>
      </c>
      <c r="G59" s="1"/>
      <c r="H59" s="1">
        <f>SUM(OSRRefH22_11x_0)</f>
        <v>0</v>
      </c>
      <c r="I59" s="1"/>
      <c r="J59" s="5">
        <f t="shared" ref="J59:J68" si="46">IF(H$12=0,0,H59/H$12)</f>
        <v>0</v>
      </c>
      <c r="K59" s="1"/>
      <c r="L59" s="1">
        <f t="shared" ref="L59:L68" si="47">+D59-H59</f>
        <v>0</v>
      </c>
      <c r="M59" s="1"/>
      <c r="N59" s="5">
        <f t="shared" ref="N59:N68" si="48">IF(H59=0,0,L59/H59)</f>
        <v>0</v>
      </c>
      <c r="O59" s="13"/>
      <c r="P59" s="1">
        <f>SUM(OSRRefP22_11x_0)</f>
        <v>0</v>
      </c>
      <c r="Q59" s="1"/>
      <c r="R59" s="5">
        <f t="shared" ref="R59:R68" si="49">IF(P$12=0,0,P59/P$12)</f>
        <v>0</v>
      </c>
      <c r="S59" s="1"/>
      <c r="T59" s="1">
        <f>SUM(OSRRefT22_11x_0)</f>
        <v>111.8</v>
      </c>
      <c r="U59" s="1"/>
      <c r="V59" s="5">
        <f t="shared" ref="V59:V68" si="50">IF(T$12=0,0,T59/T$12)</f>
        <v>2.7764672890804351E-4</v>
      </c>
      <c r="W59" s="1"/>
      <c r="X59" s="1">
        <f t="shared" ref="X59:X68" si="51">+P59-T59</f>
        <v>-111.8</v>
      </c>
      <c r="Y59" s="1"/>
      <c r="Z59" s="5">
        <f t="shared" ref="Z59:Z68" si="52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/>
      <c r="Q60" s="2"/>
      <c r="R60" s="7">
        <f t="shared" si="49"/>
        <v>0</v>
      </c>
      <c r="S60" s="2"/>
      <c r="T60" s="6">
        <v>111.8</v>
      </c>
      <c r="U60" s="2"/>
      <c r="V60" s="7">
        <f t="shared" si="50"/>
        <v>2.7764672890804351E-4</v>
      </c>
      <c r="W60" s="2"/>
      <c r="X60" s="6">
        <f t="shared" si="51"/>
        <v>-111.8</v>
      </c>
      <c r="Y60" s="2"/>
      <c r="Z60" s="7">
        <f t="shared" si="52"/>
        <v>-1</v>
      </c>
    </row>
    <row r="61" spans="1:26" s="27" customFormat="1" outlineLevel="1" collapsed="1" x14ac:dyDescent="0.25">
      <c r="A61" s="25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0</v>
      </c>
      <c r="E61" s="1"/>
      <c r="F61" s="5">
        <f t="shared" si="45"/>
        <v>0</v>
      </c>
      <c r="G61" s="1"/>
      <c r="H61" s="1">
        <f>SUM(OSRRefH22_12x_0)</f>
        <v>0</v>
      </c>
      <c r="I61" s="1"/>
      <c r="J61" s="5">
        <f t="shared" si="46"/>
        <v>0</v>
      </c>
      <c r="K61" s="1"/>
      <c r="L61" s="1">
        <f t="shared" si="47"/>
        <v>0</v>
      </c>
      <c r="M61" s="1"/>
      <c r="N61" s="5">
        <f t="shared" si="48"/>
        <v>0</v>
      </c>
      <c r="O61" s="13"/>
      <c r="P61" s="1">
        <f>SUM(OSRRefP22_12x_0)</f>
        <v>7054.5300000000007</v>
      </c>
      <c r="Q61" s="1"/>
      <c r="R61" s="5">
        <f t="shared" si="49"/>
        <v>3.2179968393562013E-2</v>
      </c>
      <c r="S61" s="1"/>
      <c r="T61" s="1">
        <f>SUM(OSRRefT22_12x_0)</f>
        <v>5681.61</v>
      </c>
      <c r="U61" s="1"/>
      <c r="V61" s="5">
        <f t="shared" si="50"/>
        <v>1.4109842857166627E-2</v>
      </c>
      <c r="W61" s="1"/>
      <c r="X61" s="1">
        <f t="shared" si="51"/>
        <v>1372.920000000001</v>
      </c>
      <c r="Y61" s="1"/>
      <c r="Z61" s="5">
        <f t="shared" si="52"/>
        <v>0.24164277379123189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900.42</v>
      </c>
      <c r="Q62" s="2"/>
      <c r="R62" s="7">
        <f t="shared" si="49"/>
        <v>4.1073589793977914E-3</v>
      </c>
      <c r="S62" s="2"/>
      <c r="T62" s="6">
        <v>1363.26</v>
      </c>
      <c r="U62" s="2"/>
      <c r="V62" s="7">
        <f t="shared" si="50"/>
        <v>3.3855516963432861E-3</v>
      </c>
      <c r="W62" s="2"/>
      <c r="X62" s="6">
        <f t="shared" si="51"/>
        <v>-462.84000000000003</v>
      </c>
      <c r="Y62" s="2"/>
      <c r="Z62" s="7">
        <f t="shared" si="52"/>
        <v>-0.33950970467849129</v>
      </c>
    </row>
    <row r="63" spans="1:26" s="24" customFormat="1" hidden="1" outlineLevel="2" x14ac:dyDescent="0.25">
      <c r="A63" s="26"/>
      <c r="B63" s="11" t="str">
        <f>CONCATENATE("          ", "6239", " - ", "KITCHEN SUPPLIES")</f>
        <v xml:space="preserve">          6239 - KITCHEN SUPPLIES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/>
      <c r="Q63" s="2"/>
      <c r="R63" s="7">
        <f t="shared" si="49"/>
        <v>0</v>
      </c>
      <c r="S63" s="2"/>
      <c r="T63" s="6">
        <v>17.87</v>
      </c>
      <c r="U63" s="2"/>
      <c r="V63" s="7">
        <f t="shared" si="50"/>
        <v>4.4378775005248102E-5</v>
      </c>
      <c r="W63" s="2"/>
      <c r="X63" s="6">
        <f t="shared" si="51"/>
        <v>-17.87</v>
      </c>
      <c r="Y63" s="2"/>
      <c r="Z63" s="7">
        <f t="shared" si="52"/>
        <v>-1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/>
      <c r="Q64" s="2"/>
      <c r="R64" s="7">
        <f t="shared" si="49"/>
        <v>0</v>
      </c>
      <c r="S64" s="2"/>
      <c r="T64" s="6">
        <v>68.36</v>
      </c>
      <c r="U64" s="2"/>
      <c r="V64" s="7">
        <f t="shared" si="50"/>
        <v>1.6976681921425629E-4</v>
      </c>
      <c r="W64" s="2"/>
      <c r="X64" s="6">
        <f t="shared" si="51"/>
        <v>-68.36</v>
      </c>
      <c r="Y64" s="2"/>
      <c r="Z64" s="7">
        <f t="shared" si="52"/>
        <v>-1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704.76</v>
      </c>
      <c r="Q65" s="2"/>
      <c r="R65" s="7">
        <f t="shared" si="49"/>
        <v>3.2148356481646206E-3</v>
      </c>
      <c r="S65" s="2"/>
      <c r="T65" s="6">
        <v>1745.87</v>
      </c>
      <c r="U65" s="2"/>
      <c r="V65" s="7">
        <f t="shared" si="50"/>
        <v>4.3357342987360098E-3</v>
      </c>
      <c r="W65" s="2"/>
      <c r="X65" s="6">
        <f t="shared" si="51"/>
        <v>-1041.1099999999999</v>
      </c>
      <c r="Y65" s="2"/>
      <c r="Z65" s="7">
        <f t="shared" si="52"/>
        <v>-0.59632733250471115</v>
      </c>
    </row>
    <row r="66" spans="1:26" s="24" customFormat="1" hidden="1" outlineLevel="2" x14ac:dyDescent="0.25">
      <c r="A66" s="26"/>
      <c r="B66" s="11" t="str">
        <f>CONCATENATE("          ", "6245", " - ", "PRINTING")</f>
        <v xml:space="preserve">          6245 - PRINTING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51.82</v>
      </c>
      <c r="U66" s="2"/>
      <c r="V66" s="7">
        <f t="shared" si="50"/>
        <v>1.2869099724521302E-4</v>
      </c>
      <c r="W66" s="2"/>
      <c r="X66" s="6">
        <f t="shared" si="51"/>
        <v>-51.82</v>
      </c>
      <c r="Y66" s="2"/>
      <c r="Z66" s="7">
        <f t="shared" si="52"/>
        <v>-1</v>
      </c>
    </row>
    <row r="67" spans="1:26" s="24" customFormat="1" hidden="1" outlineLevel="2" x14ac:dyDescent="0.25">
      <c r="A67" s="26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5449.35</v>
      </c>
      <c r="Q67" s="2"/>
      <c r="R67" s="7">
        <f t="shared" si="49"/>
        <v>2.4857773765999597E-2</v>
      </c>
      <c r="S67" s="2"/>
      <c r="T67" s="6">
        <v>2246.56</v>
      </c>
      <c r="U67" s="2"/>
      <c r="V67" s="7">
        <f t="shared" si="50"/>
        <v>5.5791595285836692E-3</v>
      </c>
      <c r="W67" s="2"/>
      <c r="X67" s="6">
        <f t="shared" si="51"/>
        <v>3202.7900000000004</v>
      </c>
      <c r="Y67" s="2"/>
      <c r="Z67" s="7">
        <f t="shared" si="52"/>
        <v>1.4256418702371627</v>
      </c>
    </row>
    <row r="68" spans="1:26" s="24" customFormat="1" hidden="1" outlineLevel="2" x14ac:dyDescent="0.25">
      <c r="A68" s="26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/>
      <c r="Q68" s="2"/>
      <c r="R68" s="7">
        <f t="shared" si="49"/>
        <v>0</v>
      </c>
      <c r="S68" s="2"/>
      <c r="T68" s="6">
        <v>187.87</v>
      </c>
      <c r="U68" s="2"/>
      <c r="V68" s="7">
        <f t="shared" si="50"/>
        <v>4.6656074203894573E-4</v>
      </c>
      <c r="W68" s="2"/>
      <c r="X68" s="6">
        <f t="shared" si="51"/>
        <v>-187.87</v>
      </c>
      <c r="Y68" s="2"/>
      <c r="Z68" s="7">
        <f t="shared" si="52"/>
        <v>-1</v>
      </c>
    </row>
    <row r="69" spans="1:26" s="27" customFormat="1" outlineLevel="1" collapsed="1" x14ac:dyDescent="0.25">
      <c r="A69" s="25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0</v>
      </c>
      <c r="E69" s="1"/>
      <c r="F69" s="5">
        <f t="shared" ref="F69:F70" si="53">IF(D$12=0,0,D69/D$12)</f>
        <v>0</v>
      </c>
      <c r="G69" s="1"/>
      <c r="H69" s="1">
        <f>SUM(OSRRefH22_13x_0)</f>
        <v>0</v>
      </c>
      <c r="I69" s="1"/>
      <c r="J69" s="5">
        <f t="shared" ref="J69:J70" si="54">IF(H$12=0,0,H69/H$12)</f>
        <v>0</v>
      </c>
      <c r="K69" s="1"/>
      <c r="L69" s="1">
        <f t="shared" ref="L69:L70" si="55">+D69-H69</f>
        <v>0</v>
      </c>
      <c r="M69" s="1"/>
      <c r="N69" s="5">
        <f t="shared" ref="N69:N70" si="56">IF(H69=0,0,L69/H69)</f>
        <v>0</v>
      </c>
      <c r="O69" s="13"/>
      <c r="P69" s="1">
        <f>SUM(OSRRefP22_13x_0)</f>
        <v>546.05999999999995</v>
      </c>
      <c r="Q69" s="1"/>
      <c r="R69" s="5">
        <f t="shared" ref="R69:R70" si="57">IF(P$12=0,0,P69/P$12)</f>
        <v>2.4909091804823946E-3</v>
      </c>
      <c r="S69" s="1"/>
      <c r="T69" s="1">
        <f>SUM(OSRRefT22_13x_0)</f>
        <v>1001.11</v>
      </c>
      <c r="U69" s="1"/>
      <c r="V69" s="5">
        <f t="shared" ref="V69:V70" si="58">IF(T$12=0,0,T69/T$12)</f>
        <v>2.4861799353947354E-3</v>
      </c>
      <c r="W69" s="1"/>
      <c r="X69" s="1">
        <f t="shared" ref="X69:X70" si="59">+P69-T69</f>
        <v>-455.05000000000007</v>
      </c>
      <c r="Y69" s="1"/>
      <c r="Z69" s="5">
        <f t="shared" ref="Z69:Z70" si="60">IF(T69=0,0,X69/T69)</f>
        <v>-0.45454545454545459</v>
      </c>
    </row>
    <row r="70" spans="1:26" s="24" customFormat="1" hidden="1" outlineLevel="2" x14ac:dyDescent="0.25">
      <c r="A70" s="26"/>
      <c r="B70" s="11" t="str">
        <f>CONCATENATE("          ", "6309", " - ", "TELEPHONE")</f>
        <v xml:space="preserve">          6309 - TELEPHONE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546.05999999999995</v>
      </c>
      <c r="Q70" s="2"/>
      <c r="R70" s="7">
        <f t="shared" si="57"/>
        <v>2.4909091804823946E-3</v>
      </c>
      <c r="S70" s="2"/>
      <c r="T70" s="6">
        <v>1001.11</v>
      </c>
      <c r="U70" s="2"/>
      <c r="V70" s="7">
        <f t="shared" si="58"/>
        <v>2.4861799353947354E-3</v>
      </c>
      <c r="W70" s="2"/>
      <c r="X70" s="6">
        <f t="shared" si="59"/>
        <v>-455.05000000000007</v>
      </c>
      <c r="Y70" s="2"/>
      <c r="Z70" s="7">
        <f t="shared" si="60"/>
        <v>-0.45454545454545459</v>
      </c>
    </row>
    <row r="71" spans="1:26" s="58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1">
        <f>+D20-D22+D72</f>
        <v>0</v>
      </c>
      <c r="E74" s="14"/>
      <c r="F74" s="20">
        <f>IF(D$12=0,0,D74/D$12)</f>
        <v>0</v>
      </c>
      <c r="G74" s="14"/>
      <c r="H74" s="21">
        <f>+H20-H22+H72</f>
        <v>21244.789999999994</v>
      </c>
      <c r="I74" s="14"/>
      <c r="J74" s="20">
        <f>IF(H$12=0,0,H74/H$12)</f>
        <v>0.52765713198562714</v>
      </c>
      <c r="K74" s="16"/>
      <c r="L74" s="21">
        <f>+D74-H74</f>
        <v>-21244.789999999994</v>
      </c>
      <c r="M74" s="16"/>
      <c r="N74" s="20">
        <f>IF(H74=0,0,L74/H74)</f>
        <v>-1</v>
      </c>
      <c r="O74" s="28"/>
      <c r="P74" s="21">
        <f>+P20-P22+P72</f>
        <v>129860.83</v>
      </c>
      <c r="Q74" s="14"/>
      <c r="R74" s="20">
        <f>IF(P$12=0,0,P74/P$12)</f>
        <v>0.59237361028470059</v>
      </c>
      <c r="S74" s="14"/>
      <c r="T74" s="21">
        <f>+T20-T22+T72</f>
        <v>26065.940000000061</v>
      </c>
      <c r="U74" s="14"/>
      <c r="V74" s="20">
        <f>IF(T$12=0,0,T74/T$12)</f>
        <v>6.4732763657543324E-2</v>
      </c>
      <c r="W74" s="16"/>
      <c r="X74" s="21">
        <f>+P74-T74</f>
        <v>103794.88999999994</v>
      </c>
      <c r="Y74" s="16"/>
      <c r="Z74" s="20">
        <f>IF(T74=0,0,X74/T74)</f>
        <v>3.9820121583951971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/>
      <c r="E76" s="4"/>
      <c r="F76" s="12">
        <f>IF(D$12=0,0,D76/D$12)</f>
        <v>0</v>
      </c>
      <c r="G76" s="4"/>
      <c r="H76" s="4">
        <v>4208.1899999999996</v>
      </c>
      <c r="I76" s="4"/>
      <c r="J76" s="12">
        <f>IF(H$12=0,0,H76/H$12)</f>
        <v>0.10451887103852742</v>
      </c>
      <c r="K76" s="4"/>
      <c r="L76" s="4">
        <f>+D76-H76</f>
        <v>-4208.1899999999996</v>
      </c>
      <c r="M76" s="4"/>
      <c r="N76" s="12">
        <f>IF(H76=0,0,L76/H76)</f>
        <v>-1</v>
      </c>
      <c r="O76" s="10"/>
      <c r="P76" s="4"/>
      <c r="Q76" s="4"/>
      <c r="R76" s="12">
        <f>IF(P$12=0,0,P76/P$12)</f>
        <v>0</v>
      </c>
      <c r="S76" s="4"/>
      <c r="T76" s="4">
        <v>41883.550000000003</v>
      </c>
      <c r="U76" s="4"/>
      <c r="V76" s="12">
        <f>IF(T$12=0,0,T76/T$12)</f>
        <v>0.10401458544326016</v>
      </c>
      <c r="W76" s="4"/>
      <c r="X76" s="4">
        <f>+P76-T76</f>
        <v>-41883.550000000003</v>
      </c>
      <c r="Y76" s="4"/>
      <c r="Z76" s="12">
        <f>IF(T76=0,0,X76/T76)</f>
        <v>-1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5">
        <f>+D74-D76</f>
        <v>0</v>
      </c>
      <c r="E78" s="14"/>
      <c r="F78" s="32">
        <f>IF(D$12=0,0,D78/D$12)</f>
        <v>0</v>
      </c>
      <c r="G78" s="14"/>
      <c r="H78" s="35">
        <f>+H74-H76</f>
        <v>17036.599999999995</v>
      </c>
      <c r="I78" s="14"/>
      <c r="J78" s="32">
        <f>IF(H$12=0,0,H78/H$12)</f>
        <v>0.42313826094709978</v>
      </c>
      <c r="K78" s="16"/>
      <c r="L78" s="35">
        <f>D78-H78</f>
        <v>-17036.599999999995</v>
      </c>
      <c r="M78" s="16"/>
      <c r="N78" s="32">
        <f>IF(H78=0,0,L78/H78)</f>
        <v>-1</v>
      </c>
      <c r="O78" s="28"/>
      <c r="P78" s="35">
        <f>+P74-P76</f>
        <v>129860.83</v>
      </c>
      <c r="Q78" s="14"/>
      <c r="R78" s="32">
        <f>IF(P$12=0,0,P78/P$12)</f>
        <v>0.59237361028470059</v>
      </c>
      <c r="S78" s="14"/>
      <c r="T78" s="35">
        <f>+T74-T76</f>
        <v>-15817.609999999942</v>
      </c>
      <c r="U78" s="14"/>
      <c r="V78" s="32">
        <f>IF(T$12=0,0,T78/T$12)</f>
        <v>-3.9281821785716833E-2</v>
      </c>
      <c r="W78" s="16"/>
      <c r="X78" s="35">
        <f>P78-T78</f>
        <v>145678.43999999994</v>
      </c>
      <c r="Y78" s="16"/>
      <c r="Z78" s="32">
        <f>IF(T78=0,0,X78/T78)</f>
        <v>-9.2098894839359726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6">
        <f>SUM(D78:D80)</f>
        <v>0</v>
      </c>
      <c r="E81" s="14"/>
      <c r="F81" s="33">
        <f>IF(D$12=0,0,D81/D$12)</f>
        <v>0</v>
      </c>
      <c r="G81" s="14"/>
      <c r="H81" s="36">
        <f>SUM(H78:H80)</f>
        <v>17036.599999999995</v>
      </c>
      <c r="I81" s="14"/>
      <c r="J81" s="33">
        <f>IF(H$12=0,0,H81/H$12)</f>
        <v>0.42313826094709978</v>
      </c>
      <c r="K81" s="16"/>
      <c r="L81" s="36">
        <f>+D81-H81</f>
        <v>-17036.599999999995</v>
      </c>
      <c r="M81" s="16"/>
      <c r="N81" s="33">
        <f>IF(H81=0,0,L81/H81)</f>
        <v>-1</v>
      </c>
      <c r="O81" s="28"/>
      <c r="P81" s="36">
        <f>SUM(P78:P80)</f>
        <v>129860.83</v>
      </c>
      <c r="Q81" s="14"/>
      <c r="R81" s="33">
        <f>IF(P$12=0,0,P81/P$12)</f>
        <v>0.59237361028470059</v>
      </c>
      <c r="S81" s="14"/>
      <c r="T81" s="36">
        <f>SUM(T78:T80)</f>
        <v>-15817.609999999942</v>
      </c>
      <c r="U81" s="14"/>
      <c r="V81" s="33">
        <f>IF(T$12=0,0,T81/T$12)</f>
        <v>-3.9281821785716833E-2</v>
      </c>
      <c r="W81" s="16"/>
      <c r="X81" s="36">
        <f>+P81-T81</f>
        <v>145678.43999999994</v>
      </c>
      <c r="Y81" s="16"/>
      <c r="Z81" s="33">
        <f>IF(T81=0,0,X81/T81)</f>
        <v>-9.2098894839359726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55">
        <v>43992.375499768517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2" t="s">
        <v>313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3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2"/>
      <c r="G12" s="4"/>
      <c r="H12" s="4">
        <f>SUM(OSRRefH13x_0)</f>
        <v>34958.32</v>
      </c>
      <c r="I12" s="4"/>
      <c r="J12" s="12"/>
      <c r="K12" s="4"/>
      <c r="L12" s="4">
        <f t="shared" ref="L12:L21" si="0">+D12-H12</f>
        <v>-34929.96</v>
      </c>
      <c r="M12" s="4"/>
      <c r="N12" s="12">
        <f t="shared" ref="N12:N21" si="1">IF(H12=0,0,L12/H12)</f>
        <v>-0.99918874820071446</v>
      </c>
      <c r="O12" s="10"/>
      <c r="P12" s="4">
        <f>SUM(OSRRefP13x_0)</f>
        <v>495882.73000000004</v>
      </c>
      <c r="Q12" s="4"/>
      <c r="R12" s="12"/>
      <c r="S12" s="4"/>
      <c r="T12" s="4">
        <f>SUM(OSRRefT13x_0)</f>
        <v>620904.55000000005</v>
      </c>
      <c r="U12" s="4"/>
      <c r="V12" s="12"/>
      <c r="W12" s="4"/>
      <c r="X12" s="4">
        <f t="shared" ref="X12:X21" si="2">+P12-T12</f>
        <v>-125021.82</v>
      </c>
      <c r="Y12" s="4"/>
      <c r="Z12" s="12">
        <f t="shared" ref="Z12:Z21" si="3">IF(T12=0,0,X12/T12)</f>
        <v>-0.20135433054887422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>
        <f>--9435.24</f>
        <v>9435.24</v>
      </c>
      <c r="I13" s="2"/>
      <c r="J13" s="19"/>
      <c r="K13" s="2"/>
      <c r="L13" s="2">
        <f t="shared" si="0"/>
        <v>-9435.24</v>
      </c>
      <c r="M13" s="2"/>
      <c r="N13" s="19">
        <f t="shared" si="1"/>
        <v>-1</v>
      </c>
      <c r="O13" s="11"/>
      <c r="P13" s="2">
        <f>--104992.39</f>
        <v>104992.39</v>
      </c>
      <c r="Q13" s="2"/>
      <c r="R13" s="19"/>
      <c r="S13" s="2"/>
      <c r="T13" s="2">
        <f>--131425.06</f>
        <v>131425.06</v>
      </c>
      <c r="U13" s="2"/>
      <c r="V13" s="19"/>
      <c r="W13" s="2"/>
      <c r="X13" s="2">
        <f t="shared" si="2"/>
        <v>-26432.67</v>
      </c>
      <c r="Y13" s="2"/>
      <c r="Z13" s="19">
        <f t="shared" si="3"/>
        <v>-0.20112351479999324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--270.85</f>
        <v>270.85000000000002</v>
      </c>
      <c r="I15" s="2"/>
      <c r="J15" s="19"/>
      <c r="K15" s="2"/>
      <c r="L15" s="2">
        <f t="shared" si="0"/>
        <v>-270.85000000000002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--2710.12</f>
        <v>2710.12</v>
      </c>
      <c r="U15" s="2"/>
      <c r="V15" s="19"/>
      <c r="W15" s="2"/>
      <c r="X15" s="2">
        <f t="shared" si="2"/>
        <v>411.82999999999993</v>
      </c>
      <c r="Y15" s="2"/>
      <c r="Z15" s="19">
        <f t="shared" si="3"/>
        <v>0.15196006080911545</v>
      </c>
    </row>
    <row r="16" spans="1:26" s="24" customFormat="1" hidden="1" outlineLevel="1" x14ac:dyDescent="0.25">
      <c r="A16" s="44"/>
      <c r="B16" s="11" t="str">
        <f>CONCATENATE("          ", "4131", " - ", "NON-TAXABLE SALES-FOOD")</f>
        <v xml:space="preserve">          4131 - NON-TAXABLE SALES-FOOD</v>
      </c>
      <c r="C16" s="11"/>
      <c r="D16" s="2">
        <f>--2.48</f>
        <v>2.48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2.48</v>
      </c>
      <c r="M16" s="2"/>
      <c r="N16" s="19">
        <f t="shared" si="1"/>
        <v>0</v>
      </c>
      <c r="O16" s="11"/>
      <c r="P16" s="2">
        <f>--2.48</f>
        <v>2.48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2.48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ref="D17:D18" si="5">0</f>
        <v>0</v>
      </c>
      <c r="E17" s="2"/>
      <c r="F17" s="19"/>
      <c r="G17" s="2"/>
      <c r="H17" s="2">
        <f>--25137.84</f>
        <v>25137.84</v>
      </c>
      <c r="I17" s="2"/>
      <c r="J17" s="19"/>
      <c r="K17" s="2"/>
      <c r="L17" s="2">
        <f t="shared" si="0"/>
        <v>-25137.84</v>
      </c>
      <c r="M17" s="2"/>
      <c r="N17" s="19">
        <f t="shared" si="1"/>
        <v>-1</v>
      </c>
      <c r="O17" s="11"/>
      <c r="P17" s="2">
        <f>--386093.8</f>
        <v>386093.8</v>
      </c>
      <c r="Q17" s="2"/>
      <c r="R17" s="19"/>
      <c r="S17" s="2"/>
      <c r="T17" s="2">
        <f>--484454.95</f>
        <v>484454.95</v>
      </c>
      <c r="U17" s="2"/>
      <c r="V17" s="19"/>
      <c r="W17" s="2"/>
      <c r="X17" s="2">
        <f t="shared" si="2"/>
        <v>-98361.150000000023</v>
      </c>
      <c r="Y17" s="2"/>
      <c r="Z17" s="19">
        <f t="shared" si="3"/>
        <v>-0.20303466813580917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 t="shared" si="5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--23.64</f>
        <v>23.64</v>
      </c>
      <c r="E19" s="2"/>
      <c r="F19" s="19"/>
      <c r="G19" s="2"/>
      <c r="H19" s="2">
        <f>--1.89</f>
        <v>1.89</v>
      </c>
      <c r="I19" s="2"/>
      <c r="J19" s="19"/>
      <c r="K19" s="2"/>
      <c r="L19" s="2">
        <f t="shared" si="0"/>
        <v>21.75</v>
      </c>
      <c r="M19" s="2"/>
      <c r="N19" s="19">
        <f t="shared" si="1"/>
        <v>11.507936507936508</v>
      </c>
      <c r="O19" s="11"/>
      <c r="P19" s="2">
        <f>--94.84</f>
        <v>94.84</v>
      </c>
      <c r="Q19" s="2"/>
      <c r="R19" s="19"/>
      <c r="S19" s="2"/>
      <c r="T19" s="2">
        <f>--55.83</f>
        <v>55.83</v>
      </c>
      <c r="U19" s="2"/>
      <c r="V19" s="19"/>
      <c r="W19" s="2"/>
      <c r="X19" s="2">
        <f t="shared" si="2"/>
        <v>39.010000000000005</v>
      </c>
      <c r="Y19" s="2"/>
      <c r="Z19" s="19">
        <f t="shared" si="3"/>
        <v>0.69872828228550965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--2.24</f>
        <v>2.2400000000000002</v>
      </c>
      <c r="E20" s="2"/>
      <c r="F20" s="19"/>
      <c r="G20" s="2"/>
      <c r="H20" s="2">
        <f>--112.5</f>
        <v>112.5</v>
      </c>
      <c r="I20" s="2"/>
      <c r="J20" s="19"/>
      <c r="K20" s="2"/>
      <c r="L20" s="2">
        <f t="shared" si="0"/>
        <v>-110.26</v>
      </c>
      <c r="M20" s="2"/>
      <c r="N20" s="19">
        <f t="shared" si="1"/>
        <v>-0.9800888888888889</v>
      </c>
      <c r="O20" s="11"/>
      <c r="P20" s="2">
        <f>--1575.68</f>
        <v>1575.68</v>
      </c>
      <c r="Q20" s="2"/>
      <c r="R20" s="19"/>
      <c r="S20" s="2"/>
      <c r="T20" s="2">
        <f>--2240.29</f>
        <v>2240.29</v>
      </c>
      <c r="U20" s="2"/>
      <c r="V20" s="19"/>
      <c r="W20" s="2"/>
      <c r="X20" s="2">
        <f t="shared" si="2"/>
        <v>-664.6099999999999</v>
      </c>
      <c r="Y20" s="2"/>
      <c r="Z20" s="19">
        <f t="shared" si="3"/>
        <v>-0.29666248566033859</v>
      </c>
    </row>
    <row r="21" spans="1:26" s="24" customFormat="1" hidden="1" outlineLevel="1" x14ac:dyDescent="0.25">
      <c r="A21" s="44"/>
      <c r="B21" s="11" t="str">
        <f>CONCATENATE("          ", "4233", " - ", "SALES RETURN TAXABLE-CANDY")</f>
        <v xml:space="preserve">          4233 - SALES RETURN TAXABLE-CANDY</v>
      </c>
      <c r="C21" s="11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-1.69</f>
        <v>-1.69</v>
      </c>
      <c r="U21" s="2"/>
      <c r="V21" s="19"/>
      <c r="W21" s="2"/>
      <c r="X21" s="2">
        <f t="shared" si="2"/>
        <v>1.69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8" t="s">
        <v>8</v>
      </c>
      <c r="C23" s="10"/>
      <c r="D23" s="4">
        <f>SUM(OSRRefD16x_0)</f>
        <v>-978.49</v>
      </c>
      <c r="E23" s="4"/>
      <c r="F23" s="12">
        <f t="shared" ref="F23:F25" si="6">IF(D$12=0,0,D23/D$12)</f>
        <v>-34.5024682651622</v>
      </c>
      <c r="G23" s="4"/>
      <c r="H23" s="4">
        <f>SUM(OSRRefH16x_0)</f>
        <v>17769.669999999998</v>
      </c>
      <c r="I23" s="4"/>
      <c r="J23" s="12">
        <f t="shared" ref="J23:J25" si="7">IF(H$12=0,0,H23/H$12)</f>
        <v>0.50831018195382383</v>
      </c>
      <c r="K23" s="4"/>
      <c r="L23" s="4">
        <f t="shared" ref="L23:L25" si="8">+D23-H23</f>
        <v>-18748.16</v>
      </c>
      <c r="M23" s="4"/>
      <c r="N23" s="12">
        <f t="shared" ref="N23:N25" si="9">IF(H23=0,0,L23/H23)</f>
        <v>-1.0550651756616753</v>
      </c>
      <c r="O23" s="10"/>
      <c r="P23" s="4">
        <f>SUM(OSRRefP16x_0)</f>
        <v>241158.98999999996</v>
      </c>
      <c r="Q23" s="4"/>
      <c r="R23" s="12">
        <f t="shared" ref="R23:R25" si="10">IF(P$12=0,0,P23/P$12)</f>
        <v>0.48632262309276214</v>
      </c>
      <c r="S23" s="4"/>
      <c r="T23" s="4">
        <f>SUM(OSRRefT16x_0)</f>
        <v>296158.55</v>
      </c>
      <c r="U23" s="4"/>
      <c r="V23" s="12">
        <f t="shared" ref="V23:V25" si="11">IF(T$12=0,0,T23/T$12)</f>
        <v>0.47697919108500647</v>
      </c>
      <c r="W23" s="4"/>
      <c r="X23" s="4">
        <f t="shared" ref="X23:X25" si="12">+P23-T23</f>
        <v>-54999.560000000027</v>
      </c>
      <c r="Y23" s="4"/>
      <c r="Z23" s="12">
        <f t="shared" ref="Z23:Z25" si="13">IF(T23=0,0,X23/T23)</f>
        <v>-0.18570985034874066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-978.49</v>
      </c>
      <c r="E24" s="2"/>
      <c r="F24" s="19">
        <f t="shared" si="6"/>
        <v>-34.5024682651622</v>
      </c>
      <c r="G24" s="2"/>
      <c r="H24" s="2">
        <v>7548.94</v>
      </c>
      <c r="I24" s="2"/>
      <c r="J24" s="19">
        <f t="shared" si="7"/>
        <v>0.21594115506694828</v>
      </c>
      <c r="K24" s="2"/>
      <c r="L24" s="2">
        <f t="shared" si="8"/>
        <v>-8527.43</v>
      </c>
      <c r="M24" s="2"/>
      <c r="N24" s="19">
        <f t="shared" si="9"/>
        <v>-1.1296195227409411</v>
      </c>
      <c r="O24" s="11"/>
      <c r="P24" s="2">
        <v>236746.99999999997</v>
      </c>
      <c r="Q24" s="2"/>
      <c r="R24" s="19">
        <f t="shared" si="10"/>
        <v>0.47742537837524601</v>
      </c>
      <c r="S24" s="2"/>
      <c r="T24" s="2">
        <v>278616.28999999998</v>
      </c>
      <c r="U24" s="2"/>
      <c r="V24" s="19">
        <f t="shared" si="11"/>
        <v>0.44872644273584394</v>
      </c>
      <c r="W24" s="2"/>
      <c r="X24" s="2">
        <f t="shared" si="12"/>
        <v>-41869.290000000008</v>
      </c>
      <c r="Y24" s="2"/>
      <c r="Z24" s="19">
        <f t="shared" si="13"/>
        <v>-0.15027581481326885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/>
      <c r="E25" s="2"/>
      <c r="F25" s="19">
        <f t="shared" si="6"/>
        <v>0</v>
      </c>
      <c r="G25" s="2"/>
      <c r="H25" s="2">
        <v>10220.73</v>
      </c>
      <c r="I25" s="2"/>
      <c r="J25" s="19">
        <f t="shared" si="7"/>
        <v>0.29236902688687555</v>
      </c>
      <c r="K25" s="2"/>
      <c r="L25" s="2">
        <f t="shared" si="8"/>
        <v>-10220.73</v>
      </c>
      <c r="M25" s="2"/>
      <c r="N25" s="19">
        <f t="shared" si="9"/>
        <v>-1</v>
      </c>
      <c r="O25" s="11"/>
      <c r="P25" s="2">
        <v>4411.99</v>
      </c>
      <c r="Q25" s="2"/>
      <c r="R25" s="19">
        <f t="shared" si="10"/>
        <v>8.8972447175161753E-3</v>
      </c>
      <c r="S25" s="2"/>
      <c r="T25" s="2">
        <v>17542.259999999998</v>
      </c>
      <c r="U25" s="2"/>
      <c r="V25" s="19">
        <f t="shared" si="11"/>
        <v>2.8252748349162519E-2</v>
      </c>
      <c r="W25" s="2"/>
      <c r="X25" s="2">
        <f t="shared" si="12"/>
        <v>-13130.269999999999</v>
      </c>
      <c r="Y25" s="2"/>
      <c r="Z25" s="19">
        <f t="shared" si="13"/>
        <v>-0.74849363764988086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1">
        <f>D12-D23</f>
        <v>1006.85</v>
      </c>
      <c r="E27" s="14"/>
      <c r="F27" s="20">
        <f>IF(D$12=0,0,D27/D$12)</f>
        <v>35.5024682651622</v>
      </c>
      <c r="G27" s="14"/>
      <c r="H27" s="21">
        <f>H12-H23</f>
        <v>17188.650000000001</v>
      </c>
      <c r="I27" s="14"/>
      <c r="J27" s="20">
        <f>IF(H$12=0,0,H27/H$12)</f>
        <v>0.49168981804617617</v>
      </c>
      <c r="K27" s="16"/>
      <c r="L27" s="21">
        <f>+D27-H27</f>
        <v>-16181.800000000001</v>
      </c>
      <c r="M27" s="16"/>
      <c r="N27" s="20">
        <f>IF(H27=0,0,L27/H27)</f>
        <v>-0.9414235556602758</v>
      </c>
      <c r="O27" s="28"/>
      <c r="P27" s="21">
        <f>P12-P23</f>
        <v>254723.74000000008</v>
      </c>
      <c r="Q27" s="14"/>
      <c r="R27" s="20">
        <f>IF(P$12=0,0,P27/P$12)</f>
        <v>0.5136773769072378</v>
      </c>
      <c r="S27" s="14"/>
      <c r="T27" s="21">
        <f>T12-T23</f>
        <v>324746.00000000006</v>
      </c>
      <c r="U27" s="14"/>
      <c r="V27" s="20">
        <f>IF(T$12=0,0,T27/T$12)</f>
        <v>0.52302080891499347</v>
      </c>
      <c r="W27" s="16"/>
      <c r="X27" s="21">
        <f>+P27-T27</f>
        <v>-70022.25999999998</v>
      </c>
      <c r="Y27" s="16"/>
      <c r="Z27" s="20">
        <f>IF(T27=0,0,X27/T27)</f>
        <v>-0.21562162428482559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2">
        <f>SUM(OSRRefD22x_0)</f>
        <v>8069.25</v>
      </c>
      <c r="E29" s="22"/>
      <c r="F29" s="31">
        <f t="shared" ref="F29:F38" si="14">IF(D$12=0,0,D29/D$12)</f>
        <v>284.52926657263754</v>
      </c>
      <c r="G29" s="22"/>
      <c r="H29" s="22">
        <f>SUM(OSRRefH22x_0)</f>
        <v>22253.510000000009</v>
      </c>
      <c r="I29" s="22"/>
      <c r="J29" s="31">
        <f t="shared" ref="J29:J38" si="15">IF(H$12=0,0,H29/H$12)</f>
        <v>0.63657263850207935</v>
      </c>
      <c r="K29" s="4"/>
      <c r="L29" s="22">
        <f t="shared" ref="L29:L38" si="16">+D29-H29</f>
        <v>-14184.260000000009</v>
      </c>
      <c r="M29" s="4"/>
      <c r="N29" s="31">
        <f t="shared" ref="N29:N38" si="17">IF(H29=0,0,L29/H29)</f>
        <v>-0.63739428072245696</v>
      </c>
      <c r="O29" s="10"/>
      <c r="P29" s="22">
        <f>SUM(OSRRefP22x_0)</f>
        <v>190070.31999999998</v>
      </c>
      <c r="Q29" s="22"/>
      <c r="R29" s="31">
        <f t="shared" ref="R29:R38" si="18">IF(P$12=0,0,P29/P$12)</f>
        <v>0.38329691376830155</v>
      </c>
      <c r="S29" s="22"/>
      <c r="T29" s="22">
        <f>SUM(OSRRefT22x_0)</f>
        <v>237828.81000000003</v>
      </c>
      <c r="U29" s="22"/>
      <c r="V29" s="31">
        <f t="shared" ref="V29:V38" si="19">IF(T$12=0,0,T29/T$12)</f>
        <v>0.38303602381396629</v>
      </c>
      <c r="W29" s="4"/>
      <c r="X29" s="22">
        <f t="shared" ref="X29:X38" si="20">+P29-T29</f>
        <v>-47758.490000000049</v>
      </c>
      <c r="Y29" s="4"/>
      <c r="Z29" s="31">
        <f t="shared" ref="Z29:Z38" si="21">IF(T29=0,0,X29/T29)</f>
        <v>-0.20081036439613872</v>
      </c>
    </row>
    <row r="30" spans="1:26" s="27" customFormat="1" outlineLevel="1" collapsed="1" x14ac:dyDescent="0.25">
      <c r="A30" s="25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3775.33</v>
      </c>
      <c r="E30" s="1"/>
      <c r="F30" s="5">
        <f t="shared" si="14"/>
        <v>133.12165021156559</v>
      </c>
      <c r="G30" s="1"/>
      <c r="H30" s="1">
        <f>SUM(OSRRefH22_0x_0)</f>
        <v>4723.91</v>
      </c>
      <c r="I30" s="1"/>
      <c r="J30" s="5">
        <f t="shared" si="15"/>
        <v>0.13512977740349078</v>
      </c>
      <c r="K30" s="1"/>
      <c r="L30" s="1">
        <f t="shared" si="16"/>
        <v>-948.57999999999993</v>
      </c>
      <c r="M30" s="1"/>
      <c r="N30" s="5">
        <f t="shared" si="17"/>
        <v>-0.20080399499567095</v>
      </c>
      <c r="O30" s="13"/>
      <c r="P30" s="1">
        <f>SUM(OSRRefP22_0x_0)</f>
        <v>47045.2</v>
      </c>
      <c r="Q30" s="1"/>
      <c r="R30" s="5">
        <f t="shared" si="18"/>
        <v>9.487162418420983E-2</v>
      </c>
      <c r="S30" s="1"/>
      <c r="T30" s="1">
        <f>SUM(OSRRefT22_0x_0)</f>
        <v>47861.39</v>
      </c>
      <c r="U30" s="1"/>
      <c r="V30" s="5">
        <f t="shared" si="19"/>
        <v>7.7083329474715551E-2</v>
      </c>
      <c r="W30" s="1"/>
      <c r="X30" s="1">
        <f t="shared" si="20"/>
        <v>-816.19000000000233</v>
      </c>
      <c r="Y30" s="1"/>
      <c r="Z30" s="5">
        <f t="shared" si="21"/>
        <v>-1.7053203009774733E-2</v>
      </c>
    </row>
    <row r="31" spans="1:26" s="24" customFormat="1" hidden="1" outlineLevel="2" x14ac:dyDescent="0.25">
      <c r="A31" s="26"/>
      <c r="B31" s="11" t="str">
        <f>CONCATENATE("          ", "6111", " - ", "F.I.C.A.")</f>
        <v xml:space="preserve">          6111 - F.I.C.A.</v>
      </c>
      <c r="C31" s="11"/>
      <c r="D31" s="6">
        <v>357.68</v>
      </c>
      <c r="E31" s="2"/>
      <c r="F31" s="7">
        <f t="shared" si="14"/>
        <v>12.61212976022567</v>
      </c>
      <c r="G31" s="2"/>
      <c r="H31" s="6">
        <v>887.31</v>
      </c>
      <c r="I31" s="2"/>
      <c r="J31" s="7">
        <f t="shared" si="15"/>
        <v>2.538194055091892E-2</v>
      </c>
      <c r="K31" s="2"/>
      <c r="L31" s="6">
        <f t="shared" si="16"/>
        <v>-529.62999999999988</v>
      </c>
      <c r="M31" s="2"/>
      <c r="N31" s="7">
        <f t="shared" si="17"/>
        <v>-0.59689398293719209</v>
      </c>
      <c r="O31" s="11"/>
      <c r="P31" s="6">
        <v>5412.14</v>
      </c>
      <c r="Q31" s="2"/>
      <c r="R31" s="7">
        <f t="shared" si="18"/>
        <v>1.0914153029689096E-2</v>
      </c>
      <c r="S31" s="2"/>
      <c r="T31" s="6">
        <v>8440.7199999999993</v>
      </c>
      <c r="U31" s="2"/>
      <c r="V31" s="7">
        <f t="shared" si="19"/>
        <v>1.3594231190607315E-2</v>
      </c>
      <c r="W31" s="2"/>
      <c r="X31" s="6">
        <f t="shared" si="20"/>
        <v>-3028.579999999999</v>
      </c>
      <c r="Y31" s="2"/>
      <c r="Z31" s="7">
        <f t="shared" si="21"/>
        <v>-0.35880588385824896</v>
      </c>
    </row>
    <row r="32" spans="1:26" s="24" customFormat="1" hidden="1" outlineLevel="2" x14ac:dyDescent="0.25">
      <c r="A32" s="26"/>
      <c r="B32" s="11" t="str">
        <f>CONCATENATE("          ", "6112", " - ", "COMPENSATION INSURANCE")</f>
        <v xml:space="preserve">          6112 - COMPENSATION INSURANCE</v>
      </c>
      <c r="C32" s="11"/>
      <c r="D32" s="6">
        <v>133.25</v>
      </c>
      <c r="E32" s="2"/>
      <c r="F32" s="7">
        <f t="shared" si="14"/>
        <v>4.6985190409026796</v>
      </c>
      <c r="G32" s="2"/>
      <c r="H32" s="6">
        <v>153.77000000000001</v>
      </c>
      <c r="I32" s="2"/>
      <c r="J32" s="7">
        <f t="shared" si="15"/>
        <v>4.3986667551529938E-3</v>
      </c>
      <c r="K32" s="2"/>
      <c r="L32" s="6">
        <f t="shared" si="16"/>
        <v>-20.52000000000001</v>
      </c>
      <c r="M32" s="2"/>
      <c r="N32" s="7">
        <f t="shared" si="17"/>
        <v>-0.13344605579761987</v>
      </c>
      <c r="O32" s="11"/>
      <c r="P32" s="6">
        <v>1945.06</v>
      </c>
      <c r="Q32" s="2"/>
      <c r="R32" s="7">
        <f t="shared" si="18"/>
        <v>3.9224193187772432E-3</v>
      </c>
      <c r="S32" s="2"/>
      <c r="T32" s="6">
        <v>1412.17</v>
      </c>
      <c r="U32" s="2"/>
      <c r="V32" s="7">
        <f t="shared" si="19"/>
        <v>2.2743753448094396E-3</v>
      </c>
      <c r="W32" s="2"/>
      <c r="X32" s="6">
        <f t="shared" si="20"/>
        <v>532.88999999999987</v>
      </c>
      <c r="Y32" s="2"/>
      <c r="Z32" s="7">
        <f t="shared" si="21"/>
        <v>0.37735541754887858</v>
      </c>
    </row>
    <row r="33" spans="1:26" s="24" customFormat="1" hidden="1" outlineLevel="2" x14ac:dyDescent="0.25">
      <c r="A33" s="26"/>
      <c r="B33" s="11" t="str">
        <f>CONCATENATE("          ", "6113", " - ", "GROUP INSURANCE")</f>
        <v xml:space="preserve">          6113 - GROUP INSURANCE</v>
      </c>
      <c r="C33" s="11"/>
      <c r="D33" s="6">
        <v>2021.26</v>
      </c>
      <c r="E33" s="2"/>
      <c r="F33" s="7">
        <f t="shared" si="14"/>
        <v>71.271509167842026</v>
      </c>
      <c r="G33" s="2"/>
      <c r="H33" s="6">
        <v>2019.97</v>
      </c>
      <c r="I33" s="2"/>
      <c r="J33" s="7">
        <f t="shared" si="15"/>
        <v>5.7782238963428448E-2</v>
      </c>
      <c r="K33" s="2"/>
      <c r="L33" s="6">
        <f t="shared" si="16"/>
        <v>1.2899999999999636</v>
      </c>
      <c r="M33" s="2"/>
      <c r="N33" s="7">
        <f t="shared" si="17"/>
        <v>6.3862334589125764E-4</v>
      </c>
      <c r="O33" s="11"/>
      <c r="P33" s="6">
        <v>22226.12</v>
      </c>
      <c r="Q33" s="2"/>
      <c r="R33" s="7">
        <f t="shared" si="18"/>
        <v>4.4821322976906247E-2</v>
      </c>
      <c r="S33" s="2"/>
      <c r="T33" s="6">
        <v>20949.14</v>
      </c>
      <c r="U33" s="2"/>
      <c r="V33" s="7">
        <f t="shared" si="19"/>
        <v>3.373971087826623E-2</v>
      </c>
      <c r="W33" s="2"/>
      <c r="X33" s="6">
        <f t="shared" si="20"/>
        <v>1276.9799999999996</v>
      </c>
      <c r="Y33" s="2"/>
      <c r="Z33" s="7">
        <f t="shared" si="21"/>
        <v>6.0956201543356889E-2</v>
      </c>
    </row>
    <row r="34" spans="1:26" s="24" customFormat="1" hidden="1" outlineLevel="2" x14ac:dyDescent="0.25">
      <c r="A34" s="26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18.23</v>
      </c>
      <c r="E34" s="2"/>
      <c r="F34" s="7">
        <f t="shared" si="14"/>
        <v>0.64280677009873066</v>
      </c>
      <c r="G34" s="2"/>
      <c r="H34" s="6">
        <v>39.97</v>
      </c>
      <c r="I34" s="2"/>
      <c r="J34" s="7">
        <f t="shared" si="15"/>
        <v>1.1433615803047744E-3</v>
      </c>
      <c r="K34" s="2"/>
      <c r="L34" s="6">
        <f t="shared" si="16"/>
        <v>-21.74</v>
      </c>
      <c r="M34" s="2"/>
      <c r="N34" s="7">
        <f t="shared" si="17"/>
        <v>-0.5439079309482111</v>
      </c>
      <c r="O34" s="11"/>
      <c r="P34" s="6">
        <v>299.05</v>
      </c>
      <c r="Q34" s="2"/>
      <c r="R34" s="7">
        <f t="shared" si="18"/>
        <v>6.0306597085968286E-4</v>
      </c>
      <c r="S34" s="2"/>
      <c r="T34" s="6">
        <v>416.06</v>
      </c>
      <c r="U34" s="2"/>
      <c r="V34" s="7">
        <f t="shared" si="19"/>
        <v>6.7008689177748808E-4</v>
      </c>
      <c r="W34" s="2"/>
      <c r="X34" s="6">
        <f t="shared" si="20"/>
        <v>-117.00999999999999</v>
      </c>
      <c r="Y34" s="2"/>
      <c r="Z34" s="7">
        <f t="shared" si="21"/>
        <v>-0.28123347594097003</v>
      </c>
    </row>
    <row r="35" spans="1:26" s="24" customFormat="1" hidden="1" outlineLevel="2" x14ac:dyDescent="0.25">
      <c r="A35" s="26"/>
      <c r="B35" s="11" t="str">
        <f>CONCATENATE("          ", "6115", " - ", "P.E.R.S.")</f>
        <v xml:space="preserve">          6115 - P.E.R.S.</v>
      </c>
      <c r="C35" s="11"/>
      <c r="D35" s="6">
        <v>568.97</v>
      </c>
      <c r="E35" s="2"/>
      <c r="F35" s="7">
        <f t="shared" si="14"/>
        <v>20.062411847672781</v>
      </c>
      <c r="G35" s="2"/>
      <c r="H35" s="6">
        <v>508.51</v>
      </c>
      <c r="I35" s="2"/>
      <c r="J35" s="7">
        <f t="shared" si="15"/>
        <v>1.454617956469304E-2</v>
      </c>
      <c r="K35" s="2"/>
      <c r="L35" s="6">
        <f t="shared" si="16"/>
        <v>60.460000000000036</v>
      </c>
      <c r="M35" s="2"/>
      <c r="N35" s="7">
        <f t="shared" si="17"/>
        <v>0.11889638355194596</v>
      </c>
      <c r="O35" s="11"/>
      <c r="P35" s="6">
        <v>7060.91</v>
      </c>
      <c r="Q35" s="2"/>
      <c r="R35" s="7">
        <f t="shared" si="18"/>
        <v>1.4239072209673444E-2</v>
      </c>
      <c r="S35" s="2"/>
      <c r="T35" s="6">
        <v>6557.47</v>
      </c>
      <c r="U35" s="2"/>
      <c r="V35" s="7">
        <f t="shared" si="19"/>
        <v>1.0561156300110862E-2</v>
      </c>
      <c r="W35" s="2"/>
      <c r="X35" s="6">
        <f t="shared" si="20"/>
        <v>503.4399999999996</v>
      </c>
      <c r="Y35" s="2"/>
      <c r="Z35" s="7">
        <f t="shared" si="21"/>
        <v>7.6773511735471089E-2</v>
      </c>
    </row>
    <row r="36" spans="1:26" s="24" customFormat="1" hidden="1" outlineLevel="2" x14ac:dyDescent="0.25">
      <c r="A36" s="26"/>
      <c r="B36" s="11" t="str">
        <f>CONCATENATE("          ", "6118", " - ", "VACATION")</f>
        <v xml:space="preserve">          6118 - VACATION</v>
      </c>
      <c r="C36" s="11"/>
      <c r="D36" s="6">
        <v>407.06</v>
      </c>
      <c r="E36" s="2"/>
      <c r="F36" s="7">
        <f t="shared" si="14"/>
        <v>14.353314527503526</v>
      </c>
      <c r="G36" s="2"/>
      <c r="H36" s="6">
        <v>592.79999999999995</v>
      </c>
      <c r="I36" s="2"/>
      <c r="J36" s="7">
        <f t="shared" si="15"/>
        <v>1.6957336622583693E-2</v>
      </c>
      <c r="K36" s="2"/>
      <c r="L36" s="6">
        <f t="shared" si="16"/>
        <v>-185.73999999999995</v>
      </c>
      <c r="M36" s="2"/>
      <c r="N36" s="7">
        <f t="shared" si="17"/>
        <v>-0.31332658569500671</v>
      </c>
      <c r="O36" s="11"/>
      <c r="P36" s="6">
        <v>5193.6099999999997</v>
      </c>
      <c r="Q36" s="2"/>
      <c r="R36" s="7">
        <f t="shared" si="18"/>
        <v>1.0473464159560466E-2</v>
      </c>
      <c r="S36" s="2"/>
      <c r="T36" s="6">
        <v>4982.18</v>
      </c>
      <c r="U36" s="2"/>
      <c r="V36" s="7">
        <f t="shared" si="19"/>
        <v>8.024067467374817E-3</v>
      </c>
      <c r="W36" s="2"/>
      <c r="X36" s="6">
        <f t="shared" si="20"/>
        <v>211.42999999999938</v>
      </c>
      <c r="Y36" s="2"/>
      <c r="Z36" s="7">
        <f t="shared" si="21"/>
        <v>4.2437246345976933E-2</v>
      </c>
    </row>
    <row r="37" spans="1:26" s="24" customFormat="1" hidden="1" outlineLevel="2" x14ac:dyDescent="0.25">
      <c r="A37" s="26"/>
      <c r="B37" s="11" t="str">
        <f>CONCATENATE("          ", "6119", " - ", "SICK LEAVE")</f>
        <v xml:space="preserve">          6119 - SICK LEAVE</v>
      </c>
      <c r="C37" s="11"/>
      <c r="D37" s="6">
        <v>256.76</v>
      </c>
      <c r="E37" s="2"/>
      <c r="F37" s="7">
        <f t="shared" si="14"/>
        <v>9.0535966149506351</v>
      </c>
      <c r="G37" s="2"/>
      <c r="H37" s="6">
        <v>373.92</v>
      </c>
      <c r="I37" s="2"/>
      <c r="J37" s="7">
        <f t="shared" si="15"/>
        <v>1.0696166177322023E-2</v>
      </c>
      <c r="K37" s="2"/>
      <c r="L37" s="6">
        <f t="shared" si="16"/>
        <v>-117.16000000000003</v>
      </c>
      <c r="M37" s="2"/>
      <c r="N37" s="7">
        <f t="shared" si="17"/>
        <v>-0.31332905434317504</v>
      </c>
      <c r="O37" s="11"/>
      <c r="P37" s="6">
        <v>3485.54</v>
      </c>
      <c r="Q37" s="2"/>
      <c r="R37" s="7">
        <f t="shared" si="18"/>
        <v>7.0289602543730442E-3</v>
      </c>
      <c r="S37" s="2"/>
      <c r="T37" s="6">
        <v>3321.09</v>
      </c>
      <c r="U37" s="2"/>
      <c r="V37" s="7">
        <f t="shared" si="19"/>
        <v>5.3487931438093023E-3</v>
      </c>
      <c r="W37" s="2"/>
      <c r="X37" s="6">
        <f t="shared" si="20"/>
        <v>164.44999999999982</v>
      </c>
      <c r="Y37" s="2"/>
      <c r="Z37" s="7">
        <f t="shared" si="21"/>
        <v>4.9516875483651392E-2</v>
      </c>
    </row>
    <row r="38" spans="1:26" s="24" customFormat="1" hidden="1" outlineLevel="2" x14ac:dyDescent="0.25">
      <c r="A38" s="26"/>
      <c r="B38" s="11" t="str">
        <f>CONCATENATE("          ", "6156", " - ", "EMPLOYEE MEALS")</f>
        <v xml:space="preserve">          6156 - EMPLOYEE MEALS</v>
      </c>
      <c r="C38" s="11"/>
      <c r="D38" s="6">
        <v>12.12</v>
      </c>
      <c r="E38" s="2"/>
      <c r="F38" s="7">
        <f t="shared" si="14"/>
        <v>0.42736248236953456</v>
      </c>
      <c r="G38" s="2"/>
      <c r="H38" s="6">
        <v>147.66</v>
      </c>
      <c r="I38" s="2"/>
      <c r="J38" s="7">
        <f t="shared" si="15"/>
        <v>4.2238871890868893E-3</v>
      </c>
      <c r="K38" s="2"/>
      <c r="L38" s="6">
        <f t="shared" si="16"/>
        <v>-135.54</v>
      </c>
      <c r="M38" s="2"/>
      <c r="N38" s="7">
        <f t="shared" si="17"/>
        <v>-0.91791954490044692</v>
      </c>
      <c r="O38" s="11"/>
      <c r="P38" s="6">
        <v>1422.77</v>
      </c>
      <c r="Q38" s="2"/>
      <c r="R38" s="7">
        <f t="shared" si="18"/>
        <v>2.8691662643706103E-3</v>
      </c>
      <c r="S38" s="2"/>
      <c r="T38" s="6">
        <v>1782.56</v>
      </c>
      <c r="U38" s="2"/>
      <c r="V38" s="7">
        <f t="shared" si="19"/>
        <v>2.8709082579601E-3</v>
      </c>
      <c r="W38" s="2"/>
      <c r="X38" s="6">
        <f t="shared" si="20"/>
        <v>-359.78999999999996</v>
      </c>
      <c r="Y38" s="2"/>
      <c r="Z38" s="7">
        <f t="shared" si="21"/>
        <v>-0.20183892828291894</v>
      </c>
    </row>
    <row r="39" spans="1:26" s="27" customFormat="1" outlineLevel="1" collapsed="1" x14ac:dyDescent="0.25">
      <c r="A39" s="25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3618.33</v>
      </c>
      <c r="E39" s="1"/>
      <c r="F39" s="5">
        <f t="shared" ref="F39:F45" si="22">IF(D$12=0,0,D39/D$12)</f>
        <v>127.58568406205924</v>
      </c>
      <c r="G39" s="1"/>
      <c r="H39" s="1">
        <f>SUM(OSRRefH22_1x_0)</f>
        <v>15476.070000000002</v>
      </c>
      <c r="I39" s="1"/>
      <c r="J39" s="5">
        <f t="shared" ref="J39:J45" si="23">IF(H$12=0,0,H39/H$12)</f>
        <v>0.44270062176900954</v>
      </c>
      <c r="K39" s="1"/>
      <c r="L39" s="1">
        <f t="shared" ref="L39:L45" si="24">+D39-H39</f>
        <v>-11857.740000000002</v>
      </c>
      <c r="M39" s="1"/>
      <c r="N39" s="5">
        <f t="shared" ref="N39:N45" si="25">IF(H39=0,0,L39/H39)</f>
        <v>-0.76619839532904677</v>
      </c>
      <c r="O39" s="13"/>
      <c r="P39" s="1">
        <f>SUM(OSRRefP22_1x_0)</f>
        <v>111709.52</v>
      </c>
      <c r="Q39" s="1"/>
      <c r="R39" s="5">
        <f t="shared" ref="R39:R45" si="26">IF(P$12=0,0,P39/P$12)</f>
        <v>0.2252740683265981</v>
      </c>
      <c r="S39" s="1"/>
      <c r="T39" s="1">
        <f>SUM(OSRRefT22_1x_0)</f>
        <v>162257.11000000002</v>
      </c>
      <c r="U39" s="1"/>
      <c r="V39" s="5">
        <f t="shared" ref="V39:V45" si="27">IF(T$12=0,0,T39/T$12)</f>
        <v>0.26132375741166658</v>
      </c>
      <c r="W39" s="1"/>
      <c r="X39" s="1">
        <f t="shared" ref="X39:X45" si="28">+P39-T39</f>
        <v>-50547.590000000011</v>
      </c>
      <c r="Y39" s="1"/>
      <c r="Z39" s="5">
        <f t="shared" ref="Z39:Z45" si="29">IF(T39=0,0,X39/T39)</f>
        <v>-0.31152773520987775</v>
      </c>
    </row>
    <row r="40" spans="1:26" s="24" customFormat="1" hidden="1" outlineLevel="2" x14ac:dyDescent="0.25">
      <c r="A40" s="26"/>
      <c r="B40" s="11" t="str">
        <f>CONCATENATE("          ", "6002", " - ", "STAFF SALARIES")</f>
        <v xml:space="preserve">          6002 - STAFF SALARIES</v>
      </c>
      <c r="C40" s="11"/>
      <c r="D40" s="6">
        <v>3618.33</v>
      </c>
      <c r="E40" s="2"/>
      <c r="F40" s="7">
        <f t="shared" si="22"/>
        <v>127.58568406205924</v>
      </c>
      <c r="G40" s="2"/>
      <c r="H40" s="6">
        <v>5945.1</v>
      </c>
      <c r="I40" s="2"/>
      <c r="J40" s="7">
        <f t="shared" si="23"/>
        <v>0.17006252016687301</v>
      </c>
      <c r="K40" s="2"/>
      <c r="L40" s="6">
        <f t="shared" si="24"/>
        <v>-2326.7700000000004</v>
      </c>
      <c r="M40" s="2"/>
      <c r="N40" s="7">
        <f t="shared" si="25"/>
        <v>-0.39137609123479844</v>
      </c>
      <c r="O40" s="11"/>
      <c r="P40" s="6">
        <v>61685.560000000005</v>
      </c>
      <c r="Q40" s="2"/>
      <c r="R40" s="7">
        <f t="shared" si="26"/>
        <v>0.12439545938613349</v>
      </c>
      <c r="S40" s="2"/>
      <c r="T40" s="6">
        <v>60699.490000000005</v>
      </c>
      <c r="U40" s="2"/>
      <c r="V40" s="7">
        <f t="shared" si="27"/>
        <v>9.775977644228892E-2</v>
      </c>
      <c r="W40" s="2"/>
      <c r="X40" s="6">
        <f t="shared" si="28"/>
        <v>986.06999999999971</v>
      </c>
      <c r="Y40" s="2"/>
      <c r="Z40" s="7">
        <f t="shared" si="29"/>
        <v>1.6245111779357613E-2</v>
      </c>
    </row>
    <row r="41" spans="1:26" s="24" customFormat="1" hidden="1" outlineLevel="2" x14ac:dyDescent="0.25">
      <c r="A41" s="26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2"/>
        <v>0</v>
      </c>
      <c r="G41" s="2"/>
      <c r="H41" s="6"/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>
        <v>-3618.33</v>
      </c>
      <c r="Q41" s="2"/>
      <c r="R41" s="7">
        <f t="shared" si="26"/>
        <v>-7.2967453413834349E-3</v>
      </c>
      <c r="S41" s="2"/>
      <c r="T41" s="6"/>
      <c r="U41" s="2"/>
      <c r="V41" s="7">
        <f t="shared" si="27"/>
        <v>0</v>
      </c>
      <c r="W41" s="2"/>
      <c r="X41" s="6">
        <f t="shared" si="28"/>
        <v>-3618.33</v>
      </c>
      <c r="Y41" s="2"/>
      <c r="Z41" s="7">
        <f t="shared" si="29"/>
        <v>0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2"/>
        <v>0</v>
      </c>
      <c r="G42" s="2"/>
      <c r="H42" s="6">
        <v>4740.6400000000003</v>
      </c>
      <c r="I42" s="2"/>
      <c r="J42" s="7">
        <f t="shared" si="23"/>
        <v>0.13560834731188456</v>
      </c>
      <c r="K42" s="2"/>
      <c r="L42" s="6">
        <f t="shared" si="24"/>
        <v>-4740.6400000000003</v>
      </c>
      <c r="M42" s="2"/>
      <c r="N42" s="7">
        <f t="shared" si="25"/>
        <v>-1</v>
      </c>
      <c r="O42" s="11"/>
      <c r="P42" s="6">
        <v>1174.26</v>
      </c>
      <c r="Q42" s="2"/>
      <c r="R42" s="7">
        <f t="shared" si="26"/>
        <v>2.3680195517194152E-3</v>
      </c>
      <c r="S42" s="2"/>
      <c r="T42" s="6">
        <v>50324.950000000004</v>
      </c>
      <c r="U42" s="2"/>
      <c r="V42" s="7">
        <f t="shared" si="27"/>
        <v>8.1051024670378086E-2</v>
      </c>
      <c r="W42" s="2"/>
      <c r="X42" s="6">
        <f t="shared" si="28"/>
        <v>-49150.69</v>
      </c>
      <c r="Y42" s="2"/>
      <c r="Z42" s="7">
        <f t="shared" si="29"/>
        <v>-0.97666644477540465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2"/>
        <v>0</v>
      </c>
      <c r="G43" s="2"/>
      <c r="H43" s="6"/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>
        <v>4878.2700000000004</v>
      </c>
      <c r="Q43" s="2"/>
      <c r="R43" s="7">
        <f t="shared" si="26"/>
        <v>9.8375476798718119E-3</v>
      </c>
      <c r="S43" s="2"/>
      <c r="T43" s="6"/>
      <c r="U43" s="2"/>
      <c r="V43" s="7">
        <f t="shared" si="27"/>
        <v>0</v>
      </c>
      <c r="W43" s="2"/>
      <c r="X43" s="6">
        <f t="shared" si="28"/>
        <v>4878.2700000000004</v>
      </c>
      <c r="Y43" s="2"/>
      <c r="Z43" s="7">
        <f t="shared" si="29"/>
        <v>0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2"/>
        <v>0</v>
      </c>
      <c r="G44" s="2"/>
      <c r="H44" s="6">
        <v>3034.01</v>
      </c>
      <c r="I44" s="2"/>
      <c r="J44" s="7">
        <f t="shared" si="23"/>
        <v>8.6789353721803575E-2</v>
      </c>
      <c r="K44" s="2"/>
      <c r="L44" s="6">
        <f t="shared" si="24"/>
        <v>-3034.01</v>
      </c>
      <c r="M44" s="2"/>
      <c r="N44" s="7">
        <f t="shared" si="25"/>
        <v>-1</v>
      </c>
      <c r="O44" s="11"/>
      <c r="P44" s="6">
        <v>44034.28</v>
      </c>
      <c r="Q44" s="2"/>
      <c r="R44" s="7">
        <f t="shared" si="26"/>
        <v>8.8799785384742064E-2</v>
      </c>
      <c r="S44" s="2"/>
      <c r="T44" s="6">
        <v>40245.020000000004</v>
      </c>
      <c r="U44" s="2"/>
      <c r="V44" s="7">
        <f t="shared" si="27"/>
        <v>6.4816758066920277E-2</v>
      </c>
      <c r="W44" s="2"/>
      <c r="X44" s="6">
        <f t="shared" si="28"/>
        <v>3789.2599999999948</v>
      </c>
      <c r="Y44" s="2"/>
      <c r="Z44" s="7">
        <f t="shared" si="29"/>
        <v>9.415475504795362E-2</v>
      </c>
    </row>
    <row r="45" spans="1:26" s="24" customFormat="1" hidden="1" outlineLevel="2" x14ac:dyDescent="0.25">
      <c r="A45" s="26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2"/>
        <v>0</v>
      </c>
      <c r="G45" s="2"/>
      <c r="H45" s="6">
        <v>1756.32</v>
      </c>
      <c r="I45" s="2"/>
      <c r="J45" s="7">
        <f t="shared" si="23"/>
        <v>5.0240400568448369E-2</v>
      </c>
      <c r="K45" s="2"/>
      <c r="L45" s="6">
        <f t="shared" si="24"/>
        <v>-1756.32</v>
      </c>
      <c r="M45" s="2"/>
      <c r="N45" s="7">
        <f t="shared" si="25"/>
        <v>-1</v>
      </c>
      <c r="O45" s="11"/>
      <c r="P45" s="6">
        <v>3555.48</v>
      </c>
      <c r="Q45" s="2"/>
      <c r="R45" s="7">
        <f t="shared" si="26"/>
        <v>7.1700016655147471E-3</v>
      </c>
      <c r="S45" s="2"/>
      <c r="T45" s="6">
        <v>10987.65</v>
      </c>
      <c r="U45" s="2"/>
      <c r="V45" s="7">
        <f t="shared" si="27"/>
        <v>1.769619823207931E-2</v>
      </c>
      <c r="W45" s="2"/>
      <c r="X45" s="6">
        <f t="shared" si="28"/>
        <v>-7432.17</v>
      </c>
      <c r="Y45" s="2"/>
      <c r="Z45" s="7">
        <f t="shared" si="29"/>
        <v>-0.67641124353251159</v>
      </c>
    </row>
    <row r="46" spans="1:26" s="27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8" si="30">IF(D$12=0,0,D46/D$12)</f>
        <v>0</v>
      </c>
      <c r="G46" s="1"/>
      <c r="H46" s="1">
        <f>SUM(OSRRefH22_2x_0)</f>
        <v>0</v>
      </c>
      <c r="I46" s="1"/>
      <c r="J46" s="5">
        <f t="shared" ref="J46:J58" si="31">IF(H$12=0,0,H46/H$12)</f>
        <v>0</v>
      </c>
      <c r="K46" s="1"/>
      <c r="L46" s="1">
        <f t="shared" ref="L46:L58" si="32">+D46-H46</f>
        <v>0</v>
      </c>
      <c r="M46" s="1"/>
      <c r="N46" s="5">
        <f t="shared" ref="N46:N58" si="33">IF(H46=0,0,L46/H46)</f>
        <v>0</v>
      </c>
      <c r="O46" s="13"/>
      <c r="P46" s="1">
        <f>SUM(OSRRefP22_2x_0)</f>
        <v>1464.31</v>
      </c>
      <c r="Q46" s="1"/>
      <c r="R46" s="5">
        <f t="shared" ref="R46:R58" si="34">IF(P$12=0,0,P46/P$12)</f>
        <v>2.9529360701874008E-3</v>
      </c>
      <c r="S46" s="1"/>
      <c r="T46" s="1">
        <f>SUM(OSRRefT22_2x_0)</f>
        <v>112.21</v>
      </c>
      <c r="U46" s="1"/>
      <c r="V46" s="5">
        <f t="shared" ref="V46:V58" si="35">IF(T$12=0,0,T46/T$12)</f>
        <v>1.8072020892744302E-4</v>
      </c>
      <c r="W46" s="1"/>
      <c r="X46" s="1">
        <f t="shared" ref="X46:X58" si="36">+P46-T46</f>
        <v>1352.1</v>
      </c>
      <c r="Y46" s="1"/>
      <c r="Z46" s="5">
        <f t="shared" ref="Z46:Z58" si="37">IF(T46=0,0,X46/T46)</f>
        <v>12.049728188218518</v>
      </c>
    </row>
    <row r="47" spans="1:26" s="24" customFormat="1" hidden="1" outlineLevel="2" x14ac:dyDescent="0.25">
      <c r="A47" s="26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>
        <v>1464.31</v>
      </c>
      <c r="Q47" s="2"/>
      <c r="R47" s="7">
        <f t="shared" si="34"/>
        <v>2.9529360701874008E-3</v>
      </c>
      <c r="S47" s="2"/>
      <c r="T47" s="6">
        <v>112.21</v>
      </c>
      <c r="U47" s="2"/>
      <c r="V47" s="7">
        <f t="shared" si="35"/>
        <v>1.8072020892744302E-4</v>
      </c>
      <c r="W47" s="2"/>
      <c r="X47" s="6">
        <f t="shared" si="36"/>
        <v>1352.1</v>
      </c>
      <c r="Y47" s="2"/>
      <c r="Z47" s="7">
        <f t="shared" si="37"/>
        <v>12.049728188218518</v>
      </c>
    </row>
    <row r="48" spans="1:26" s="27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30"/>
        <v>0</v>
      </c>
      <c r="G48" s="1"/>
      <c r="H48" s="1">
        <f>SUM(OSRRefH22_3x_0)</f>
        <v>-21.88</v>
      </c>
      <c r="I48" s="1"/>
      <c r="J48" s="5">
        <f t="shared" si="31"/>
        <v>-6.2588820057714442E-4</v>
      </c>
      <c r="K48" s="1"/>
      <c r="L48" s="1">
        <f t="shared" si="32"/>
        <v>21.88</v>
      </c>
      <c r="M48" s="1"/>
      <c r="N48" s="5">
        <f t="shared" si="33"/>
        <v>-1</v>
      </c>
      <c r="O48" s="13"/>
      <c r="P48" s="1">
        <f>SUM(OSRRefP22_3x_0)</f>
        <v>-198.56</v>
      </c>
      <c r="Q48" s="1"/>
      <c r="R48" s="5">
        <f t="shared" si="34"/>
        <v>-4.0041725187727346E-4</v>
      </c>
      <c r="S48" s="1"/>
      <c r="T48" s="1">
        <f>SUM(OSRRefT22_3x_0)</f>
        <v>-289.61</v>
      </c>
      <c r="U48" s="1"/>
      <c r="V48" s="5">
        <f t="shared" si="35"/>
        <v>-4.664324009221707E-4</v>
      </c>
      <c r="W48" s="1"/>
      <c r="X48" s="1">
        <f t="shared" si="36"/>
        <v>91.050000000000011</v>
      </c>
      <c r="Y48" s="1"/>
      <c r="Z48" s="5">
        <f t="shared" si="37"/>
        <v>-0.31438831532060357</v>
      </c>
    </row>
    <row r="49" spans="1:26" s="24" customFormat="1" hidden="1" outlineLevel="2" x14ac:dyDescent="0.25">
      <c r="A49" s="26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30"/>
        <v>0</v>
      </c>
      <c r="G49" s="2"/>
      <c r="H49" s="6">
        <v>-21.88</v>
      </c>
      <c r="I49" s="2"/>
      <c r="J49" s="7">
        <f t="shared" si="31"/>
        <v>-6.2588820057714442E-4</v>
      </c>
      <c r="K49" s="2"/>
      <c r="L49" s="6">
        <f t="shared" si="32"/>
        <v>21.88</v>
      </c>
      <c r="M49" s="2"/>
      <c r="N49" s="7">
        <f t="shared" si="33"/>
        <v>-1</v>
      </c>
      <c r="O49" s="11"/>
      <c r="P49" s="6">
        <v>-198.56</v>
      </c>
      <c r="Q49" s="2"/>
      <c r="R49" s="7">
        <f t="shared" si="34"/>
        <v>-4.0041725187727346E-4</v>
      </c>
      <c r="S49" s="2"/>
      <c r="T49" s="6">
        <v>-289.61</v>
      </c>
      <c r="U49" s="2"/>
      <c r="V49" s="7">
        <f t="shared" si="35"/>
        <v>-4.664324009221707E-4</v>
      </c>
      <c r="W49" s="2"/>
      <c r="X49" s="6">
        <f t="shared" si="36"/>
        <v>91.050000000000011</v>
      </c>
      <c r="Y49" s="2"/>
      <c r="Z49" s="7">
        <f t="shared" si="37"/>
        <v>-0.31438831532060357</v>
      </c>
    </row>
    <row r="50" spans="1:26" s="27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60</v>
      </c>
      <c r="E50" s="1"/>
      <c r="F50" s="5">
        <f t="shared" si="30"/>
        <v>2.1156558533145278</v>
      </c>
      <c r="G50" s="1"/>
      <c r="H50" s="1">
        <f>SUM(OSRRefH22_4x_0)</f>
        <v>1554.72</v>
      </c>
      <c r="I50" s="1"/>
      <c r="J50" s="5">
        <f t="shared" si="31"/>
        <v>4.4473533053075776E-2</v>
      </c>
      <c r="K50" s="1"/>
      <c r="L50" s="1">
        <f t="shared" si="32"/>
        <v>-1494.72</v>
      </c>
      <c r="M50" s="1"/>
      <c r="N50" s="5">
        <f t="shared" si="33"/>
        <v>-0.96140784192652051</v>
      </c>
      <c r="O50" s="13"/>
      <c r="P50" s="1">
        <f>SUM(OSRRefP22_4x_0)</f>
        <v>18193.439999999999</v>
      </c>
      <c r="Q50" s="1"/>
      <c r="R50" s="5">
        <f t="shared" si="34"/>
        <v>3.668899701346727E-2</v>
      </c>
      <c r="S50" s="1"/>
      <c r="T50" s="1">
        <f>SUM(OSRRefT22_4x_0)</f>
        <v>19753.72</v>
      </c>
      <c r="U50" s="1"/>
      <c r="V50" s="5">
        <f t="shared" si="35"/>
        <v>3.181442300591935E-2</v>
      </c>
      <c r="W50" s="1"/>
      <c r="X50" s="1">
        <f t="shared" si="36"/>
        <v>-1560.2800000000025</v>
      </c>
      <c r="Y50" s="1"/>
      <c r="Z50" s="5">
        <f t="shared" si="37"/>
        <v>-7.8986641503473898E-2</v>
      </c>
    </row>
    <row r="51" spans="1:26" s="24" customFormat="1" hidden="1" outlineLevel="2" x14ac:dyDescent="0.25">
      <c r="A51" s="26"/>
      <c r="B51" s="11" t="str">
        <f>CONCATENATE("          ", "6381", " - ", "BANK/CREDIT CARD FEES")</f>
        <v xml:space="preserve">          6381 - BANK/CREDIT CARD FEES</v>
      </c>
      <c r="C51" s="11"/>
      <c r="D51" s="6">
        <v>60</v>
      </c>
      <c r="E51" s="2"/>
      <c r="F51" s="7">
        <f t="shared" si="30"/>
        <v>2.1156558533145278</v>
      </c>
      <c r="G51" s="2"/>
      <c r="H51" s="6">
        <v>1554.72</v>
      </c>
      <c r="I51" s="2"/>
      <c r="J51" s="7">
        <f t="shared" si="31"/>
        <v>4.4473533053075776E-2</v>
      </c>
      <c r="K51" s="2"/>
      <c r="L51" s="6">
        <f t="shared" si="32"/>
        <v>-1494.72</v>
      </c>
      <c r="M51" s="2"/>
      <c r="N51" s="7">
        <f t="shared" si="33"/>
        <v>-0.96140784192652051</v>
      </c>
      <c r="O51" s="11"/>
      <c r="P51" s="6">
        <v>18193.439999999999</v>
      </c>
      <c r="Q51" s="2"/>
      <c r="R51" s="7">
        <f t="shared" si="34"/>
        <v>3.668899701346727E-2</v>
      </c>
      <c r="S51" s="2"/>
      <c r="T51" s="6">
        <v>19753.72</v>
      </c>
      <c r="U51" s="2"/>
      <c r="V51" s="7">
        <f t="shared" si="35"/>
        <v>3.181442300591935E-2</v>
      </c>
      <c r="W51" s="2"/>
      <c r="X51" s="6">
        <f t="shared" si="36"/>
        <v>-1560.2800000000025</v>
      </c>
      <c r="Y51" s="2"/>
      <c r="Z51" s="7">
        <f t="shared" si="37"/>
        <v>-7.8986641503473898E-2</v>
      </c>
    </row>
    <row r="52" spans="1:26" s="27" customFormat="1" outlineLevel="1" collapsed="1" x14ac:dyDescent="0.25">
      <c r="A52" s="25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SUM(OSRRefD22_5x_0)</f>
        <v>0</v>
      </c>
      <c r="E52" s="1"/>
      <c r="F52" s="5">
        <f t="shared" si="30"/>
        <v>0</v>
      </c>
      <c r="G52" s="1"/>
      <c r="H52" s="1">
        <f>SUM(OSRRefH22_5x_0)</f>
        <v>6.33</v>
      </c>
      <c r="I52" s="1"/>
      <c r="J52" s="5">
        <f t="shared" si="31"/>
        <v>1.8107277466422871E-4</v>
      </c>
      <c r="K52" s="1"/>
      <c r="L52" s="1">
        <f t="shared" si="32"/>
        <v>-6.33</v>
      </c>
      <c r="M52" s="1"/>
      <c r="N52" s="5">
        <f t="shared" si="33"/>
        <v>-1</v>
      </c>
      <c r="O52" s="13"/>
      <c r="P52" s="1">
        <f>SUM(OSRRefP22_5x_0)</f>
        <v>125.87</v>
      </c>
      <c r="Q52" s="1"/>
      <c r="R52" s="5">
        <f t="shared" si="34"/>
        <v>2.5383017472699641E-4</v>
      </c>
      <c r="S52" s="1"/>
      <c r="T52" s="1">
        <f>SUM(OSRRefT22_5x_0)</f>
        <v>134.54</v>
      </c>
      <c r="U52" s="1"/>
      <c r="V52" s="5">
        <f t="shared" si="35"/>
        <v>2.1668386872024048E-4</v>
      </c>
      <c r="W52" s="1"/>
      <c r="X52" s="1">
        <f t="shared" si="36"/>
        <v>-8.6699999999999875</v>
      </c>
      <c r="Y52" s="1"/>
      <c r="Z52" s="5">
        <f t="shared" si="37"/>
        <v>-6.4441801694663209E-2</v>
      </c>
    </row>
    <row r="53" spans="1:26" s="24" customFormat="1" hidden="1" outlineLevel="2" x14ac:dyDescent="0.25">
      <c r="A53" s="26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30"/>
        <v>0</v>
      </c>
      <c r="G53" s="2"/>
      <c r="H53" s="6">
        <v>6.33</v>
      </c>
      <c r="I53" s="2"/>
      <c r="J53" s="7">
        <f t="shared" si="31"/>
        <v>1.8107277466422871E-4</v>
      </c>
      <c r="K53" s="2"/>
      <c r="L53" s="6">
        <f t="shared" si="32"/>
        <v>-6.33</v>
      </c>
      <c r="M53" s="2"/>
      <c r="N53" s="7">
        <f t="shared" si="33"/>
        <v>-1</v>
      </c>
      <c r="O53" s="11"/>
      <c r="P53" s="6">
        <v>125.87</v>
      </c>
      <c r="Q53" s="2"/>
      <c r="R53" s="7">
        <f t="shared" si="34"/>
        <v>2.5383017472699641E-4</v>
      </c>
      <c r="S53" s="2"/>
      <c r="T53" s="6">
        <v>134.54</v>
      </c>
      <c r="U53" s="2"/>
      <c r="V53" s="7">
        <f t="shared" si="35"/>
        <v>2.1668386872024048E-4</v>
      </c>
      <c r="W53" s="2"/>
      <c r="X53" s="6">
        <f t="shared" si="36"/>
        <v>-8.6699999999999875</v>
      </c>
      <c r="Y53" s="2"/>
      <c r="Z53" s="7">
        <f t="shared" si="37"/>
        <v>-6.4441801694663209E-2</v>
      </c>
    </row>
    <row r="54" spans="1:26" s="27" customFormat="1" outlineLevel="1" collapsed="1" x14ac:dyDescent="0.25">
      <c r="A54" s="25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30"/>
        <v>0</v>
      </c>
      <c r="G54" s="1"/>
      <c r="H54" s="1">
        <f>SUM(OSRRefH22_6x_0)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3"/>
      <c r="P54" s="1">
        <f>SUM(OSRRefP22_6x_0)</f>
        <v>0</v>
      </c>
      <c r="Q54" s="1"/>
      <c r="R54" s="5">
        <f t="shared" si="34"/>
        <v>0</v>
      </c>
      <c r="S54" s="1"/>
      <c r="T54" s="1">
        <f>SUM(OSRRefT22_6x_0)</f>
        <v>142.80000000000001</v>
      </c>
      <c r="U54" s="1"/>
      <c r="V54" s="5">
        <f t="shared" si="35"/>
        <v>2.299870406812126E-4</v>
      </c>
      <c r="W54" s="1"/>
      <c r="X54" s="1">
        <f t="shared" si="36"/>
        <v>-142.80000000000001</v>
      </c>
      <c r="Y54" s="1"/>
      <c r="Z54" s="5">
        <f t="shared" si="37"/>
        <v>-1</v>
      </c>
    </row>
    <row r="55" spans="1:26" s="24" customFormat="1" hidden="1" outlineLevel="2" x14ac:dyDescent="0.25">
      <c r="A55" s="26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/>
      <c r="Q55" s="2"/>
      <c r="R55" s="7">
        <f t="shared" si="34"/>
        <v>0</v>
      </c>
      <c r="S55" s="2"/>
      <c r="T55" s="6">
        <v>142.80000000000001</v>
      </c>
      <c r="U55" s="2"/>
      <c r="V55" s="7">
        <f t="shared" si="35"/>
        <v>2.299870406812126E-4</v>
      </c>
      <c r="W55" s="2"/>
      <c r="X55" s="6">
        <f t="shared" si="36"/>
        <v>-142.80000000000001</v>
      </c>
      <c r="Y55" s="2"/>
      <c r="Z55" s="7">
        <f t="shared" si="37"/>
        <v>-1</v>
      </c>
    </row>
    <row r="56" spans="1:26" s="27" customFormat="1" outlineLevel="1" collapsed="1" x14ac:dyDescent="0.25">
      <c r="A56" s="25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SUM(OSRRefD22_7x_0)</f>
        <v>0</v>
      </c>
      <c r="E56" s="1"/>
      <c r="F56" s="5">
        <f t="shared" si="30"/>
        <v>0</v>
      </c>
      <c r="G56" s="1"/>
      <c r="H56" s="1">
        <f>SUM(OSRRefH22_7x_0)</f>
        <v>79.33</v>
      </c>
      <c r="I56" s="1"/>
      <c r="J56" s="5">
        <f t="shared" si="31"/>
        <v>2.2692738094965662E-3</v>
      </c>
      <c r="K56" s="1"/>
      <c r="L56" s="1">
        <f t="shared" si="32"/>
        <v>-79.33</v>
      </c>
      <c r="M56" s="1"/>
      <c r="N56" s="5">
        <f t="shared" si="33"/>
        <v>-1</v>
      </c>
      <c r="O56" s="13"/>
      <c r="P56" s="1">
        <f>SUM(OSRRefP22_7x_0)</f>
        <v>331.18</v>
      </c>
      <c r="Q56" s="1"/>
      <c r="R56" s="5">
        <f t="shared" si="34"/>
        <v>6.6785951589804307E-4</v>
      </c>
      <c r="S56" s="1"/>
      <c r="T56" s="1">
        <f>SUM(OSRRefT22_7x_0)</f>
        <v>620.36</v>
      </c>
      <c r="U56" s="1"/>
      <c r="V56" s="5">
        <f t="shared" si="35"/>
        <v>9.9912297308821446E-4</v>
      </c>
      <c r="W56" s="1"/>
      <c r="X56" s="1">
        <f t="shared" si="36"/>
        <v>-289.18</v>
      </c>
      <c r="Y56" s="1"/>
      <c r="Z56" s="5">
        <f t="shared" si="37"/>
        <v>-0.4661486878586627</v>
      </c>
    </row>
    <row r="57" spans="1:26" s="24" customFormat="1" hidden="1" outlineLevel="2" x14ac:dyDescent="0.25">
      <c r="A57" s="26"/>
      <c r="B57" s="11" t="str">
        <f>CONCATENATE("          ", "6305", " - ", "FREIGHT OUT")</f>
        <v xml:space="preserve">          6305 - FREIGHT OUT</v>
      </c>
      <c r="C57" s="11"/>
      <c r="D57" s="6"/>
      <c r="E57" s="2"/>
      <c r="F57" s="7">
        <f t="shared" si="30"/>
        <v>0</v>
      </c>
      <c r="G57" s="2"/>
      <c r="H57" s="6">
        <v>79.33</v>
      </c>
      <c r="I57" s="2"/>
      <c r="J57" s="7">
        <f t="shared" si="31"/>
        <v>2.2692738094965662E-3</v>
      </c>
      <c r="K57" s="2"/>
      <c r="L57" s="6">
        <f t="shared" si="32"/>
        <v>-79.33</v>
      </c>
      <c r="M57" s="2"/>
      <c r="N57" s="7">
        <f t="shared" si="33"/>
        <v>-1</v>
      </c>
      <c r="O57" s="11"/>
      <c r="P57" s="6">
        <v>331.18</v>
      </c>
      <c r="Q57" s="2"/>
      <c r="R57" s="7">
        <f t="shared" si="34"/>
        <v>6.6785951589804307E-4</v>
      </c>
      <c r="S57" s="2"/>
      <c r="T57" s="6">
        <v>588.74</v>
      </c>
      <c r="U57" s="2"/>
      <c r="V57" s="7">
        <f t="shared" si="35"/>
        <v>9.4819727122308893E-4</v>
      </c>
      <c r="W57" s="2"/>
      <c r="X57" s="6">
        <f t="shared" si="36"/>
        <v>-257.56</v>
      </c>
      <c r="Y57" s="2"/>
      <c r="Z57" s="7">
        <f t="shared" si="37"/>
        <v>-0.43747664503855693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/>
      <c r="Q58" s="2"/>
      <c r="R58" s="7">
        <f t="shared" si="34"/>
        <v>0</v>
      </c>
      <c r="S58" s="2"/>
      <c r="T58" s="6">
        <v>31.62</v>
      </c>
      <c r="U58" s="2"/>
      <c r="V58" s="7">
        <f t="shared" si="35"/>
        <v>5.0925701865125641E-5</v>
      </c>
      <c r="W58" s="2"/>
      <c r="X58" s="6">
        <f t="shared" si="36"/>
        <v>-31.62</v>
      </c>
      <c r="Y58" s="2"/>
      <c r="Z58" s="7">
        <f t="shared" si="37"/>
        <v>-1</v>
      </c>
    </row>
    <row r="59" spans="1:26" s="27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0</v>
      </c>
      <c r="E59" s="1"/>
      <c r="F59" s="5">
        <f t="shared" ref="F59:F64" si="38">IF(D$12=0,0,D59/D$12)</f>
        <v>0</v>
      </c>
      <c r="G59" s="1"/>
      <c r="H59" s="1">
        <f>SUM(OSRRefH22_8x_0)</f>
        <v>4.5</v>
      </c>
      <c r="I59" s="1"/>
      <c r="J59" s="5">
        <f t="shared" ref="J59:J64" si="39">IF(H$12=0,0,H59/H$12)</f>
        <v>1.2872472132528109E-4</v>
      </c>
      <c r="K59" s="1"/>
      <c r="L59" s="1">
        <f t="shared" ref="L59:L64" si="40">+D59-H59</f>
        <v>-4.5</v>
      </c>
      <c r="M59" s="1"/>
      <c r="N59" s="5">
        <f t="shared" ref="N59:N64" si="41">IF(H59=0,0,L59/H59)</f>
        <v>-1</v>
      </c>
      <c r="O59" s="13"/>
      <c r="P59" s="1">
        <f>SUM(OSRRefP22_8x_0)</f>
        <v>1192.3499999999999</v>
      </c>
      <c r="Q59" s="1"/>
      <c r="R59" s="5">
        <f t="shared" ref="R59:R64" si="42">IF(P$12=0,0,P59/P$12)</f>
        <v>2.4044999510267275E-3</v>
      </c>
      <c r="S59" s="1"/>
      <c r="T59" s="1">
        <f>SUM(OSRRefT22_8x_0)</f>
        <v>1306.3800000000001</v>
      </c>
      <c r="U59" s="1"/>
      <c r="V59" s="5">
        <f t="shared" ref="V59:V64" si="43">IF(T$12=0,0,T59/T$12)</f>
        <v>2.1039948893916143E-3</v>
      </c>
      <c r="W59" s="1"/>
      <c r="X59" s="1">
        <f t="shared" ref="X59:X64" si="44">+P59-T59</f>
        <v>-114.0300000000002</v>
      </c>
      <c r="Y59" s="1"/>
      <c r="Z59" s="5">
        <f t="shared" ref="Z59:Z64" si="45">IF(T59=0,0,X59/T59)</f>
        <v>-8.7287006843338219E-2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8"/>
        <v>0</v>
      </c>
      <c r="G60" s="2"/>
      <c r="H60" s="6">
        <v>4.5</v>
      </c>
      <c r="I60" s="2"/>
      <c r="J60" s="7">
        <f t="shared" si="39"/>
        <v>1.2872472132528109E-4</v>
      </c>
      <c r="K60" s="2"/>
      <c r="L60" s="6">
        <f t="shared" si="40"/>
        <v>-4.5</v>
      </c>
      <c r="M60" s="2"/>
      <c r="N60" s="7">
        <f t="shared" si="41"/>
        <v>-1</v>
      </c>
      <c r="O60" s="11"/>
      <c r="P60" s="6">
        <v>1192.3499999999999</v>
      </c>
      <c r="Q60" s="2"/>
      <c r="R60" s="7">
        <f t="shared" si="42"/>
        <v>2.4044999510267275E-3</v>
      </c>
      <c r="S60" s="2"/>
      <c r="T60" s="6">
        <v>1306.3800000000001</v>
      </c>
      <c r="U60" s="2"/>
      <c r="V60" s="7">
        <f t="shared" si="43"/>
        <v>2.1039948893916143E-3</v>
      </c>
      <c r="W60" s="2"/>
      <c r="X60" s="6">
        <f t="shared" si="44"/>
        <v>-114.0300000000002</v>
      </c>
      <c r="Y60" s="2"/>
      <c r="Z60" s="7">
        <f t="shared" si="45"/>
        <v>-8.7287006843338219E-2</v>
      </c>
    </row>
    <row r="61" spans="1:26" s="27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0</v>
      </c>
      <c r="E61" s="1"/>
      <c r="F61" s="5">
        <f t="shared" si="38"/>
        <v>0</v>
      </c>
      <c r="G61" s="1"/>
      <c r="H61" s="1">
        <f>SUM(OSRRefH22_9x_0)</f>
        <v>0</v>
      </c>
      <c r="I61" s="1"/>
      <c r="J61" s="5">
        <f t="shared" si="39"/>
        <v>0</v>
      </c>
      <c r="K61" s="1"/>
      <c r="L61" s="1">
        <f t="shared" si="40"/>
        <v>0</v>
      </c>
      <c r="M61" s="1"/>
      <c r="N61" s="5">
        <f t="shared" si="41"/>
        <v>0</v>
      </c>
      <c r="O61" s="13"/>
      <c r="P61" s="1">
        <f>SUM(OSRRefP22_9x_0)</f>
        <v>1088.6200000000001</v>
      </c>
      <c r="Q61" s="1"/>
      <c r="R61" s="5">
        <f t="shared" si="42"/>
        <v>2.195317429183307E-3</v>
      </c>
      <c r="S61" s="1"/>
      <c r="T61" s="1">
        <f>SUM(OSRRefT22_9x_0)</f>
        <v>541.02</v>
      </c>
      <c r="U61" s="1"/>
      <c r="V61" s="5">
        <f t="shared" si="43"/>
        <v>8.7134165790861081E-4</v>
      </c>
      <c r="W61" s="1"/>
      <c r="X61" s="1">
        <f t="shared" si="44"/>
        <v>547.60000000000014</v>
      </c>
      <c r="Y61" s="1"/>
      <c r="Z61" s="5">
        <f t="shared" si="45"/>
        <v>1.0121622121178517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>
        <v>437.31</v>
      </c>
      <c r="Q62" s="2"/>
      <c r="R62" s="7">
        <f t="shared" si="42"/>
        <v>8.8188189171258284E-4</v>
      </c>
      <c r="S62" s="2"/>
      <c r="T62" s="6"/>
      <c r="U62" s="2"/>
      <c r="V62" s="7">
        <f t="shared" si="43"/>
        <v>0</v>
      </c>
      <c r="W62" s="2"/>
      <c r="X62" s="6">
        <f t="shared" si="44"/>
        <v>437.31</v>
      </c>
      <c r="Y62" s="2"/>
      <c r="Z62" s="7">
        <f t="shared" si="45"/>
        <v>0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8"/>
        <v>0</v>
      </c>
      <c r="G63" s="2"/>
      <c r="H63" s="6"/>
      <c r="I63" s="2"/>
      <c r="J63" s="7">
        <f t="shared" si="39"/>
        <v>0</v>
      </c>
      <c r="K63" s="2"/>
      <c r="L63" s="6">
        <f t="shared" si="40"/>
        <v>0</v>
      </c>
      <c r="M63" s="2"/>
      <c r="N63" s="7">
        <f t="shared" si="41"/>
        <v>0</v>
      </c>
      <c r="O63" s="11"/>
      <c r="P63" s="6">
        <v>70.73</v>
      </c>
      <c r="Q63" s="2"/>
      <c r="R63" s="7">
        <f t="shared" si="42"/>
        <v>1.4263452974052959E-4</v>
      </c>
      <c r="S63" s="2"/>
      <c r="T63" s="6">
        <v>67.47</v>
      </c>
      <c r="U63" s="2"/>
      <c r="V63" s="7">
        <f t="shared" si="43"/>
        <v>1.0866404506135443E-4</v>
      </c>
      <c r="W63" s="2"/>
      <c r="X63" s="6">
        <f t="shared" si="44"/>
        <v>3.2600000000000051</v>
      </c>
      <c r="Y63" s="2"/>
      <c r="Z63" s="7">
        <f t="shared" si="45"/>
        <v>4.8317770861123537E-2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8"/>
        <v>0</v>
      </c>
      <c r="G64" s="2"/>
      <c r="H64" s="6"/>
      <c r="I64" s="2"/>
      <c r="J64" s="7">
        <f t="shared" si="39"/>
        <v>0</v>
      </c>
      <c r="K64" s="2"/>
      <c r="L64" s="6">
        <f t="shared" si="40"/>
        <v>0</v>
      </c>
      <c r="M64" s="2"/>
      <c r="N64" s="7">
        <f t="shared" si="41"/>
        <v>0</v>
      </c>
      <c r="O64" s="11"/>
      <c r="P64" s="6">
        <v>580.58000000000004</v>
      </c>
      <c r="Q64" s="2"/>
      <c r="R64" s="7">
        <f t="shared" si="42"/>
        <v>1.1708010077301945E-3</v>
      </c>
      <c r="S64" s="2"/>
      <c r="T64" s="6">
        <v>473.55</v>
      </c>
      <c r="U64" s="2"/>
      <c r="V64" s="7">
        <f t="shared" si="43"/>
        <v>7.6267761284725647E-4</v>
      </c>
      <c r="W64" s="2"/>
      <c r="X64" s="6">
        <f t="shared" si="44"/>
        <v>107.03000000000003</v>
      </c>
      <c r="Y64" s="2"/>
      <c r="Z64" s="7">
        <f t="shared" si="45"/>
        <v>0.22601626016260168</v>
      </c>
    </row>
    <row r="65" spans="1:26" s="27" customFormat="1" outlineLevel="1" collapsed="1" x14ac:dyDescent="0.25">
      <c r="A65" s="25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0</v>
      </c>
      <c r="E65" s="1"/>
      <c r="F65" s="5">
        <f t="shared" ref="F65:F67" si="46">IF(D$12=0,0,D65/D$12)</f>
        <v>0</v>
      </c>
      <c r="G65" s="1"/>
      <c r="H65" s="1">
        <f>SUM(OSRRefH22_10x_0)</f>
        <v>125</v>
      </c>
      <c r="I65" s="1"/>
      <c r="J65" s="5">
        <f t="shared" ref="J65:J67" si="47">IF(H$12=0,0,H65/H$12)</f>
        <v>3.5756867034800301E-3</v>
      </c>
      <c r="K65" s="1"/>
      <c r="L65" s="1">
        <f t="shared" ref="L65:L67" si="48">+D65-H65</f>
        <v>-125</v>
      </c>
      <c r="M65" s="1"/>
      <c r="N65" s="5">
        <f t="shared" ref="N65:N67" si="49">IF(H65=0,0,L65/H65)</f>
        <v>-1</v>
      </c>
      <c r="O65" s="13"/>
      <c r="P65" s="1">
        <f>SUM(OSRRefP22_10x_0)</f>
        <v>1180.31</v>
      </c>
      <c r="Q65" s="1"/>
      <c r="R65" s="5">
        <f t="shared" ref="R65:R67" si="50">IF(P$12=0,0,P65/P$12)</f>
        <v>2.3802200169382786E-3</v>
      </c>
      <c r="S65" s="1"/>
      <c r="T65" s="1">
        <f>SUM(OSRRefT22_10x_0)</f>
        <v>1495.17</v>
      </c>
      <c r="U65" s="1"/>
      <c r="V65" s="5">
        <f t="shared" ref="V65:V67" si="51">IF(T$12=0,0,T65/T$12)</f>
        <v>2.408051285821629E-3</v>
      </c>
      <c r="W65" s="1"/>
      <c r="X65" s="1">
        <f t="shared" ref="X65:X67" si="52">+P65-T65</f>
        <v>-314.86000000000013</v>
      </c>
      <c r="Y65" s="1"/>
      <c r="Z65" s="5">
        <f t="shared" ref="Z65:Z67" si="53">IF(T65=0,0,X65/T65)</f>
        <v>-0.21058474956025075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26.93</v>
      </c>
      <c r="U66" s="2"/>
      <c r="V66" s="7">
        <f t="shared" si="51"/>
        <v>4.3372205921183856E-5</v>
      </c>
      <c r="W66" s="2"/>
      <c r="X66" s="6">
        <f t="shared" si="52"/>
        <v>-26.93</v>
      </c>
      <c r="Y66" s="2"/>
      <c r="Z66" s="7">
        <f t="shared" si="53"/>
        <v>-1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6"/>
        <v>0</v>
      </c>
      <c r="G67" s="2"/>
      <c r="H67" s="6">
        <v>125</v>
      </c>
      <c r="I67" s="2"/>
      <c r="J67" s="7">
        <f t="shared" si="47"/>
        <v>3.5756867034800301E-3</v>
      </c>
      <c r="K67" s="2"/>
      <c r="L67" s="6">
        <f t="shared" si="48"/>
        <v>-125</v>
      </c>
      <c r="M67" s="2"/>
      <c r="N67" s="7">
        <f t="shared" si="49"/>
        <v>-1</v>
      </c>
      <c r="O67" s="11"/>
      <c r="P67" s="6">
        <v>1180.31</v>
      </c>
      <c r="Q67" s="2"/>
      <c r="R67" s="7">
        <f t="shared" si="50"/>
        <v>2.3802200169382786E-3</v>
      </c>
      <c r="S67" s="2"/>
      <c r="T67" s="6">
        <v>1468.24</v>
      </c>
      <c r="U67" s="2"/>
      <c r="V67" s="7">
        <f t="shared" si="51"/>
        <v>2.3646790799004449E-3</v>
      </c>
      <c r="W67" s="2"/>
      <c r="X67" s="6">
        <f t="shared" si="52"/>
        <v>-287.93000000000006</v>
      </c>
      <c r="Y67" s="2"/>
      <c r="Z67" s="7">
        <f t="shared" si="53"/>
        <v>-0.19610554132839322</v>
      </c>
    </row>
    <row r="68" spans="1:26" s="27" customFormat="1" outlineLevel="1" collapsed="1" x14ac:dyDescent="0.25">
      <c r="A68" s="25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SUM(OSRRefD22_11x_0)</f>
        <v>0</v>
      </c>
      <c r="E68" s="1"/>
      <c r="F68" s="5">
        <f t="shared" ref="F68:F70" si="54">IF(D$12=0,0,D68/D$12)</f>
        <v>0</v>
      </c>
      <c r="G68" s="1"/>
      <c r="H68" s="1">
        <f>SUM(OSRRefH22_11x_0)</f>
        <v>0</v>
      </c>
      <c r="I68" s="1"/>
      <c r="J68" s="5">
        <f t="shared" ref="J68:J70" si="55">IF(H$12=0,0,H68/H$12)</f>
        <v>0</v>
      </c>
      <c r="K68" s="1"/>
      <c r="L68" s="1">
        <f t="shared" ref="L68:L70" si="56">+D68-H68</f>
        <v>0</v>
      </c>
      <c r="M68" s="1"/>
      <c r="N68" s="5">
        <f t="shared" ref="N68:N70" si="57">IF(H68=0,0,L68/H68)</f>
        <v>0</v>
      </c>
      <c r="O68" s="13"/>
      <c r="P68" s="1">
        <f>SUM(OSRRefP22_11x_0)</f>
        <v>0</v>
      </c>
      <c r="Q68" s="1"/>
      <c r="R68" s="5">
        <f t="shared" ref="R68:R70" si="58">IF(P$12=0,0,P68/P$12)</f>
        <v>0</v>
      </c>
      <c r="S68" s="1"/>
      <c r="T68" s="1">
        <f>SUM(OSRRefT22_11x_0)</f>
        <v>43.18</v>
      </c>
      <c r="U68" s="1"/>
      <c r="V68" s="5">
        <f t="shared" ref="V68:V70" si="59">IF(T$12=0,0,T68/T$12)</f>
        <v>6.9543700396461892E-5</v>
      </c>
      <c r="W68" s="1"/>
      <c r="X68" s="1">
        <f t="shared" ref="X68:X70" si="60">+P68-T68</f>
        <v>-43.18</v>
      </c>
      <c r="Y68" s="1"/>
      <c r="Z68" s="5">
        <f t="shared" ref="Z68:Z70" si="61">IF(T68=0,0,X68/T68)</f>
        <v>-1</v>
      </c>
    </row>
    <row r="69" spans="1:26" s="24" customFormat="1" hidden="1" outlineLevel="2" x14ac:dyDescent="0.25">
      <c r="A69" s="26"/>
      <c r="B69" s="11" t="str">
        <f>CONCATENATE("          ", "6258", " - ", "MEMBERSHIP DUES")</f>
        <v xml:space="preserve">          6258 - MEMBERSHIP DUES</v>
      </c>
      <c r="C69" s="11"/>
      <c r="D69" s="6"/>
      <c r="E69" s="2"/>
      <c r="F69" s="7">
        <f t="shared" si="54"/>
        <v>0</v>
      </c>
      <c r="G69" s="2"/>
      <c r="H69" s="6"/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50</v>
      </c>
      <c r="U69" s="2"/>
      <c r="V69" s="7">
        <f t="shared" si="59"/>
        <v>8.0527675308547821E-5</v>
      </c>
      <c r="W69" s="2"/>
      <c r="X69" s="6">
        <f t="shared" si="60"/>
        <v>-50</v>
      </c>
      <c r="Y69" s="2"/>
      <c r="Z69" s="7">
        <f t="shared" si="61"/>
        <v>-1</v>
      </c>
    </row>
    <row r="70" spans="1:26" s="24" customFormat="1" hidden="1" outlineLevel="2" x14ac:dyDescent="0.25">
      <c r="A70" s="26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-6.82</v>
      </c>
      <c r="U70" s="2"/>
      <c r="V70" s="7">
        <f t="shared" si="59"/>
        <v>-1.0983974912085924E-5</v>
      </c>
      <c r="W70" s="2"/>
      <c r="X70" s="6">
        <f t="shared" si="60"/>
        <v>6.82</v>
      </c>
      <c r="Y70" s="2"/>
      <c r="Z70" s="7">
        <f t="shared" si="61"/>
        <v>-1</v>
      </c>
    </row>
    <row r="71" spans="1:26" s="27" customFormat="1" outlineLevel="1" collapsed="1" x14ac:dyDescent="0.25">
      <c r="A71" s="25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493.49</v>
      </c>
      <c r="E71" s="1"/>
      <c r="F71" s="5">
        <f t="shared" ref="F71:F77" si="62">IF(D$12=0,0,D71/D$12)</f>
        <v>17.400916784203105</v>
      </c>
      <c r="G71" s="1"/>
      <c r="H71" s="1">
        <f>SUM(OSRRefH22_12x_0)</f>
        <v>175.08</v>
      </c>
      <c r="I71" s="1"/>
      <c r="J71" s="5">
        <f t="shared" ref="J71:J77" si="63">IF(H$12=0,0,H71/H$12)</f>
        <v>5.0082498243622696E-3</v>
      </c>
      <c r="K71" s="1"/>
      <c r="L71" s="1">
        <f t="shared" ref="L71:L77" si="64">+D71-H71</f>
        <v>318.40999999999997</v>
      </c>
      <c r="M71" s="1"/>
      <c r="N71" s="5">
        <f t="shared" ref="N71:N77" si="65">IF(H71=0,0,L71/H71)</f>
        <v>1.8186543294493942</v>
      </c>
      <c r="O71" s="13"/>
      <c r="P71" s="1">
        <f>SUM(OSRRefP22_12x_0)</f>
        <v>6469.25</v>
      </c>
      <c r="Q71" s="1"/>
      <c r="R71" s="5">
        <f t="shared" ref="R71:R77" si="66">IF(P$12=0,0,P71/P$12)</f>
        <v>1.3045927209443248E-2</v>
      </c>
      <c r="S71" s="1"/>
      <c r="T71" s="1">
        <f>SUM(OSRRefT22_12x_0)</f>
        <v>2275.77</v>
      </c>
      <c r="U71" s="1"/>
      <c r="V71" s="5">
        <f t="shared" ref="V71:V77" si="67">IF(T$12=0,0,T71/T$12)</f>
        <v>3.6652493527386774E-3</v>
      </c>
      <c r="W71" s="1"/>
      <c r="X71" s="1">
        <f t="shared" ref="X71:X77" si="68">+P71-T71</f>
        <v>4193.4799999999996</v>
      </c>
      <c r="Y71" s="1"/>
      <c r="Z71" s="5">
        <f t="shared" ref="Z71:Z77" si="69">IF(T71=0,0,X71/T71)</f>
        <v>1.8426642411139964</v>
      </c>
    </row>
    <row r="72" spans="1:26" s="24" customFormat="1" hidden="1" outlineLevel="2" x14ac:dyDescent="0.25">
      <c r="A72" s="26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62"/>
        <v>0</v>
      </c>
      <c r="G72" s="2"/>
      <c r="H72" s="6"/>
      <c r="I72" s="2"/>
      <c r="J72" s="7">
        <f t="shared" si="63"/>
        <v>0</v>
      </c>
      <c r="K72" s="2"/>
      <c r="L72" s="6">
        <f t="shared" si="64"/>
        <v>0</v>
      </c>
      <c r="M72" s="2"/>
      <c r="N72" s="7">
        <f t="shared" si="65"/>
        <v>0</v>
      </c>
      <c r="O72" s="11"/>
      <c r="P72" s="6">
        <v>354.82</v>
      </c>
      <c r="Q72" s="2"/>
      <c r="R72" s="7">
        <f t="shared" si="66"/>
        <v>7.1553207751356854E-4</v>
      </c>
      <c r="S72" s="2"/>
      <c r="T72" s="6"/>
      <c r="U72" s="2"/>
      <c r="V72" s="7">
        <f t="shared" si="67"/>
        <v>0</v>
      </c>
      <c r="W72" s="2"/>
      <c r="X72" s="6">
        <f t="shared" si="68"/>
        <v>354.82</v>
      </c>
      <c r="Y72" s="2"/>
      <c r="Z72" s="7">
        <f t="shared" si="69"/>
        <v>0</v>
      </c>
    </row>
    <row r="73" spans="1:26" s="24" customFormat="1" hidden="1" outlineLevel="2" x14ac:dyDescent="0.25">
      <c r="A73" s="26"/>
      <c r="B73" s="11" t="str">
        <f>CONCATENATE("          ", "6237", " - ", "JANITORIAL SUPPLIES")</f>
        <v xml:space="preserve">          6237 - JANITORIAL SUPPLIES</v>
      </c>
      <c r="C73" s="11"/>
      <c r="D73" s="6"/>
      <c r="E73" s="2"/>
      <c r="F73" s="7">
        <f t="shared" si="62"/>
        <v>0</v>
      </c>
      <c r="G73" s="2"/>
      <c r="H73" s="6"/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1"/>
      <c r="P73" s="6">
        <v>151.25</v>
      </c>
      <c r="Q73" s="2"/>
      <c r="R73" s="7">
        <f t="shared" si="66"/>
        <v>3.0501163047158347E-4</v>
      </c>
      <c r="S73" s="2"/>
      <c r="T73" s="6">
        <v>93.07</v>
      </c>
      <c r="U73" s="2"/>
      <c r="V73" s="7">
        <f t="shared" si="67"/>
        <v>1.4989421481933091E-4</v>
      </c>
      <c r="W73" s="2"/>
      <c r="X73" s="6">
        <f t="shared" si="68"/>
        <v>58.180000000000007</v>
      </c>
      <c r="Y73" s="2"/>
      <c r="Z73" s="7">
        <f t="shared" si="69"/>
        <v>0.62512087675942851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62"/>
        <v>0</v>
      </c>
      <c r="G74" s="2"/>
      <c r="H74" s="6"/>
      <c r="I74" s="2"/>
      <c r="J74" s="7">
        <f t="shared" si="63"/>
        <v>0</v>
      </c>
      <c r="K74" s="2"/>
      <c r="L74" s="6">
        <f t="shared" si="64"/>
        <v>0</v>
      </c>
      <c r="M74" s="2"/>
      <c r="N74" s="7">
        <f t="shared" si="65"/>
        <v>0</v>
      </c>
      <c r="O74" s="11"/>
      <c r="P74" s="6">
        <v>328.56</v>
      </c>
      <c r="Q74" s="2"/>
      <c r="R74" s="7">
        <f t="shared" si="66"/>
        <v>6.625760086462377E-4</v>
      </c>
      <c r="S74" s="2"/>
      <c r="T74" s="6">
        <v>367.7</v>
      </c>
      <c r="U74" s="2"/>
      <c r="V74" s="7">
        <f t="shared" si="67"/>
        <v>5.9220052421906071E-4</v>
      </c>
      <c r="W74" s="2"/>
      <c r="X74" s="6">
        <f t="shared" si="68"/>
        <v>-39.139999999999986</v>
      </c>
      <c r="Y74" s="2"/>
      <c r="Z74" s="7">
        <f t="shared" si="69"/>
        <v>-0.10644547185205327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62"/>
        <v>0</v>
      </c>
      <c r="G75" s="2"/>
      <c r="H75" s="6"/>
      <c r="I75" s="2"/>
      <c r="J75" s="7">
        <f t="shared" si="63"/>
        <v>0</v>
      </c>
      <c r="K75" s="2"/>
      <c r="L75" s="6">
        <f t="shared" si="64"/>
        <v>0</v>
      </c>
      <c r="M75" s="2"/>
      <c r="N75" s="7">
        <f t="shared" si="65"/>
        <v>0</v>
      </c>
      <c r="O75" s="11"/>
      <c r="P75" s="6">
        <v>81.739999999999995</v>
      </c>
      <c r="Q75" s="2"/>
      <c r="R75" s="7">
        <f t="shared" si="66"/>
        <v>1.6483735983303954E-4</v>
      </c>
      <c r="S75" s="2"/>
      <c r="T75" s="6"/>
      <c r="U75" s="2"/>
      <c r="V75" s="7">
        <f t="shared" si="67"/>
        <v>0</v>
      </c>
      <c r="W75" s="2"/>
      <c r="X75" s="6">
        <f t="shared" si="68"/>
        <v>81.739999999999995</v>
      </c>
      <c r="Y75" s="2"/>
      <c r="Z75" s="7">
        <f t="shared" si="69"/>
        <v>0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>
        <v>493.49</v>
      </c>
      <c r="E76" s="2"/>
      <c r="F76" s="7">
        <f t="shared" si="62"/>
        <v>17.400916784203105</v>
      </c>
      <c r="G76" s="2"/>
      <c r="H76" s="6">
        <v>175.08</v>
      </c>
      <c r="I76" s="2"/>
      <c r="J76" s="7">
        <f t="shared" si="63"/>
        <v>5.0082498243622696E-3</v>
      </c>
      <c r="K76" s="2"/>
      <c r="L76" s="6">
        <f t="shared" si="64"/>
        <v>318.40999999999997</v>
      </c>
      <c r="M76" s="2"/>
      <c r="N76" s="7">
        <f t="shared" si="65"/>
        <v>1.8186543294493942</v>
      </c>
      <c r="O76" s="11"/>
      <c r="P76" s="6">
        <v>5518.43</v>
      </c>
      <c r="Q76" s="2"/>
      <c r="R76" s="7">
        <f t="shared" si="66"/>
        <v>1.1128498062435044E-2</v>
      </c>
      <c r="S76" s="2"/>
      <c r="T76" s="6">
        <v>1627.13</v>
      </c>
      <c r="U76" s="2"/>
      <c r="V76" s="7">
        <f t="shared" si="67"/>
        <v>2.6205799264959486E-3</v>
      </c>
      <c r="W76" s="2"/>
      <c r="X76" s="6">
        <f t="shared" si="68"/>
        <v>3891.3</v>
      </c>
      <c r="Y76" s="2"/>
      <c r="Z76" s="7">
        <f t="shared" si="69"/>
        <v>2.3915114342431152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62"/>
        <v>0</v>
      </c>
      <c r="G77" s="2"/>
      <c r="H77" s="6"/>
      <c r="I77" s="2"/>
      <c r="J77" s="7">
        <f t="shared" si="63"/>
        <v>0</v>
      </c>
      <c r="K77" s="2"/>
      <c r="L77" s="6">
        <f t="shared" si="64"/>
        <v>0</v>
      </c>
      <c r="M77" s="2"/>
      <c r="N77" s="7">
        <f t="shared" si="65"/>
        <v>0</v>
      </c>
      <c r="O77" s="11"/>
      <c r="P77" s="6">
        <v>34.450000000000003</v>
      </c>
      <c r="Q77" s="2"/>
      <c r="R77" s="7">
        <f t="shared" si="66"/>
        <v>6.9472070543775548E-5</v>
      </c>
      <c r="S77" s="2"/>
      <c r="T77" s="6">
        <v>187.87</v>
      </c>
      <c r="U77" s="2"/>
      <c r="V77" s="7">
        <f t="shared" si="67"/>
        <v>3.025746872043376E-4</v>
      </c>
      <c r="W77" s="2"/>
      <c r="X77" s="6">
        <f t="shared" si="68"/>
        <v>-153.42000000000002</v>
      </c>
      <c r="Y77" s="2"/>
      <c r="Z77" s="7">
        <f t="shared" si="69"/>
        <v>-0.81662851972108375</v>
      </c>
    </row>
    <row r="78" spans="1:26" s="27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122.1</v>
      </c>
      <c r="E78" s="1"/>
      <c r="F78" s="5">
        <f t="shared" ref="F78:F81" si="70">IF(D$12=0,0,D78/D$12)</f>
        <v>4.3053596614950633</v>
      </c>
      <c r="G78" s="1"/>
      <c r="H78" s="1">
        <f>SUM(OSRRefH22_13x_0)</f>
        <v>130.44999999999999</v>
      </c>
      <c r="I78" s="1"/>
      <c r="J78" s="5">
        <f t="shared" ref="J78:J81" si="71">IF(H$12=0,0,H78/H$12)</f>
        <v>3.7315866437517588E-3</v>
      </c>
      <c r="K78" s="1"/>
      <c r="L78" s="1">
        <f t="shared" ref="L78:L81" si="72">+D78-H78</f>
        <v>-8.3499999999999943</v>
      </c>
      <c r="M78" s="1"/>
      <c r="N78" s="5">
        <f t="shared" ref="N78:N81" si="73">IF(H78=0,0,L78/H78)</f>
        <v>-6.4009198926791841E-2</v>
      </c>
      <c r="O78" s="13"/>
      <c r="P78" s="1">
        <f>SUM(OSRRefP22_13x_0)</f>
        <v>1372.83</v>
      </c>
      <c r="Q78" s="1"/>
      <c r="R78" s="5">
        <f t="shared" ref="R78:R81" si="74">IF(P$12=0,0,P78/P$12)</f>
        <v>2.7684569696549018E-3</v>
      </c>
      <c r="S78" s="1"/>
      <c r="T78" s="1">
        <f>SUM(OSRRefT22_13x_0)</f>
        <v>1475.95</v>
      </c>
      <c r="U78" s="1"/>
      <c r="V78" s="5">
        <f t="shared" ref="V78:V81" si="75">IF(T$12=0,0,T78/T$12)</f>
        <v>2.3770964474330233E-3</v>
      </c>
      <c r="W78" s="1"/>
      <c r="X78" s="1">
        <f t="shared" ref="X78:X81" si="76">+P78-T78</f>
        <v>-103.12000000000012</v>
      </c>
      <c r="Y78" s="1"/>
      <c r="Z78" s="5">
        <f t="shared" ref="Z78:Z81" si="77">IF(T78=0,0,X78/T78)</f>
        <v>-6.9866865408719891E-2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122.1</v>
      </c>
      <c r="E79" s="2"/>
      <c r="F79" s="7">
        <f t="shared" si="70"/>
        <v>4.3053596614950633</v>
      </c>
      <c r="G79" s="2"/>
      <c r="H79" s="6">
        <v>130.44999999999999</v>
      </c>
      <c r="I79" s="2"/>
      <c r="J79" s="7">
        <f t="shared" si="71"/>
        <v>3.7315866437517588E-3</v>
      </c>
      <c r="K79" s="2"/>
      <c r="L79" s="6">
        <f t="shared" si="72"/>
        <v>-8.3499999999999943</v>
      </c>
      <c r="M79" s="2"/>
      <c r="N79" s="7">
        <f t="shared" si="73"/>
        <v>-6.4009198926791841E-2</v>
      </c>
      <c r="O79" s="11"/>
      <c r="P79" s="6">
        <v>1372.83</v>
      </c>
      <c r="Q79" s="2"/>
      <c r="R79" s="7">
        <f t="shared" si="74"/>
        <v>2.7684569696549018E-3</v>
      </c>
      <c r="S79" s="2"/>
      <c r="T79" s="6">
        <v>1475.95</v>
      </c>
      <c r="U79" s="2"/>
      <c r="V79" s="7">
        <f t="shared" si="75"/>
        <v>2.3770964474330233E-3</v>
      </c>
      <c r="W79" s="2"/>
      <c r="X79" s="6">
        <f t="shared" si="76"/>
        <v>-103.12000000000012</v>
      </c>
      <c r="Y79" s="2"/>
      <c r="Z79" s="7">
        <f t="shared" si="77"/>
        <v>-6.9866865408719891E-2</v>
      </c>
    </row>
    <row r="80" spans="1:26" s="27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70"/>
        <v>0</v>
      </c>
      <c r="G80" s="1"/>
      <c r="H80" s="1">
        <f>SUM(OSRRefH22_14x_0)</f>
        <v>0</v>
      </c>
      <c r="I80" s="1"/>
      <c r="J80" s="5">
        <f t="shared" si="71"/>
        <v>0</v>
      </c>
      <c r="K80" s="1"/>
      <c r="L80" s="1">
        <f t="shared" si="72"/>
        <v>0</v>
      </c>
      <c r="M80" s="1"/>
      <c r="N80" s="5">
        <f t="shared" si="73"/>
        <v>0</v>
      </c>
      <c r="O80" s="13"/>
      <c r="P80" s="1">
        <f>SUM(OSRRefP22_14x_0)</f>
        <v>96</v>
      </c>
      <c r="Q80" s="1"/>
      <c r="R80" s="5">
        <f t="shared" si="74"/>
        <v>1.9359415884477363E-4</v>
      </c>
      <c r="S80" s="1"/>
      <c r="T80" s="1">
        <f>SUM(OSRRefT22_14x_0)</f>
        <v>98.82</v>
      </c>
      <c r="U80" s="1"/>
      <c r="V80" s="5">
        <f t="shared" si="75"/>
        <v>1.5915489747981391E-4</v>
      </c>
      <c r="W80" s="1"/>
      <c r="X80" s="1">
        <f t="shared" si="76"/>
        <v>-2.8199999999999932</v>
      </c>
      <c r="Y80" s="1"/>
      <c r="Z80" s="5">
        <f t="shared" si="77"/>
        <v>-2.8536733454766174E-2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70"/>
        <v>0</v>
      </c>
      <c r="G81" s="2"/>
      <c r="H81" s="6"/>
      <c r="I81" s="2"/>
      <c r="J81" s="7">
        <f t="shared" si="71"/>
        <v>0</v>
      </c>
      <c r="K81" s="2"/>
      <c r="L81" s="6">
        <f t="shared" si="72"/>
        <v>0</v>
      </c>
      <c r="M81" s="2"/>
      <c r="N81" s="7">
        <f t="shared" si="73"/>
        <v>0</v>
      </c>
      <c r="O81" s="11"/>
      <c r="P81" s="6">
        <v>96</v>
      </c>
      <c r="Q81" s="2"/>
      <c r="R81" s="7">
        <f t="shared" si="74"/>
        <v>1.9359415884477363E-4</v>
      </c>
      <c r="S81" s="2"/>
      <c r="T81" s="6">
        <v>98.82</v>
      </c>
      <c r="U81" s="2"/>
      <c r="V81" s="7">
        <f t="shared" si="75"/>
        <v>1.5915489747981391E-4</v>
      </c>
      <c r="W81" s="2"/>
      <c r="X81" s="6">
        <f t="shared" si="76"/>
        <v>-2.8199999999999932</v>
      </c>
      <c r="Y81" s="2"/>
      <c r="Z81" s="7">
        <f t="shared" si="77"/>
        <v>-2.8536733454766174E-2</v>
      </c>
    </row>
    <row r="82" spans="1:26" s="58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+D27-D29+D83</f>
        <v>-7062.4</v>
      </c>
      <c r="E85" s="14"/>
      <c r="F85" s="20">
        <f>IF(D$12=0,0,D85/D$12)</f>
        <v>-249.0267983074753</v>
      </c>
      <c r="G85" s="14"/>
      <c r="H85" s="21">
        <f>+H27-H29+H83</f>
        <v>-5064.8600000000079</v>
      </c>
      <c r="I85" s="14"/>
      <c r="J85" s="20">
        <f>IF(H$12=0,0,H85/H$12)</f>
        <v>-0.14488282045590314</v>
      </c>
      <c r="K85" s="16"/>
      <c r="L85" s="21">
        <f>+D85-H85</f>
        <v>-1997.5399999999918</v>
      </c>
      <c r="M85" s="16"/>
      <c r="N85" s="20">
        <f>IF(H85=0,0,L85/H85)</f>
        <v>0.39439194765501684</v>
      </c>
      <c r="O85" s="28"/>
      <c r="P85" s="21">
        <f>+P27-P29+P83</f>
        <v>64653.4200000001</v>
      </c>
      <c r="Q85" s="14"/>
      <c r="R85" s="20">
        <f>IF(P$12=0,0,P85/P$12)</f>
        <v>0.13038046313893628</v>
      </c>
      <c r="S85" s="14"/>
      <c r="T85" s="21">
        <f>+T27-T29+T83</f>
        <v>86917.190000000031</v>
      </c>
      <c r="U85" s="14"/>
      <c r="V85" s="20">
        <f>IF(T$12=0,0,T85/T$12)</f>
        <v>0.13998478510102724</v>
      </c>
      <c r="W85" s="16"/>
      <c r="X85" s="21">
        <f>+P85-T85</f>
        <v>-22263.769999999931</v>
      </c>
      <c r="Y85" s="16"/>
      <c r="Z85" s="20">
        <f>IF(T85=0,0,X85/T85)</f>
        <v>-0.25614921513224165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2419.5500000000002</v>
      </c>
      <c r="E87" s="4"/>
      <c r="F87" s="12">
        <f>IF(D$12=0,0,D87/D$12)</f>
        <v>85.315585331452752</v>
      </c>
      <c r="G87" s="4"/>
      <c r="H87" s="4">
        <v>3669</v>
      </c>
      <c r="I87" s="4"/>
      <c r="J87" s="12">
        <f>IF(H$12=0,0,H87/H$12)</f>
        <v>0.10495355612054584</v>
      </c>
      <c r="K87" s="4"/>
      <c r="L87" s="4">
        <f>+D87-H87</f>
        <v>-1249.4499999999998</v>
      </c>
      <c r="M87" s="4"/>
      <c r="N87" s="12">
        <f>IF(H87=0,0,L87/H87)</f>
        <v>-0.34054238212046872</v>
      </c>
      <c r="O87" s="10"/>
      <c r="P87" s="4">
        <v>58720.259999999995</v>
      </c>
      <c r="Q87" s="4"/>
      <c r="R87" s="12">
        <f>IF(P$12=0,0,P87/P$12)</f>
        <v>0.11841561814423339</v>
      </c>
      <c r="S87" s="4"/>
      <c r="T87" s="4">
        <v>64583.12</v>
      </c>
      <c r="U87" s="4"/>
      <c r="V87" s="12">
        <f>IF(T$12=0,0,T87/T$12)</f>
        <v>0.10401457035545962</v>
      </c>
      <c r="W87" s="4"/>
      <c r="X87" s="4">
        <f>+P87-T87</f>
        <v>-5862.8600000000079</v>
      </c>
      <c r="Y87" s="4"/>
      <c r="Z87" s="12">
        <f>IF(T87=0,0,X87/T87)</f>
        <v>-9.0780067608997636E-2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-9481.9500000000007</v>
      </c>
      <c r="E89" s="14"/>
      <c r="F89" s="32">
        <f>IF(D$12=0,0,D89/D$12)</f>
        <v>-334.34238363892808</v>
      </c>
      <c r="G89" s="14"/>
      <c r="H89" s="35">
        <f>+H85-H87</f>
        <v>-8733.8600000000079</v>
      </c>
      <c r="I89" s="14"/>
      <c r="J89" s="32">
        <f>IF(H$12=0,0,H89/H$12)</f>
        <v>-0.24983637657644897</v>
      </c>
      <c r="K89" s="16"/>
      <c r="L89" s="35">
        <f>D89-H89</f>
        <v>-748.08999999999287</v>
      </c>
      <c r="M89" s="16"/>
      <c r="N89" s="32">
        <f>IF(H89=0,0,L89/H89)</f>
        <v>8.5653994911756334E-2</v>
      </c>
      <c r="O89" s="28"/>
      <c r="P89" s="35">
        <f>+P85-P87</f>
        <v>5933.1600000001054</v>
      </c>
      <c r="Q89" s="14"/>
      <c r="R89" s="32">
        <f>IF(P$12=0,0,P89/P$12)</f>
        <v>1.196484499470289E-2</v>
      </c>
      <c r="S89" s="14"/>
      <c r="T89" s="35">
        <f>+T85-T87</f>
        <v>22334.070000000029</v>
      </c>
      <c r="U89" s="14"/>
      <c r="V89" s="32">
        <f>IF(T$12=0,0,T89/T$12)</f>
        <v>3.5970214745567622E-2</v>
      </c>
      <c r="W89" s="16"/>
      <c r="X89" s="35">
        <f>P89-T89</f>
        <v>-16400.909999999923</v>
      </c>
      <c r="Y89" s="16"/>
      <c r="Z89" s="32">
        <f>IF(T89=0,0,X89/T89)</f>
        <v>-0.7343448820568711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-9481.9500000000007</v>
      </c>
      <c r="E92" s="14"/>
      <c r="F92" s="33">
        <f>IF(D$12=0,0,D92/D$12)</f>
        <v>-334.34238363892808</v>
      </c>
      <c r="G92" s="14"/>
      <c r="H92" s="36">
        <f>SUM(H89:H91)</f>
        <v>-8733.8600000000079</v>
      </c>
      <c r="I92" s="14"/>
      <c r="J92" s="33">
        <f>IF(H$12=0,0,H92/H$12)</f>
        <v>-0.24983637657644897</v>
      </c>
      <c r="K92" s="16"/>
      <c r="L92" s="36">
        <f>+D92-H92</f>
        <v>-748.08999999999287</v>
      </c>
      <c r="M92" s="16"/>
      <c r="N92" s="33">
        <f>IF(H92=0,0,L92/H92)</f>
        <v>8.5653994911756334E-2</v>
      </c>
      <c r="O92" s="28"/>
      <c r="P92" s="36">
        <f>SUM(P89:P91)</f>
        <v>5933.1600000001054</v>
      </c>
      <c r="Q92" s="14"/>
      <c r="R92" s="33">
        <f>IF(P$12=0,0,P92/P$12)</f>
        <v>1.196484499470289E-2</v>
      </c>
      <c r="S92" s="14"/>
      <c r="T92" s="36">
        <f>SUM(T89:T91)</f>
        <v>22334.070000000029</v>
      </c>
      <c r="U92" s="14"/>
      <c r="V92" s="33">
        <f>IF(T$12=0,0,T92/T$12)</f>
        <v>3.5970214745567622E-2</v>
      </c>
      <c r="W92" s="16"/>
      <c r="X92" s="36">
        <f>+P92-T92</f>
        <v>-16400.909999999923</v>
      </c>
      <c r="Y92" s="16"/>
      <c r="Z92" s="33">
        <f>IF(T92=0,0,X92/T92)</f>
        <v>-0.7343448820568711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>
        <v>43992.375560300927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3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17953.13</v>
      </c>
      <c r="I12" s="4"/>
      <c r="J12" s="12"/>
      <c r="K12" s="4"/>
      <c r="L12" s="4">
        <f t="shared" ref="L12:L14" si="0">+D12-H12</f>
        <v>-17953.13</v>
      </c>
      <c r="M12" s="4"/>
      <c r="N12" s="12">
        <f t="shared" ref="N12:N14" si="1">IF(H12=0,0,L12/H12)</f>
        <v>-1</v>
      </c>
      <c r="O12" s="10"/>
      <c r="P12" s="4">
        <f>SUM(OSRRefP13x_0)</f>
        <v>281486.67000000004</v>
      </c>
      <c r="Q12" s="4"/>
      <c r="R12" s="12"/>
      <c r="S12" s="4"/>
      <c r="T12" s="4">
        <f>SUM(OSRRefT13x_0)</f>
        <v>317195.65000000002</v>
      </c>
      <c r="U12" s="4"/>
      <c r="V12" s="12"/>
      <c r="W12" s="4"/>
      <c r="X12" s="4">
        <f t="shared" ref="X12:X14" si="2">+P12-T12</f>
        <v>-35708.979999999981</v>
      </c>
      <c r="Y12" s="4"/>
      <c r="Z12" s="12">
        <f t="shared" ref="Z12:Z14" si="3">IF(T12=0,0,X12/T12)</f>
        <v>-0.11257714284543303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--5467.03</f>
        <v>5467.03</v>
      </c>
      <c r="I13" s="2"/>
      <c r="J13" s="19"/>
      <c r="K13" s="2"/>
      <c r="L13" s="2">
        <f t="shared" si="0"/>
        <v>-5467.03</v>
      </c>
      <c r="M13" s="2"/>
      <c r="N13" s="19">
        <f t="shared" si="1"/>
        <v>-1</v>
      </c>
      <c r="O13" s="11"/>
      <c r="P13" s="2">
        <f>--65192.75</f>
        <v>65192.75</v>
      </c>
      <c r="Q13" s="2"/>
      <c r="R13" s="19"/>
      <c r="S13" s="2"/>
      <c r="T13" s="2">
        <f>--79910.9</f>
        <v>79910.899999999994</v>
      </c>
      <c r="U13" s="2"/>
      <c r="V13" s="19"/>
      <c r="W13" s="2"/>
      <c r="X13" s="2">
        <f t="shared" si="2"/>
        <v>-14718.149999999994</v>
      </c>
      <c r="Y13" s="2"/>
      <c r="Z13" s="19">
        <f t="shared" si="3"/>
        <v>-0.18418200771108817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--12486.1</f>
        <v>12486.1</v>
      </c>
      <c r="I14" s="2"/>
      <c r="J14" s="19"/>
      <c r="K14" s="2"/>
      <c r="L14" s="2">
        <f t="shared" si="0"/>
        <v>-12486.1</v>
      </c>
      <c r="M14" s="2"/>
      <c r="N14" s="19">
        <f t="shared" si="1"/>
        <v>-1</v>
      </c>
      <c r="O14" s="11"/>
      <c r="P14" s="2">
        <f>--216293.92</f>
        <v>216293.92</v>
      </c>
      <c r="Q14" s="2"/>
      <c r="R14" s="19"/>
      <c r="S14" s="2"/>
      <c r="T14" s="2">
        <f>--237284.75</f>
        <v>237284.75</v>
      </c>
      <c r="U14" s="2"/>
      <c r="V14" s="19"/>
      <c r="W14" s="2"/>
      <c r="X14" s="2">
        <f t="shared" si="2"/>
        <v>-20990.829999999987</v>
      </c>
      <c r="Y14" s="2"/>
      <c r="Z14" s="19">
        <f t="shared" si="3"/>
        <v>-8.846261717198424E-2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113.35</v>
      </c>
      <c r="E16" s="4"/>
      <c r="F16" s="12">
        <f t="shared" ref="F16:F18" si="5">IF(D$12=0,0,D16/D$12)</f>
        <v>0</v>
      </c>
      <c r="G16" s="4"/>
      <c r="H16" s="4">
        <f>SUM(OSRRefH16x_0)</f>
        <v>9243.16</v>
      </c>
      <c r="I16" s="4"/>
      <c r="J16" s="12">
        <f t="shared" ref="J16:J18" si="6">IF(H$12=0,0,H16/H$12)</f>
        <v>0.51484949978081818</v>
      </c>
      <c r="K16" s="4"/>
      <c r="L16" s="4">
        <f t="shared" ref="L16:L18" si="7">+D16-H16</f>
        <v>-9129.81</v>
      </c>
      <c r="M16" s="4"/>
      <c r="N16" s="12">
        <f t="shared" ref="N16:N18" si="8">IF(H16=0,0,L16/H16)</f>
        <v>-0.98773687786428011</v>
      </c>
      <c r="O16" s="10"/>
      <c r="P16" s="4">
        <f>SUM(OSRRefP16x_0)</f>
        <v>146610.48000000001</v>
      </c>
      <c r="Q16" s="4"/>
      <c r="R16" s="12">
        <f t="shared" ref="R16:R18" si="9">IF(P$12=0,0,P16/P$12)</f>
        <v>0.52084342040068887</v>
      </c>
      <c r="S16" s="4"/>
      <c r="T16" s="4">
        <f>SUM(OSRRefT16x_0)</f>
        <v>150788.22</v>
      </c>
      <c r="U16" s="4"/>
      <c r="V16" s="12">
        <f t="shared" ref="V16:V18" si="10">IF(T$12=0,0,T16/T$12)</f>
        <v>0.4753792178423632</v>
      </c>
      <c r="W16" s="4"/>
      <c r="X16" s="4">
        <f t="shared" ref="X16:X18" si="11">+P16-T16</f>
        <v>-4177.7399999999907</v>
      </c>
      <c r="Y16" s="4"/>
      <c r="Z16" s="12">
        <f t="shared" ref="Z16:Z18" si="12">IF(T16=0,0,X16/T16)</f>
        <v>-2.7706010456254412E-2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113.35</v>
      </c>
      <c r="E17" s="2"/>
      <c r="F17" s="19">
        <f t="shared" si="5"/>
        <v>0</v>
      </c>
      <c r="G17" s="2"/>
      <c r="H17" s="2">
        <v>4380.22</v>
      </c>
      <c r="I17" s="2"/>
      <c r="J17" s="19">
        <f t="shared" si="6"/>
        <v>0.24398085459192909</v>
      </c>
      <c r="K17" s="2"/>
      <c r="L17" s="2">
        <f t="shared" si="7"/>
        <v>-4266.87</v>
      </c>
      <c r="M17" s="2"/>
      <c r="N17" s="19">
        <f t="shared" si="8"/>
        <v>-0.97412230435914171</v>
      </c>
      <c r="O17" s="11"/>
      <c r="P17" s="2">
        <v>133882.69</v>
      </c>
      <c r="Q17" s="2"/>
      <c r="R17" s="19">
        <f t="shared" si="9"/>
        <v>0.47562710518405715</v>
      </c>
      <c r="S17" s="2"/>
      <c r="T17" s="2">
        <v>133784.6</v>
      </c>
      <c r="U17" s="2"/>
      <c r="V17" s="19">
        <f t="shared" si="10"/>
        <v>0.42177312330733413</v>
      </c>
      <c r="W17" s="2"/>
      <c r="X17" s="2">
        <f t="shared" si="11"/>
        <v>98.089999999996508</v>
      </c>
      <c r="Y17" s="2"/>
      <c r="Z17" s="19">
        <f t="shared" si="12"/>
        <v>7.3319350657696401E-4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4862.9399999999996</v>
      </c>
      <c r="I18" s="2"/>
      <c r="J18" s="19">
        <f t="shared" si="6"/>
        <v>0.27086864518888903</v>
      </c>
      <c r="K18" s="2"/>
      <c r="L18" s="2">
        <f t="shared" si="7"/>
        <v>-4862.9399999999996</v>
      </c>
      <c r="M18" s="2"/>
      <c r="N18" s="19">
        <f t="shared" si="8"/>
        <v>-1</v>
      </c>
      <c r="O18" s="11"/>
      <c r="P18" s="2">
        <v>12727.79</v>
      </c>
      <c r="Q18" s="2"/>
      <c r="R18" s="19">
        <f t="shared" si="9"/>
        <v>4.5216315216631747E-2</v>
      </c>
      <c r="S18" s="2"/>
      <c r="T18" s="2">
        <v>17003.62</v>
      </c>
      <c r="U18" s="2"/>
      <c r="V18" s="19">
        <f t="shared" si="10"/>
        <v>5.3606094535029084E-2</v>
      </c>
      <c r="W18" s="2"/>
      <c r="X18" s="2">
        <f t="shared" si="11"/>
        <v>-4275.8299999999981</v>
      </c>
      <c r="Y18" s="2"/>
      <c r="Z18" s="19">
        <f t="shared" si="12"/>
        <v>-0.25146586432771367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-113.35</v>
      </c>
      <c r="E20" s="14"/>
      <c r="F20" s="20">
        <f>IF(D$12=0,0,D20/D$12)</f>
        <v>0</v>
      </c>
      <c r="G20" s="14"/>
      <c r="H20" s="21">
        <f>H12-H16</f>
        <v>8709.9700000000012</v>
      </c>
      <c r="I20" s="14"/>
      <c r="J20" s="20">
        <f>IF(H$12=0,0,H20/H$12)</f>
        <v>0.48515050021918188</v>
      </c>
      <c r="K20" s="16"/>
      <c r="L20" s="21">
        <f>+D20-H20</f>
        <v>-8823.3200000000015</v>
      </c>
      <c r="M20" s="16"/>
      <c r="N20" s="20">
        <f>IF(H20=0,0,L20/H20)</f>
        <v>-1.0130138220912357</v>
      </c>
      <c r="O20" s="28"/>
      <c r="P20" s="21">
        <f>P12-P16</f>
        <v>134876.19000000003</v>
      </c>
      <c r="Q20" s="14"/>
      <c r="R20" s="20">
        <f>IF(P$12=0,0,P20/P$12)</f>
        <v>0.47915657959931107</v>
      </c>
      <c r="S20" s="14"/>
      <c r="T20" s="21">
        <f>T12-T16</f>
        <v>166407.43000000002</v>
      </c>
      <c r="U20" s="14"/>
      <c r="V20" s="20">
        <f>IF(T$12=0,0,T20/T$12)</f>
        <v>0.52462078215763686</v>
      </c>
      <c r="W20" s="16"/>
      <c r="X20" s="21">
        <f>+P20-T20</f>
        <v>-31531.239999999991</v>
      </c>
      <c r="Y20" s="16"/>
      <c r="Z20" s="20">
        <f>IF(T20=0,0,X20/T20)</f>
        <v>-0.18948216434807019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1215.1599999999999</v>
      </c>
      <c r="E22" s="22"/>
      <c r="F22" s="31">
        <f t="shared" ref="F22:F30" si="13">IF(D$12=0,0,D22/D$12)</f>
        <v>0</v>
      </c>
      <c r="G22" s="22"/>
      <c r="H22" s="22">
        <f>SUM(OSRRefH22x_0)</f>
        <v>6842.7899999999991</v>
      </c>
      <c r="I22" s="22"/>
      <c r="J22" s="31">
        <f t="shared" ref="J22:J30" si="14">IF(H$12=0,0,H22/H$12)</f>
        <v>0.38114746565083629</v>
      </c>
      <c r="K22" s="4"/>
      <c r="L22" s="22">
        <f t="shared" ref="L22:L30" si="15">+D22-H22</f>
        <v>-5627.6299999999992</v>
      </c>
      <c r="M22" s="4"/>
      <c r="N22" s="31">
        <f t="shared" ref="N22:N30" si="16">IF(H22=0,0,L22/H22)</f>
        <v>-0.82241746422146522</v>
      </c>
      <c r="O22" s="10"/>
      <c r="P22" s="22">
        <f>SUM(OSRRefP22x_0)</f>
        <v>120942.66000000002</v>
      </c>
      <c r="Q22" s="22"/>
      <c r="R22" s="31">
        <f t="shared" ref="R22:R30" si="17">IF(P$12=0,0,P22/P$12)</f>
        <v>0.42965679333945012</v>
      </c>
      <c r="S22" s="22"/>
      <c r="T22" s="22">
        <f>SUM(OSRRefT22x_0)</f>
        <v>95925.99</v>
      </c>
      <c r="U22" s="22"/>
      <c r="V22" s="31">
        <f t="shared" ref="V22:V30" si="18">IF(T$12=0,0,T22/T$12)</f>
        <v>0.30241899597299016</v>
      </c>
      <c r="W22" s="4"/>
      <c r="X22" s="22">
        <f t="shared" ref="X22:X30" si="19">+P22-T22</f>
        <v>25016.670000000013</v>
      </c>
      <c r="Y22" s="4"/>
      <c r="Z22" s="31">
        <f t="shared" ref="Z22:Z30" si="20">IF(T22=0,0,X22/T22)</f>
        <v>0.26079136634399092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114.56</v>
      </c>
      <c r="I23" s="1"/>
      <c r="J23" s="5">
        <f t="shared" si="14"/>
        <v>6.3810600157187076E-3</v>
      </c>
      <c r="K23" s="1"/>
      <c r="L23" s="1">
        <f t="shared" si="15"/>
        <v>-114.56</v>
      </c>
      <c r="M23" s="1"/>
      <c r="N23" s="5">
        <f t="shared" si="16"/>
        <v>-1</v>
      </c>
      <c r="O23" s="13"/>
      <c r="P23" s="1">
        <f>SUM(OSRRefP22_0x_0)</f>
        <v>10263.029999999999</v>
      </c>
      <c r="Q23" s="1"/>
      <c r="R23" s="5">
        <f t="shared" si="17"/>
        <v>3.646009240863874E-2</v>
      </c>
      <c r="S23" s="1"/>
      <c r="T23" s="1">
        <f>SUM(OSRRefT22_0x_0)</f>
        <v>896.25</v>
      </c>
      <c r="U23" s="1"/>
      <c r="V23" s="5">
        <f t="shared" si="18"/>
        <v>2.8255431623983493E-3</v>
      </c>
      <c r="W23" s="1"/>
      <c r="X23" s="1">
        <f t="shared" si="19"/>
        <v>9366.7799999999988</v>
      </c>
      <c r="Y23" s="1"/>
      <c r="Z23" s="5">
        <f t="shared" si="20"/>
        <v>10.451079497907948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47.24</v>
      </c>
      <c r="I24" s="2"/>
      <c r="J24" s="7">
        <f t="shared" si="14"/>
        <v>2.6312960469845647E-3</v>
      </c>
      <c r="K24" s="2"/>
      <c r="L24" s="6">
        <f t="shared" si="15"/>
        <v>-47.24</v>
      </c>
      <c r="M24" s="2"/>
      <c r="N24" s="7">
        <f t="shared" si="16"/>
        <v>-1</v>
      </c>
      <c r="O24" s="11"/>
      <c r="P24" s="6">
        <v>2418.25</v>
      </c>
      <c r="Q24" s="2"/>
      <c r="R24" s="7">
        <f t="shared" si="17"/>
        <v>8.5909929589205753E-3</v>
      </c>
      <c r="S24" s="2"/>
      <c r="T24" s="6">
        <v>425.72</v>
      </c>
      <c r="U24" s="2"/>
      <c r="V24" s="7">
        <f t="shared" si="18"/>
        <v>1.3421369429246586E-3</v>
      </c>
      <c r="W24" s="2"/>
      <c r="X24" s="6">
        <f t="shared" si="19"/>
        <v>1992.53</v>
      </c>
      <c r="Y24" s="2"/>
      <c r="Z24" s="7">
        <f t="shared" si="20"/>
        <v>4.6803767734661275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55.25</v>
      </c>
      <c r="I25" s="2"/>
      <c r="J25" s="7">
        <f t="shared" si="14"/>
        <v>3.0774578026227179E-3</v>
      </c>
      <c r="K25" s="2"/>
      <c r="L25" s="6">
        <f t="shared" si="15"/>
        <v>-55.25</v>
      </c>
      <c r="M25" s="2"/>
      <c r="N25" s="7">
        <f t="shared" si="16"/>
        <v>-1</v>
      </c>
      <c r="O25" s="11"/>
      <c r="P25" s="6">
        <v>874.82</v>
      </c>
      <c r="Q25" s="2"/>
      <c r="R25" s="7">
        <f t="shared" si="17"/>
        <v>3.1078558711146072E-3</v>
      </c>
      <c r="S25" s="2"/>
      <c r="T25" s="6">
        <v>377.02</v>
      </c>
      <c r="U25" s="2"/>
      <c r="V25" s="7">
        <f t="shared" si="18"/>
        <v>1.1886039420780201E-3</v>
      </c>
      <c r="W25" s="2"/>
      <c r="X25" s="6">
        <f t="shared" si="19"/>
        <v>497.80000000000007</v>
      </c>
      <c r="Y25" s="2"/>
      <c r="Z25" s="7">
        <f t="shared" si="20"/>
        <v>1.3203543578589998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4676.5</v>
      </c>
      <c r="Q26" s="2"/>
      <c r="R26" s="7">
        <f t="shared" si="17"/>
        <v>1.6613575342661873E-2</v>
      </c>
      <c r="S26" s="2"/>
      <c r="T26" s="6"/>
      <c r="U26" s="2"/>
      <c r="V26" s="7">
        <f t="shared" si="18"/>
        <v>0</v>
      </c>
      <c r="W26" s="2"/>
      <c r="X26" s="6">
        <f t="shared" si="19"/>
        <v>4676.5</v>
      </c>
      <c r="Y26" s="2"/>
      <c r="Z26" s="7">
        <f t="shared" si="20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12.07</v>
      </c>
      <c r="I27" s="2"/>
      <c r="J27" s="7">
        <f t="shared" si="14"/>
        <v>6.7230616611142454E-4</v>
      </c>
      <c r="K27" s="2"/>
      <c r="L27" s="6">
        <f t="shared" si="15"/>
        <v>-12.07</v>
      </c>
      <c r="M27" s="2"/>
      <c r="N27" s="7">
        <f t="shared" si="16"/>
        <v>-1</v>
      </c>
      <c r="O27" s="11"/>
      <c r="P27" s="6">
        <v>125.59</v>
      </c>
      <c r="Q27" s="2"/>
      <c r="R27" s="7">
        <f t="shared" si="17"/>
        <v>4.4616677585478554E-4</v>
      </c>
      <c r="S27" s="2"/>
      <c r="T27" s="6">
        <v>93.51</v>
      </c>
      <c r="U27" s="2"/>
      <c r="V27" s="7">
        <f t="shared" si="18"/>
        <v>2.9480227739567044E-4</v>
      </c>
      <c r="W27" s="2"/>
      <c r="X27" s="6">
        <f t="shared" si="19"/>
        <v>32.08</v>
      </c>
      <c r="Y27" s="2"/>
      <c r="Z27" s="7">
        <f t="shared" si="20"/>
        <v>0.34306491284354612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670.55</v>
      </c>
      <c r="Q28" s="2"/>
      <c r="R28" s="7">
        <f t="shared" si="17"/>
        <v>2.3821731949154107E-3</v>
      </c>
      <c r="S28" s="2"/>
      <c r="T28" s="6"/>
      <c r="U28" s="2"/>
      <c r="V28" s="7">
        <f t="shared" si="18"/>
        <v>0</v>
      </c>
      <c r="W28" s="2"/>
      <c r="X28" s="6">
        <f t="shared" si="19"/>
        <v>670.55</v>
      </c>
      <c r="Y28" s="2"/>
      <c r="Z28" s="7">
        <f t="shared" si="20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1098.8</v>
      </c>
      <c r="Q29" s="2"/>
      <c r="R29" s="7">
        <f t="shared" si="17"/>
        <v>3.9035596250437004E-3</v>
      </c>
      <c r="S29" s="2"/>
      <c r="T29" s="6"/>
      <c r="U29" s="2"/>
      <c r="V29" s="7">
        <f t="shared" si="18"/>
        <v>0</v>
      </c>
      <c r="W29" s="2"/>
      <c r="X29" s="6">
        <f t="shared" si="19"/>
        <v>1098.8</v>
      </c>
      <c r="Y29" s="2"/>
      <c r="Z29" s="7">
        <f t="shared" si="20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398.52</v>
      </c>
      <c r="Q30" s="2"/>
      <c r="R30" s="7">
        <f t="shared" si="17"/>
        <v>1.4157686401277897E-3</v>
      </c>
      <c r="S30" s="2"/>
      <c r="T30" s="6"/>
      <c r="U30" s="2"/>
      <c r="V30" s="7">
        <f t="shared" si="18"/>
        <v>0</v>
      </c>
      <c r="W30" s="2"/>
      <c r="X30" s="6">
        <f t="shared" si="19"/>
        <v>398.52</v>
      </c>
      <c r="Y30" s="2"/>
      <c r="Z30" s="7">
        <f t="shared" si="20"/>
        <v>0</v>
      </c>
    </row>
    <row r="31" spans="1:26" s="27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6" si="21">IF(D$12=0,0,D31/D$12)</f>
        <v>0</v>
      </c>
      <c r="G31" s="1"/>
      <c r="H31" s="1">
        <f>SUM(OSRRefH22_1x_0)</f>
        <v>4297.91</v>
      </c>
      <c r="I31" s="1"/>
      <c r="J31" s="5">
        <f t="shared" ref="J31:J36" si="22">IF(H$12=0,0,H31/H$12)</f>
        <v>0.23939613872344262</v>
      </c>
      <c r="K31" s="1"/>
      <c r="L31" s="1">
        <f t="shared" ref="L31:L36" si="23">+D31-H31</f>
        <v>-4297.91</v>
      </c>
      <c r="M31" s="1"/>
      <c r="N31" s="5">
        <f t="shared" ref="N31:N36" si="24">IF(H31=0,0,L31/H31)</f>
        <v>-1</v>
      </c>
      <c r="O31" s="13"/>
      <c r="P31" s="1">
        <f>SUM(OSRRefP22_1x_0)</f>
        <v>51305.1</v>
      </c>
      <c r="Q31" s="1"/>
      <c r="R31" s="5">
        <f t="shared" ref="R31:R36" si="25">IF(P$12=0,0,P31/P$12)</f>
        <v>0.18226475875394024</v>
      </c>
      <c r="S31" s="1"/>
      <c r="T31" s="1">
        <f>SUM(OSRRefT22_1x_0)</f>
        <v>39927.97</v>
      </c>
      <c r="U31" s="1"/>
      <c r="V31" s="5">
        <f t="shared" ref="V31:V36" si="26">IF(T$12=0,0,T31/T$12)</f>
        <v>0.12587805034526797</v>
      </c>
      <c r="W31" s="1"/>
      <c r="X31" s="1">
        <f t="shared" ref="X31:X36" si="27">+P31-T31</f>
        <v>11377.129999999997</v>
      </c>
      <c r="Y31" s="1"/>
      <c r="Z31" s="5">
        <f t="shared" ref="Z31:Z36" si="28">IF(T31=0,0,X31/T31)</f>
        <v>0.28494135815068977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1"/>
        <v>0</v>
      </c>
      <c r="G32" s="2"/>
      <c r="H32" s="6"/>
      <c r="I32" s="2"/>
      <c r="J32" s="7">
        <f t="shared" si="22"/>
        <v>0</v>
      </c>
      <c r="K32" s="2"/>
      <c r="L32" s="6">
        <f t="shared" si="23"/>
        <v>0</v>
      </c>
      <c r="M32" s="2"/>
      <c r="N32" s="7">
        <f t="shared" si="24"/>
        <v>0</v>
      </c>
      <c r="O32" s="11"/>
      <c r="P32" s="6">
        <v>10272</v>
      </c>
      <c r="Q32" s="2"/>
      <c r="R32" s="7">
        <f t="shared" si="25"/>
        <v>3.6491958926509728E-2</v>
      </c>
      <c r="S32" s="2"/>
      <c r="T32" s="6"/>
      <c r="U32" s="2"/>
      <c r="V32" s="7">
        <f t="shared" si="26"/>
        <v>0</v>
      </c>
      <c r="W32" s="2"/>
      <c r="X32" s="6">
        <f t="shared" si="27"/>
        <v>10272</v>
      </c>
      <c r="Y32" s="2"/>
      <c r="Z32" s="7">
        <f t="shared" si="28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1"/>
        <v>0</v>
      </c>
      <c r="G33" s="2"/>
      <c r="H33" s="6">
        <v>617.58000000000004</v>
      </c>
      <c r="I33" s="2"/>
      <c r="J33" s="7">
        <f t="shared" si="22"/>
        <v>3.4399572665045036E-2</v>
      </c>
      <c r="K33" s="2"/>
      <c r="L33" s="6">
        <f t="shared" si="23"/>
        <v>-617.58000000000004</v>
      </c>
      <c r="M33" s="2"/>
      <c r="N33" s="7">
        <f t="shared" si="24"/>
        <v>-1</v>
      </c>
      <c r="O33" s="11"/>
      <c r="P33" s="6">
        <v>3822.17</v>
      </c>
      <c r="Q33" s="2"/>
      <c r="R33" s="7">
        <f t="shared" si="25"/>
        <v>1.3578511550831162E-2</v>
      </c>
      <c r="S33" s="2"/>
      <c r="T33" s="6">
        <v>3189.29</v>
      </c>
      <c r="U33" s="2"/>
      <c r="V33" s="7">
        <f t="shared" si="26"/>
        <v>1.0054646083576492E-2</v>
      </c>
      <c r="W33" s="2"/>
      <c r="X33" s="6">
        <f t="shared" si="27"/>
        <v>632.88000000000011</v>
      </c>
      <c r="Y33" s="2"/>
      <c r="Z33" s="7">
        <f t="shared" si="28"/>
        <v>0.19843915103361567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13120.47</v>
      </c>
      <c r="Q34" s="2"/>
      <c r="R34" s="7">
        <f t="shared" si="25"/>
        <v>4.6611336870765491E-2</v>
      </c>
      <c r="S34" s="2"/>
      <c r="T34" s="6">
        <v>625.26</v>
      </c>
      <c r="U34" s="2"/>
      <c r="V34" s="7">
        <f t="shared" si="26"/>
        <v>1.9712124047098372E-3</v>
      </c>
      <c r="W34" s="2"/>
      <c r="X34" s="6">
        <f t="shared" si="27"/>
        <v>12495.21</v>
      </c>
      <c r="Y34" s="2"/>
      <c r="Z34" s="7">
        <f t="shared" si="28"/>
        <v>19.984022646579021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>
        <v>3022.57</v>
      </c>
      <c r="I35" s="2"/>
      <c r="J35" s="7">
        <f t="shared" si="22"/>
        <v>0.16835894353797917</v>
      </c>
      <c r="K35" s="2"/>
      <c r="L35" s="6">
        <f t="shared" si="23"/>
        <v>-3022.57</v>
      </c>
      <c r="M35" s="2"/>
      <c r="N35" s="7">
        <f t="shared" si="24"/>
        <v>-1</v>
      </c>
      <c r="O35" s="11"/>
      <c r="P35" s="6">
        <v>23036.15</v>
      </c>
      <c r="Q35" s="2"/>
      <c r="R35" s="7">
        <f t="shared" si="25"/>
        <v>8.1837445446350965E-2</v>
      </c>
      <c r="S35" s="2"/>
      <c r="T35" s="6">
        <v>33829.65</v>
      </c>
      <c r="U35" s="2"/>
      <c r="V35" s="7">
        <f t="shared" si="26"/>
        <v>0.10665231380064638</v>
      </c>
      <c r="W35" s="2"/>
      <c r="X35" s="6">
        <f t="shared" si="27"/>
        <v>-10793.5</v>
      </c>
      <c r="Y35" s="2"/>
      <c r="Z35" s="7">
        <f t="shared" si="28"/>
        <v>-0.31905443893152896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1"/>
        <v>0</v>
      </c>
      <c r="G36" s="2"/>
      <c r="H36" s="6">
        <v>657.76</v>
      </c>
      <c r="I36" s="2"/>
      <c r="J36" s="7">
        <f t="shared" si="22"/>
        <v>3.6637622520418439E-2</v>
      </c>
      <c r="K36" s="2"/>
      <c r="L36" s="6">
        <f t="shared" si="23"/>
        <v>-657.76</v>
      </c>
      <c r="M36" s="2"/>
      <c r="N36" s="7">
        <f t="shared" si="24"/>
        <v>-1</v>
      </c>
      <c r="O36" s="11"/>
      <c r="P36" s="6">
        <v>1054.31</v>
      </c>
      <c r="Q36" s="2"/>
      <c r="R36" s="7">
        <f t="shared" si="25"/>
        <v>3.7455059594829121E-3</v>
      </c>
      <c r="S36" s="2"/>
      <c r="T36" s="6">
        <v>2283.77</v>
      </c>
      <c r="U36" s="2"/>
      <c r="V36" s="7">
        <f t="shared" si="26"/>
        <v>7.1998780563352609E-3</v>
      </c>
      <c r="W36" s="2"/>
      <c r="X36" s="6">
        <f t="shared" si="27"/>
        <v>-1229.46</v>
      </c>
      <c r="Y36" s="2"/>
      <c r="Z36" s="7">
        <f t="shared" si="28"/>
        <v>-0.53834668114564954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29">IF(D$12=0,0,D37/D$12)</f>
        <v>0</v>
      </c>
      <c r="G37" s="1"/>
      <c r="H37" s="1">
        <f>SUM(OSRRefH22_2x_0)</f>
        <v>460</v>
      </c>
      <c r="I37" s="1"/>
      <c r="J37" s="5">
        <f t="shared" ref="J37:J50" si="30">IF(H$12=0,0,H37/H$12)</f>
        <v>2.5622273107809054E-2</v>
      </c>
      <c r="K37" s="1"/>
      <c r="L37" s="1">
        <f t="shared" ref="L37:L50" si="31">+D37-H37</f>
        <v>-460</v>
      </c>
      <c r="M37" s="1"/>
      <c r="N37" s="5">
        <f t="shared" ref="N37:N50" si="32">IF(H37=0,0,L37/H37)</f>
        <v>-1</v>
      </c>
      <c r="O37" s="13"/>
      <c r="P37" s="1">
        <f>SUM(OSRRefP22_2x_0)</f>
        <v>2.4900000000000002</v>
      </c>
      <c r="Q37" s="1"/>
      <c r="R37" s="5">
        <f t="shared" ref="R37:R50" si="33">IF(P$12=0,0,P37/P$12)</f>
        <v>8.8458895762275348E-6</v>
      </c>
      <c r="S37" s="1"/>
      <c r="T37" s="1">
        <f>SUM(OSRRefT22_2x_0)</f>
        <v>976.5</v>
      </c>
      <c r="U37" s="1"/>
      <c r="V37" s="5">
        <f t="shared" ref="V37:V50" si="34">IF(T$12=0,0,T37/T$12)</f>
        <v>3.0785415878181177E-3</v>
      </c>
      <c r="W37" s="1"/>
      <c r="X37" s="1">
        <f t="shared" ref="X37:X50" si="35">+P37-T37</f>
        <v>-974.01</v>
      </c>
      <c r="Y37" s="1"/>
      <c r="Z37" s="5">
        <f t="shared" ref="Z37:Z50" si="36">IF(T37=0,0,X37/T37)</f>
        <v>-0.99745007680491549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9"/>
        <v>0</v>
      </c>
      <c r="G38" s="2"/>
      <c r="H38" s="6">
        <v>460</v>
      </c>
      <c r="I38" s="2"/>
      <c r="J38" s="7">
        <f t="shared" si="30"/>
        <v>2.5622273107809054E-2</v>
      </c>
      <c r="K38" s="2"/>
      <c r="L38" s="6">
        <f t="shared" si="31"/>
        <v>-460</v>
      </c>
      <c r="M38" s="2"/>
      <c r="N38" s="7">
        <f t="shared" si="32"/>
        <v>-1</v>
      </c>
      <c r="O38" s="11"/>
      <c r="P38" s="6">
        <v>2.4900000000000002</v>
      </c>
      <c r="Q38" s="2"/>
      <c r="R38" s="7">
        <f t="shared" si="33"/>
        <v>8.8458895762275348E-6</v>
      </c>
      <c r="S38" s="2"/>
      <c r="T38" s="6">
        <v>976.5</v>
      </c>
      <c r="U38" s="2"/>
      <c r="V38" s="7">
        <f t="shared" si="34"/>
        <v>3.0785415878181177E-3</v>
      </c>
      <c r="W38" s="2"/>
      <c r="X38" s="6">
        <f t="shared" si="35"/>
        <v>-974.01</v>
      </c>
      <c r="Y38" s="2"/>
      <c r="Z38" s="7">
        <f t="shared" si="36"/>
        <v>-0.99745007680491549</v>
      </c>
    </row>
    <row r="39" spans="1:26" s="27" customFormat="1" outlineLevel="1" collapsed="1" x14ac:dyDescent="0.25">
      <c r="A39" s="25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-8.6300000000000008</v>
      </c>
      <c r="I39" s="1"/>
      <c r="J39" s="5">
        <f t="shared" si="30"/>
        <v>-4.8069612373998296E-4</v>
      </c>
      <c r="K39" s="1"/>
      <c r="L39" s="1">
        <f t="shared" si="31"/>
        <v>8.6300000000000008</v>
      </c>
      <c r="M39" s="1"/>
      <c r="N39" s="5">
        <f t="shared" si="32"/>
        <v>-1</v>
      </c>
      <c r="O39" s="13"/>
      <c r="P39" s="1">
        <f>SUM(OSRRefP22_3x_0)</f>
        <v>-74.03</v>
      </c>
      <c r="Q39" s="1"/>
      <c r="R39" s="5">
        <f t="shared" si="33"/>
        <v>-2.6299646800326276E-4</v>
      </c>
      <c r="S39" s="1"/>
      <c r="T39" s="1">
        <f>SUM(OSRRefT22_3x_0)</f>
        <v>-127.78</v>
      </c>
      <c r="U39" s="1"/>
      <c r="V39" s="5">
        <f t="shared" si="34"/>
        <v>-4.0284285109206254E-4</v>
      </c>
      <c r="W39" s="1"/>
      <c r="X39" s="1">
        <f t="shared" si="35"/>
        <v>53.75</v>
      </c>
      <c r="Y39" s="1"/>
      <c r="Z39" s="5">
        <f t="shared" si="36"/>
        <v>-0.42064485835028953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29"/>
        <v>0</v>
      </c>
      <c r="G40" s="2"/>
      <c r="H40" s="6">
        <v>-8.6300000000000008</v>
      </c>
      <c r="I40" s="2"/>
      <c r="J40" s="7">
        <f t="shared" si="30"/>
        <v>-4.8069612373998296E-4</v>
      </c>
      <c r="K40" s="2"/>
      <c r="L40" s="6">
        <f t="shared" si="31"/>
        <v>8.6300000000000008</v>
      </c>
      <c r="M40" s="2"/>
      <c r="N40" s="7">
        <f t="shared" si="32"/>
        <v>-1</v>
      </c>
      <c r="O40" s="11"/>
      <c r="P40" s="6">
        <v>-74.03</v>
      </c>
      <c r="Q40" s="2"/>
      <c r="R40" s="7">
        <f t="shared" si="33"/>
        <v>-2.6299646800326276E-4</v>
      </c>
      <c r="S40" s="2"/>
      <c r="T40" s="6">
        <v>-127.78</v>
      </c>
      <c r="U40" s="2"/>
      <c r="V40" s="7">
        <f t="shared" si="34"/>
        <v>-4.0284285109206254E-4</v>
      </c>
      <c r="W40" s="2"/>
      <c r="X40" s="6">
        <f t="shared" si="35"/>
        <v>53.75</v>
      </c>
      <c r="Y40" s="2"/>
      <c r="Z40" s="7">
        <f t="shared" si="36"/>
        <v>-0.42064485835028953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857.16</v>
      </c>
      <c r="I41" s="1"/>
      <c r="J41" s="5">
        <f t="shared" si="30"/>
        <v>4.7744320906716542E-2</v>
      </c>
      <c r="K41" s="1"/>
      <c r="L41" s="1">
        <f t="shared" si="31"/>
        <v>-857.16</v>
      </c>
      <c r="M41" s="1"/>
      <c r="N41" s="5">
        <f t="shared" si="32"/>
        <v>-1</v>
      </c>
      <c r="O41" s="13"/>
      <c r="P41" s="1">
        <f>SUM(OSRRefP22_4x_0)</f>
        <v>10703.22</v>
      </c>
      <c r="Q41" s="1"/>
      <c r="R41" s="5">
        <f t="shared" si="33"/>
        <v>3.802389647793978E-2</v>
      </c>
      <c r="S41" s="1"/>
      <c r="T41" s="1">
        <f>SUM(OSRRefT22_4x_0)</f>
        <v>10187.82</v>
      </c>
      <c r="U41" s="1"/>
      <c r="V41" s="5">
        <f t="shared" si="34"/>
        <v>3.211841019887883E-2</v>
      </c>
      <c r="W41" s="1"/>
      <c r="X41" s="1">
        <f t="shared" si="35"/>
        <v>515.39999999999964</v>
      </c>
      <c r="Y41" s="1"/>
      <c r="Z41" s="5">
        <f t="shared" si="36"/>
        <v>5.0589821963874473E-2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29"/>
        <v>0</v>
      </c>
      <c r="G42" s="2"/>
      <c r="H42" s="6">
        <v>857.16</v>
      </c>
      <c r="I42" s="2"/>
      <c r="J42" s="7">
        <f t="shared" si="30"/>
        <v>4.7744320906716542E-2</v>
      </c>
      <c r="K42" s="2"/>
      <c r="L42" s="6">
        <f t="shared" si="31"/>
        <v>-857.16</v>
      </c>
      <c r="M42" s="2"/>
      <c r="N42" s="7">
        <f t="shared" si="32"/>
        <v>-1</v>
      </c>
      <c r="O42" s="11"/>
      <c r="P42" s="6">
        <v>10703.22</v>
      </c>
      <c r="Q42" s="2"/>
      <c r="R42" s="7">
        <f t="shared" si="33"/>
        <v>3.802389647793978E-2</v>
      </c>
      <c r="S42" s="2"/>
      <c r="T42" s="6">
        <v>10187.82</v>
      </c>
      <c r="U42" s="2"/>
      <c r="V42" s="7">
        <f t="shared" si="34"/>
        <v>3.211841019887883E-2</v>
      </c>
      <c r="W42" s="2"/>
      <c r="X42" s="6">
        <f t="shared" si="35"/>
        <v>515.39999999999964</v>
      </c>
      <c r="Y42" s="2"/>
      <c r="Z42" s="7">
        <f t="shared" si="36"/>
        <v>5.0589821963874473E-2</v>
      </c>
    </row>
    <row r="43" spans="1:26" s="27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1075.3699999999999</v>
      </c>
      <c r="E43" s="1"/>
      <c r="F43" s="5">
        <f t="shared" si="29"/>
        <v>0</v>
      </c>
      <c r="G43" s="1"/>
      <c r="H43" s="1">
        <f>SUM(OSRRefH22_5x_0)</f>
        <v>968.86</v>
      </c>
      <c r="I43" s="1"/>
      <c r="J43" s="5">
        <f t="shared" si="30"/>
        <v>5.3966077224417132E-2</v>
      </c>
      <c r="K43" s="1"/>
      <c r="L43" s="1">
        <f t="shared" si="31"/>
        <v>106.50999999999988</v>
      </c>
      <c r="M43" s="1"/>
      <c r="N43" s="5">
        <f t="shared" si="32"/>
        <v>0.10993332370001845</v>
      </c>
      <c r="O43" s="13"/>
      <c r="P43" s="1">
        <f>SUM(OSRRefP22_5x_0)</f>
        <v>10976.99</v>
      </c>
      <c r="Q43" s="1"/>
      <c r="R43" s="5">
        <f t="shared" si="33"/>
        <v>3.8996482497732479E-2</v>
      </c>
      <c r="S43" s="1"/>
      <c r="T43" s="1">
        <f>SUM(OSRRefT22_5x_0)</f>
        <v>10657.46</v>
      </c>
      <c r="U43" s="1"/>
      <c r="V43" s="5">
        <f t="shared" si="34"/>
        <v>3.3599010579117329E-2</v>
      </c>
      <c r="W43" s="1"/>
      <c r="X43" s="1">
        <f t="shared" si="35"/>
        <v>319.53000000000065</v>
      </c>
      <c r="Y43" s="1"/>
      <c r="Z43" s="5">
        <f t="shared" si="36"/>
        <v>2.9981815554550584E-2</v>
      </c>
    </row>
    <row r="44" spans="1:26" s="24" customFormat="1" hidden="1" outlineLevel="2" x14ac:dyDescent="0.25">
      <c r="A44" s="26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1075.3699999999999</v>
      </c>
      <c r="E44" s="2"/>
      <c r="F44" s="7">
        <f t="shared" si="29"/>
        <v>0</v>
      </c>
      <c r="G44" s="2"/>
      <c r="H44" s="6">
        <v>968.86</v>
      </c>
      <c r="I44" s="2"/>
      <c r="J44" s="7">
        <f t="shared" si="30"/>
        <v>5.3966077224417132E-2</v>
      </c>
      <c r="K44" s="2"/>
      <c r="L44" s="6">
        <f t="shared" si="31"/>
        <v>106.50999999999988</v>
      </c>
      <c r="M44" s="2"/>
      <c r="N44" s="7">
        <f t="shared" si="32"/>
        <v>0.10993332370001845</v>
      </c>
      <c r="O44" s="11"/>
      <c r="P44" s="6">
        <v>10976.99</v>
      </c>
      <c r="Q44" s="2"/>
      <c r="R44" s="7">
        <f t="shared" si="33"/>
        <v>3.8996482497732479E-2</v>
      </c>
      <c r="S44" s="2"/>
      <c r="T44" s="6">
        <v>10657.46</v>
      </c>
      <c r="U44" s="2"/>
      <c r="V44" s="7">
        <f t="shared" si="34"/>
        <v>3.3599010579117329E-2</v>
      </c>
      <c r="W44" s="2"/>
      <c r="X44" s="6">
        <f t="shared" si="35"/>
        <v>319.53000000000065</v>
      </c>
      <c r="Y44" s="2"/>
      <c r="Z44" s="7">
        <f t="shared" si="36"/>
        <v>2.9981815554550584E-2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3</v>
      </c>
      <c r="I45" s="1"/>
      <c r="J45" s="5">
        <f t="shared" si="30"/>
        <v>1.6710178113788513E-4</v>
      </c>
      <c r="K45" s="1"/>
      <c r="L45" s="1">
        <f t="shared" si="31"/>
        <v>-3</v>
      </c>
      <c r="M45" s="1"/>
      <c r="N45" s="5">
        <f t="shared" si="32"/>
        <v>-1</v>
      </c>
      <c r="O45" s="13"/>
      <c r="P45" s="1">
        <f>SUM(OSRRefP22_6x_0)</f>
        <v>1356.19</v>
      </c>
      <c r="Q45" s="1"/>
      <c r="R45" s="5">
        <f t="shared" si="33"/>
        <v>4.8179546122024174E-3</v>
      </c>
      <c r="S45" s="1"/>
      <c r="T45" s="1">
        <f>SUM(OSRRefT22_6x_0)</f>
        <v>1266.54</v>
      </c>
      <c r="U45" s="1"/>
      <c r="V45" s="5">
        <f t="shared" si="34"/>
        <v>3.992929915653004E-3</v>
      </c>
      <c r="W45" s="1"/>
      <c r="X45" s="1">
        <f t="shared" si="35"/>
        <v>89.650000000000091</v>
      </c>
      <c r="Y45" s="1"/>
      <c r="Z45" s="5">
        <f t="shared" si="36"/>
        <v>7.0783394128886651E-2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9"/>
        <v>0</v>
      </c>
      <c r="G46" s="2"/>
      <c r="H46" s="6">
        <v>3</v>
      </c>
      <c r="I46" s="2"/>
      <c r="J46" s="7">
        <f t="shared" si="30"/>
        <v>1.6710178113788513E-4</v>
      </c>
      <c r="K46" s="2"/>
      <c r="L46" s="6">
        <f t="shared" si="31"/>
        <v>-3</v>
      </c>
      <c r="M46" s="2"/>
      <c r="N46" s="7">
        <f t="shared" si="32"/>
        <v>-1</v>
      </c>
      <c r="O46" s="11"/>
      <c r="P46" s="6">
        <v>1356.19</v>
      </c>
      <c r="Q46" s="2"/>
      <c r="R46" s="7">
        <f t="shared" si="33"/>
        <v>4.8179546122024174E-3</v>
      </c>
      <c r="S46" s="2"/>
      <c r="T46" s="6">
        <v>1266.54</v>
      </c>
      <c r="U46" s="2"/>
      <c r="V46" s="7">
        <f t="shared" si="34"/>
        <v>3.992929915653004E-3</v>
      </c>
      <c r="W46" s="2"/>
      <c r="X46" s="6">
        <f t="shared" si="35"/>
        <v>89.650000000000091</v>
      </c>
      <c r="Y46" s="2"/>
      <c r="Z46" s="7">
        <f t="shared" si="36"/>
        <v>7.0783394128886651E-2</v>
      </c>
    </row>
    <row r="47" spans="1:26" s="27" customFormat="1" outlineLevel="1" collapsed="1" x14ac:dyDescent="0.25">
      <c r="A47" s="25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0</v>
      </c>
      <c r="E47" s="1"/>
      <c r="F47" s="5">
        <f t="shared" si="29"/>
        <v>0</v>
      </c>
      <c r="G47" s="1"/>
      <c r="H47" s="1">
        <f>SUM(OSRRefH22_7x_0)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SUM(OSRRefP22_7x_0)</f>
        <v>1665.12</v>
      </c>
      <c r="Q47" s="1"/>
      <c r="R47" s="5">
        <f t="shared" si="33"/>
        <v>5.9154488558907587E-3</v>
      </c>
      <c r="S47" s="1"/>
      <c r="T47" s="1">
        <f>SUM(OSRRefT22_7x_0)</f>
        <v>1461.38</v>
      </c>
      <c r="U47" s="1"/>
      <c r="V47" s="5">
        <f t="shared" si="34"/>
        <v>4.6071880241737237E-3</v>
      </c>
      <c r="W47" s="1"/>
      <c r="X47" s="1">
        <f t="shared" si="35"/>
        <v>203.73999999999978</v>
      </c>
      <c r="Y47" s="1"/>
      <c r="Z47" s="5">
        <f t="shared" si="36"/>
        <v>0.13941616827929748</v>
      </c>
    </row>
    <row r="48" spans="1:26" s="24" customFormat="1" hidden="1" outlineLevel="2" x14ac:dyDescent="0.25">
      <c r="A48" s="26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437.31</v>
      </c>
      <c r="Q48" s="2"/>
      <c r="R48" s="7">
        <f t="shared" si="33"/>
        <v>1.5535726789478164E-3</v>
      </c>
      <c r="S48" s="2"/>
      <c r="T48" s="6"/>
      <c r="U48" s="2"/>
      <c r="V48" s="7">
        <f t="shared" si="34"/>
        <v>0</v>
      </c>
      <c r="W48" s="2"/>
      <c r="X48" s="6">
        <f t="shared" si="35"/>
        <v>437.31</v>
      </c>
      <c r="Y48" s="2"/>
      <c r="Z48" s="7">
        <f t="shared" si="36"/>
        <v>0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141.44999999999999</v>
      </c>
      <c r="Q49" s="2"/>
      <c r="R49" s="7">
        <f t="shared" si="33"/>
        <v>5.025104741194315E-4</v>
      </c>
      <c r="S49" s="2"/>
      <c r="T49" s="6">
        <v>134.94</v>
      </c>
      <c r="U49" s="2"/>
      <c r="V49" s="7">
        <f t="shared" si="34"/>
        <v>4.2541567010770794E-4</v>
      </c>
      <c r="W49" s="2"/>
      <c r="X49" s="6">
        <f t="shared" si="35"/>
        <v>6.5099999999999909</v>
      </c>
      <c r="Y49" s="2"/>
      <c r="Z49" s="7">
        <f t="shared" si="36"/>
        <v>4.8243663850600201E-2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1086.3599999999999</v>
      </c>
      <c r="Q50" s="2"/>
      <c r="R50" s="7">
        <f t="shared" si="33"/>
        <v>3.8593657028235112E-3</v>
      </c>
      <c r="S50" s="2"/>
      <c r="T50" s="6">
        <v>1326.44</v>
      </c>
      <c r="U50" s="2"/>
      <c r="V50" s="7">
        <f t="shared" si="34"/>
        <v>4.1817723540660155E-3</v>
      </c>
      <c r="W50" s="2"/>
      <c r="X50" s="6">
        <f t="shared" si="35"/>
        <v>-240.08000000000015</v>
      </c>
      <c r="Y50" s="2"/>
      <c r="Z50" s="7">
        <f t="shared" si="36"/>
        <v>-0.1809957480172493</v>
      </c>
    </row>
    <row r="51" spans="1:26" s="27" customFormat="1" outlineLevel="1" collapsed="1" x14ac:dyDescent="0.25">
      <c r="A51" s="25"/>
      <c r="B51" s="13" t="str">
        <f>CONCATENATE("     ","Royalty &amp; Commissions                             ")</f>
        <v xml:space="preserve">     Royalty &amp; Commissions                             </v>
      </c>
      <c r="C51" s="13"/>
      <c r="D51" s="1">
        <f>SUM(OSRRefD22_8x_0)</f>
        <v>0</v>
      </c>
      <c r="E51" s="1"/>
      <c r="F51" s="5">
        <f t="shared" ref="F51:F56" si="37">IF(D$12=0,0,D51/D$12)</f>
        <v>0</v>
      </c>
      <c r="G51" s="1"/>
      <c r="H51" s="1">
        <f>SUM(OSRRefH22_8x_0)</f>
        <v>0</v>
      </c>
      <c r="I51" s="1"/>
      <c r="J51" s="5">
        <f t="shared" ref="J51:J56" si="38">IF(H$12=0,0,H51/H$12)</f>
        <v>0</v>
      </c>
      <c r="K51" s="1"/>
      <c r="L51" s="1">
        <f t="shared" ref="L51:L56" si="39">+D51-H51</f>
        <v>0</v>
      </c>
      <c r="M51" s="1"/>
      <c r="N51" s="5">
        <f t="shared" ref="N51:N56" si="40">IF(H51=0,0,L51/H51)</f>
        <v>0</v>
      </c>
      <c r="O51" s="13"/>
      <c r="P51" s="1">
        <f>SUM(OSRRefP22_8x_0)</f>
        <v>24556.14</v>
      </c>
      <c r="Q51" s="1"/>
      <c r="R51" s="5">
        <f t="shared" ref="R51:R56" si="41">IF(P$12=0,0,P51/P$12)</f>
        <v>8.7237310384893171E-2</v>
      </c>
      <c r="S51" s="1"/>
      <c r="T51" s="1">
        <f>SUM(OSRRefT22_8x_0)</f>
        <v>22801.38</v>
      </c>
      <c r="U51" s="1"/>
      <c r="V51" s="5">
        <f t="shared" ref="V51:V56" si="42">IF(T$12=0,0,T51/T$12)</f>
        <v>7.1884277101530239E-2</v>
      </c>
      <c r="W51" s="1"/>
      <c r="X51" s="1">
        <f t="shared" ref="X51:X56" si="43">+P51-T51</f>
        <v>1754.7599999999984</v>
      </c>
      <c r="Y51" s="1"/>
      <c r="Z51" s="5">
        <f t="shared" ref="Z51:Z56" si="44">IF(T51=0,0,X51/T51)</f>
        <v>7.6958499880270329E-2</v>
      </c>
    </row>
    <row r="52" spans="1:26" s="24" customFormat="1" hidden="1" outlineLevel="2" x14ac:dyDescent="0.25">
      <c r="A52" s="26"/>
      <c r="B52" s="11" t="str">
        <f>CONCATENATE("          ", "6254", " - ", "ROYALTY &amp; COMMISSIONS")</f>
        <v xml:space="preserve">          6254 - ROYALTY &amp; COMMISSIONS</v>
      </c>
      <c r="C52" s="11"/>
      <c r="D52" s="6"/>
      <c r="E52" s="2"/>
      <c r="F52" s="7">
        <f t="shared" si="37"/>
        <v>0</v>
      </c>
      <c r="G52" s="2"/>
      <c r="H52" s="6"/>
      <c r="I52" s="2"/>
      <c r="J52" s="7">
        <f t="shared" si="38"/>
        <v>0</v>
      </c>
      <c r="K52" s="2"/>
      <c r="L52" s="6">
        <f t="shared" si="39"/>
        <v>0</v>
      </c>
      <c r="M52" s="2"/>
      <c r="N52" s="7">
        <f t="shared" si="40"/>
        <v>0</v>
      </c>
      <c r="O52" s="11"/>
      <c r="P52" s="6">
        <v>24556.14</v>
      </c>
      <c r="Q52" s="2"/>
      <c r="R52" s="7">
        <f t="shared" si="41"/>
        <v>8.7237310384893171E-2</v>
      </c>
      <c r="S52" s="2"/>
      <c r="T52" s="6">
        <v>22801.38</v>
      </c>
      <c r="U52" s="2"/>
      <c r="V52" s="7">
        <f t="shared" si="42"/>
        <v>7.1884277101530239E-2</v>
      </c>
      <c r="W52" s="2"/>
      <c r="X52" s="6">
        <f t="shared" si="43"/>
        <v>1754.7599999999984</v>
      </c>
      <c r="Y52" s="2"/>
      <c r="Z52" s="7">
        <f t="shared" si="44"/>
        <v>7.6958499880270329E-2</v>
      </c>
    </row>
    <row r="53" spans="1:26" s="27" customFormat="1" outlineLevel="1" collapsed="1" x14ac:dyDescent="0.25">
      <c r="A53" s="25"/>
      <c r="B53" s="13" t="str">
        <f>CONCATENATE("     ","Services                                          ")</f>
        <v xml:space="preserve">     Services                                          </v>
      </c>
      <c r="C53" s="13"/>
      <c r="D53" s="1">
        <f>SUM(OSRRefD22_9x_0)</f>
        <v>24.22</v>
      </c>
      <c r="E53" s="1"/>
      <c r="F53" s="5">
        <f t="shared" si="37"/>
        <v>0</v>
      </c>
      <c r="G53" s="1"/>
      <c r="H53" s="1">
        <f>SUM(OSRRefH22_9x_0)</f>
        <v>215.69000000000003</v>
      </c>
      <c r="I53" s="1"/>
      <c r="J53" s="5">
        <f t="shared" si="38"/>
        <v>1.2014061057876817E-2</v>
      </c>
      <c r="K53" s="1"/>
      <c r="L53" s="1">
        <f t="shared" si="39"/>
        <v>-191.47000000000003</v>
      </c>
      <c r="M53" s="1"/>
      <c r="N53" s="5">
        <f t="shared" si="40"/>
        <v>-0.88770921229542399</v>
      </c>
      <c r="O53" s="13"/>
      <c r="P53" s="1">
        <f>SUM(OSRRefP22_9x_0)</f>
        <v>1919.3999999999999</v>
      </c>
      <c r="Q53" s="1"/>
      <c r="R53" s="5">
        <f t="shared" si="41"/>
        <v>6.8187953624944285E-3</v>
      </c>
      <c r="S53" s="1"/>
      <c r="T53" s="1">
        <f>SUM(OSRRefT22_9x_0)</f>
        <v>1870.19</v>
      </c>
      <c r="U53" s="1"/>
      <c r="V53" s="5">
        <f t="shared" si="42"/>
        <v>5.8960140216298678E-3</v>
      </c>
      <c r="W53" s="1"/>
      <c r="X53" s="1">
        <f t="shared" si="43"/>
        <v>49.209999999999809</v>
      </c>
      <c r="Y53" s="1"/>
      <c r="Z53" s="5">
        <f t="shared" si="44"/>
        <v>2.6312834524834273E-2</v>
      </c>
    </row>
    <row r="54" spans="1:26" s="24" customFormat="1" hidden="1" outlineLevel="2" x14ac:dyDescent="0.25">
      <c r="A54" s="26"/>
      <c r="B54" s="11" t="str">
        <f>CONCATENATE("          ", "6282", " - ", "JANITORIAL/EXTERMINATOR EXPENS")</f>
        <v xml:space="preserve">          6282 - JANITORIAL/EXTERMINATOR EXPENS</v>
      </c>
      <c r="C54" s="11"/>
      <c r="D54" s="6"/>
      <c r="E54" s="2"/>
      <c r="F54" s="7">
        <f t="shared" si="37"/>
        <v>0</v>
      </c>
      <c r="G54" s="2"/>
      <c r="H54" s="6">
        <v>38.090000000000003</v>
      </c>
      <c r="I54" s="2"/>
      <c r="J54" s="7">
        <f t="shared" si="38"/>
        <v>2.1216356145140154E-3</v>
      </c>
      <c r="K54" s="2"/>
      <c r="L54" s="6">
        <f t="shared" si="39"/>
        <v>-38.090000000000003</v>
      </c>
      <c r="M54" s="2"/>
      <c r="N54" s="7">
        <f t="shared" si="40"/>
        <v>-1</v>
      </c>
      <c r="O54" s="11"/>
      <c r="P54" s="6">
        <v>328</v>
      </c>
      <c r="Q54" s="2"/>
      <c r="R54" s="7">
        <f t="shared" si="41"/>
        <v>1.1652416791175224E-3</v>
      </c>
      <c r="S54" s="2"/>
      <c r="T54" s="6">
        <v>346.09</v>
      </c>
      <c r="U54" s="2"/>
      <c r="V54" s="7">
        <f t="shared" si="42"/>
        <v>1.091093147084457E-3</v>
      </c>
      <c r="W54" s="2"/>
      <c r="X54" s="6">
        <f t="shared" si="43"/>
        <v>-18.089999999999975</v>
      </c>
      <c r="Y54" s="2"/>
      <c r="Z54" s="7">
        <f t="shared" si="44"/>
        <v>-5.2269640844866877E-2</v>
      </c>
    </row>
    <row r="55" spans="1:26" s="24" customFormat="1" hidden="1" outlineLevel="2" x14ac:dyDescent="0.25">
      <c r="A55" s="26"/>
      <c r="B55" s="11" t="str">
        <f>CONCATENATE("          ", "6285", " - ", "JANITORIAL SERVICES")</f>
        <v xml:space="preserve">          6285 - JANITORIAL SERVICES</v>
      </c>
      <c r="C55" s="11"/>
      <c r="D55" s="6">
        <v>24.22</v>
      </c>
      <c r="E55" s="2"/>
      <c r="F55" s="7">
        <f t="shared" si="37"/>
        <v>0</v>
      </c>
      <c r="G55" s="2"/>
      <c r="H55" s="6">
        <v>45.24</v>
      </c>
      <c r="I55" s="2"/>
      <c r="J55" s="7">
        <f t="shared" si="38"/>
        <v>2.5198948595593078E-3</v>
      </c>
      <c r="K55" s="2"/>
      <c r="L55" s="6">
        <f t="shared" si="39"/>
        <v>-21.020000000000003</v>
      </c>
      <c r="M55" s="2"/>
      <c r="N55" s="7">
        <f t="shared" si="40"/>
        <v>-0.46463306808134397</v>
      </c>
      <c r="O55" s="11"/>
      <c r="P55" s="6">
        <v>256.82</v>
      </c>
      <c r="Q55" s="2"/>
      <c r="R55" s="7">
        <f t="shared" si="41"/>
        <v>9.1237002448464057E-4</v>
      </c>
      <c r="S55" s="2"/>
      <c r="T55" s="6">
        <v>239.1</v>
      </c>
      <c r="U55" s="2"/>
      <c r="V55" s="7">
        <f t="shared" si="42"/>
        <v>7.5379343947497377E-4</v>
      </c>
      <c r="W55" s="2"/>
      <c r="X55" s="6">
        <f t="shared" si="43"/>
        <v>17.72</v>
      </c>
      <c r="Y55" s="2"/>
      <c r="Z55" s="7">
        <f t="shared" si="44"/>
        <v>7.4111250522793812E-2</v>
      </c>
    </row>
    <row r="56" spans="1:26" s="24" customFormat="1" hidden="1" outlineLevel="2" x14ac:dyDescent="0.25">
      <c r="A56" s="26"/>
      <c r="B56" s="11" t="str">
        <f>CONCATENATE("          ", "6286", " - ", "LAUNDRY EXPENSE")</f>
        <v xml:space="preserve">          6286 - LAUNDRY EXPENSE</v>
      </c>
      <c r="C56" s="11"/>
      <c r="D56" s="6"/>
      <c r="E56" s="2"/>
      <c r="F56" s="7">
        <f t="shared" si="37"/>
        <v>0</v>
      </c>
      <c r="G56" s="2"/>
      <c r="H56" s="6">
        <v>132.36000000000001</v>
      </c>
      <c r="I56" s="2"/>
      <c r="J56" s="7">
        <f t="shared" si="38"/>
        <v>7.3725305838034929E-3</v>
      </c>
      <c r="K56" s="2"/>
      <c r="L56" s="6">
        <f t="shared" si="39"/>
        <v>-132.36000000000001</v>
      </c>
      <c r="M56" s="2"/>
      <c r="N56" s="7">
        <f t="shared" si="40"/>
        <v>-1</v>
      </c>
      <c r="O56" s="11"/>
      <c r="P56" s="6">
        <v>1334.58</v>
      </c>
      <c r="Q56" s="2"/>
      <c r="R56" s="7">
        <f t="shared" si="41"/>
        <v>4.7411836588922658E-3</v>
      </c>
      <c r="S56" s="2"/>
      <c r="T56" s="6">
        <v>1285</v>
      </c>
      <c r="U56" s="2"/>
      <c r="V56" s="7">
        <f t="shared" si="42"/>
        <v>4.0511274350704361E-3</v>
      </c>
      <c r="W56" s="2"/>
      <c r="X56" s="6">
        <f t="shared" si="43"/>
        <v>49.579999999999927</v>
      </c>
      <c r="Y56" s="2"/>
      <c r="Z56" s="7">
        <f t="shared" si="44"/>
        <v>3.858365758754858E-2</v>
      </c>
    </row>
    <row r="57" spans="1:26" s="27" customFormat="1" outlineLevel="1" collapsed="1" x14ac:dyDescent="0.25">
      <c r="A57" s="25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41.07</v>
      </c>
      <c r="E57" s="1"/>
      <c r="F57" s="5">
        <f t="shared" ref="F57:F63" si="45">IF(D$12=0,0,D57/D$12)</f>
        <v>0</v>
      </c>
      <c r="G57" s="1"/>
      <c r="H57" s="1">
        <f>SUM(OSRRefH22_10x_0)</f>
        <v>-222.26</v>
      </c>
      <c r="I57" s="1"/>
      <c r="J57" s="5">
        <f t="shared" ref="J57:J63" si="46">IF(H$12=0,0,H57/H$12)</f>
        <v>-1.2380013958568784E-2</v>
      </c>
      <c r="K57" s="1"/>
      <c r="L57" s="1">
        <f t="shared" ref="L57:L63" si="47">+D57-H57</f>
        <v>263.33</v>
      </c>
      <c r="M57" s="1"/>
      <c r="N57" s="5">
        <f t="shared" ref="N57:N63" si="48">IF(H57=0,0,L57/H57)</f>
        <v>-1.1847835867902456</v>
      </c>
      <c r="O57" s="13"/>
      <c r="P57" s="1">
        <f>SUM(OSRRefP22_10x_0)</f>
        <v>7668.1800000000012</v>
      </c>
      <c r="Q57" s="1"/>
      <c r="R57" s="5">
        <f t="shared" ref="R57:R63" si="49">IF(P$12=0,0,P57/P$12)</f>
        <v>2.7241716277364041E-2</v>
      </c>
      <c r="S57" s="1"/>
      <c r="T57" s="1">
        <f>SUM(OSRRefT22_10x_0)</f>
        <v>4615.67</v>
      </c>
      <c r="U57" s="1"/>
      <c r="V57" s="5">
        <f t="shared" ref="V57:V63" si="50">IF(T$12=0,0,T57/T$12)</f>
        <v>1.4551492115355301E-2</v>
      </c>
      <c r="W57" s="1"/>
      <c r="X57" s="1">
        <f t="shared" ref="X57:X63" si="51">+P57-T57</f>
        <v>3052.5100000000011</v>
      </c>
      <c r="Y57" s="1"/>
      <c r="Z57" s="5">
        <f t="shared" ref="Z57:Z63" si="52">IF(T57=0,0,X57/T57)</f>
        <v>0.66133627404038875</v>
      </c>
    </row>
    <row r="58" spans="1:26" s="24" customFormat="1" hidden="1" outlineLevel="2" x14ac:dyDescent="0.25">
      <c r="A58" s="26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45"/>
        <v>0</v>
      </c>
      <c r="G58" s="2"/>
      <c r="H58" s="6"/>
      <c r="I58" s="2"/>
      <c r="J58" s="7">
        <f t="shared" si="46"/>
        <v>0</v>
      </c>
      <c r="K58" s="2"/>
      <c r="L58" s="6">
        <f t="shared" si="47"/>
        <v>0</v>
      </c>
      <c r="M58" s="2"/>
      <c r="N58" s="7">
        <f t="shared" si="48"/>
        <v>0</v>
      </c>
      <c r="O58" s="11"/>
      <c r="P58" s="6">
        <v>354.71</v>
      </c>
      <c r="Q58" s="2"/>
      <c r="R58" s="7">
        <f t="shared" si="49"/>
        <v>1.2601307195115135E-3</v>
      </c>
      <c r="S58" s="2"/>
      <c r="T58" s="6"/>
      <c r="U58" s="2"/>
      <c r="V58" s="7">
        <f t="shared" si="50"/>
        <v>0</v>
      </c>
      <c r="W58" s="2"/>
      <c r="X58" s="6">
        <f t="shared" si="51"/>
        <v>354.71</v>
      </c>
      <c r="Y58" s="2"/>
      <c r="Z58" s="7">
        <f t="shared" si="52"/>
        <v>0</v>
      </c>
    </row>
    <row r="59" spans="1:26" s="24" customFormat="1" hidden="1" outlineLevel="2" x14ac:dyDescent="0.25">
      <c r="A59" s="26"/>
      <c r="B59" s="11" t="str">
        <f>CONCATENATE("          ", "6237", " - ", "JANITORIAL SUPPLIES")</f>
        <v xml:space="preserve">          6237 - JANITORIAL SUPPLIES</v>
      </c>
      <c r="C59" s="11"/>
      <c r="D59" s="6"/>
      <c r="E59" s="2"/>
      <c r="F59" s="7">
        <f t="shared" si="45"/>
        <v>0</v>
      </c>
      <c r="G59" s="2"/>
      <c r="H59" s="6">
        <v>22.05</v>
      </c>
      <c r="I59" s="2"/>
      <c r="J59" s="7">
        <f t="shared" si="46"/>
        <v>1.2281980913634559E-3</v>
      </c>
      <c r="K59" s="2"/>
      <c r="L59" s="6">
        <f t="shared" si="47"/>
        <v>-22.05</v>
      </c>
      <c r="M59" s="2"/>
      <c r="N59" s="7">
        <f t="shared" si="48"/>
        <v>-1</v>
      </c>
      <c r="O59" s="11"/>
      <c r="P59" s="6">
        <v>38.56</v>
      </c>
      <c r="Q59" s="2"/>
      <c r="R59" s="7">
        <f t="shared" si="49"/>
        <v>1.369869486182063E-4</v>
      </c>
      <c r="S59" s="2"/>
      <c r="T59" s="6">
        <v>481.06</v>
      </c>
      <c r="U59" s="2"/>
      <c r="V59" s="7">
        <f t="shared" si="50"/>
        <v>1.5166033960427893E-3</v>
      </c>
      <c r="W59" s="2"/>
      <c r="X59" s="6">
        <f t="shared" si="51"/>
        <v>-442.5</v>
      </c>
      <c r="Y59" s="2"/>
      <c r="Z59" s="7">
        <f t="shared" si="52"/>
        <v>-0.91984367854321702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/>
      <c r="Q60" s="2"/>
      <c r="R60" s="7">
        <f t="shared" si="49"/>
        <v>0</v>
      </c>
      <c r="S60" s="2"/>
      <c r="T60" s="6">
        <v>34</v>
      </c>
      <c r="U60" s="2"/>
      <c r="V60" s="7">
        <f t="shared" si="50"/>
        <v>1.0718936404077419E-4</v>
      </c>
      <c r="W60" s="2"/>
      <c r="X60" s="6">
        <f t="shared" si="51"/>
        <v>-34</v>
      </c>
      <c r="Y60" s="2"/>
      <c r="Z60" s="7">
        <f t="shared" si="52"/>
        <v>-1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/>
      <c r="Q61" s="2"/>
      <c r="R61" s="7">
        <f t="shared" si="49"/>
        <v>0</v>
      </c>
      <c r="S61" s="2"/>
      <c r="T61" s="6">
        <v>45.85</v>
      </c>
      <c r="U61" s="2"/>
      <c r="V61" s="7">
        <f t="shared" si="50"/>
        <v>1.4454801003733816E-4</v>
      </c>
      <c r="W61" s="2"/>
      <c r="X61" s="6">
        <f t="shared" si="51"/>
        <v>-45.85</v>
      </c>
      <c r="Y61" s="2"/>
      <c r="Z61" s="7">
        <f t="shared" si="52"/>
        <v>-1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45"/>
        <v>0</v>
      </c>
      <c r="G62" s="2"/>
      <c r="H62" s="6">
        <v>-244.31</v>
      </c>
      <c r="I62" s="2"/>
      <c r="J62" s="7">
        <f t="shared" si="46"/>
        <v>-1.360821204993224E-2</v>
      </c>
      <c r="K62" s="2"/>
      <c r="L62" s="6">
        <f t="shared" si="47"/>
        <v>244.31</v>
      </c>
      <c r="M62" s="2"/>
      <c r="N62" s="7">
        <f t="shared" si="48"/>
        <v>-1</v>
      </c>
      <c r="O62" s="11"/>
      <c r="P62" s="6">
        <v>7192.77</v>
      </c>
      <c r="Q62" s="2"/>
      <c r="R62" s="7">
        <f t="shared" si="49"/>
        <v>2.5552790830201656E-2</v>
      </c>
      <c r="S62" s="2"/>
      <c r="T62" s="6">
        <v>3866.89</v>
      </c>
      <c r="U62" s="2"/>
      <c r="V62" s="7">
        <f t="shared" si="50"/>
        <v>1.2190867056342038E-2</v>
      </c>
      <c r="W62" s="2"/>
      <c r="X62" s="6">
        <f t="shared" si="51"/>
        <v>3325.8800000000006</v>
      </c>
      <c r="Y62" s="2"/>
      <c r="Z62" s="7">
        <f t="shared" si="52"/>
        <v>0.86009170159999393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6">
        <v>41.07</v>
      </c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41.07</v>
      </c>
      <c r="M63" s="2"/>
      <c r="N63" s="7">
        <f t="shared" si="48"/>
        <v>0</v>
      </c>
      <c r="O63" s="11"/>
      <c r="P63" s="6">
        <v>82.14</v>
      </c>
      <c r="Q63" s="2"/>
      <c r="R63" s="7">
        <f t="shared" si="49"/>
        <v>2.9180777903266248E-4</v>
      </c>
      <c r="S63" s="2"/>
      <c r="T63" s="6">
        <v>187.87</v>
      </c>
      <c r="U63" s="2"/>
      <c r="V63" s="7">
        <f t="shared" si="50"/>
        <v>5.9228428889236023E-4</v>
      </c>
      <c r="W63" s="2"/>
      <c r="X63" s="6">
        <f t="shared" si="51"/>
        <v>-105.73</v>
      </c>
      <c r="Y63" s="2"/>
      <c r="Z63" s="7">
        <f t="shared" si="52"/>
        <v>-0.56278277532336196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51.5</v>
      </c>
      <c r="E64" s="1"/>
      <c r="F64" s="5">
        <f t="shared" ref="F64:F69" si="53">IF(D$12=0,0,D64/D$12)</f>
        <v>0</v>
      </c>
      <c r="G64" s="1"/>
      <c r="H64" s="1">
        <f>SUM(OSRRefH22_11x_0)</f>
        <v>52.5</v>
      </c>
      <c r="I64" s="1"/>
      <c r="J64" s="5">
        <f t="shared" ref="J64:J69" si="54">IF(H$12=0,0,H64/H$12)</f>
        <v>2.9242811699129899E-3</v>
      </c>
      <c r="K64" s="1"/>
      <c r="L64" s="1">
        <f t="shared" ref="L64:L69" si="55">+D64-H64</f>
        <v>-1</v>
      </c>
      <c r="M64" s="1"/>
      <c r="N64" s="5">
        <f t="shared" ref="N64:N69" si="56">IF(H64=0,0,L64/H64)</f>
        <v>-1.9047619047619049E-2</v>
      </c>
      <c r="O64" s="13"/>
      <c r="P64" s="1">
        <f>SUM(OSRRefP22_11x_0)</f>
        <v>628.09</v>
      </c>
      <c r="Q64" s="1"/>
      <c r="R64" s="5">
        <f t="shared" ref="R64:R69" si="57">IF(P$12=0,0,P64/P$12)</f>
        <v>2.2313312385272097E-3</v>
      </c>
      <c r="S64" s="1"/>
      <c r="T64" s="1">
        <f>SUM(OSRRefT22_11x_0)</f>
        <v>577.5</v>
      </c>
      <c r="U64" s="1"/>
      <c r="V64" s="5">
        <f t="shared" ref="V64:V69" si="58">IF(T$12=0,0,T64/T$12)</f>
        <v>1.8206428745160912E-3</v>
      </c>
      <c r="W64" s="1"/>
      <c r="X64" s="1">
        <f t="shared" ref="X64:X69" si="59">+P64-T64</f>
        <v>50.590000000000032</v>
      </c>
      <c r="Y64" s="1"/>
      <c r="Z64" s="5">
        <f t="shared" ref="Z64:Z69" si="60">IF(T64=0,0,X64/T64)</f>
        <v>8.7601731601731653E-2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51.5</v>
      </c>
      <c r="E65" s="2"/>
      <c r="F65" s="7">
        <f t="shared" si="53"/>
        <v>0</v>
      </c>
      <c r="G65" s="2"/>
      <c r="H65" s="6">
        <v>52.5</v>
      </c>
      <c r="I65" s="2"/>
      <c r="J65" s="7">
        <f t="shared" si="54"/>
        <v>2.9242811699129899E-3</v>
      </c>
      <c r="K65" s="2"/>
      <c r="L65" s="6">
        <f t="shared" si="55"/>
        <v>-1</v>
      </c>
      <c r="M65" s="2"/>
      <c r="N65" s="7">
        <f t="shared" si="56"/>
        <v>-1.9047619047619049E-2</v>
      </c>
      <c r="O65" s="11"/>
      <c r="P65" s="6">
        <v>628.09</v>
      </c>
      <c r="Q65" s="2"/>
      <c r="R65" s="7">
        <f t="shared" si="57"/>
        <v>2.2313312385272097E-3</v>
      </c>
      <c r="S65" s="2"/>
      <c r="T65" s="6">
        <v>577.5</v>
      </c>
      <c r="U65" s="2"/>
      <c r="V65" s="7">
        <f t="shared" si="58"/>
        <v>1.8206428745160912E-3</v>
      </c>
      <c r="W65" s="2"/>
      <c r="X65" s="6">
        <f t="shared" si="59"/>
        <v>50.590000000000032</v>
      </c>
      <c r="Y65" s="2"/>
      <c r="Z65" s="7">
        <f t="shared" si="60"/>
        <v>8.7601731601731653E-2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SUM(OSRRefD22_12x_0)</f>
        <v>0</v>
      </c>
      <c r="E66" s="1"/>
      <c r="F66" s="5">
        <f t="shared" si="53"/>
        <v>0</v>
      </c>
      <c r="G66" s="1"/>
      <c r="H66" s="1">
        <f>SUM(OSRRefH22_12x_0)</f>
        <v>0</v>
      </c>
      <c r="I66" s="1"/>
      <c r="J66" s="5">
        <f t="shared" si="54"/>
        <v>0</v>
      </c>
      <c r="K66" s="1"/>
      <c r="L66" s="1">
        <f t="shared" si="55"/>
        <v>0</v>
      </c>
      <c r="M66" s="1"/>
      <c r="N66" s="5">
        <f t="shared" si="56"/>
        <v>0</v>
      </c>
      <c r="O66" s="13"/>
      <c r="P66" s="1">
        <f>SUM(OSRRefP22_12x_0)</f>
        <v>0</v>
      </c>
      <c r="Q66" s="1"/>
      <c r="R66" s="5">
        <f t="shared" si="57"/>
        <v>0</v>
      </c>
      <c r="S66" s="1"/>
      <c r="T66" s="1">
        <f>SUM(OSRRefT22_12x_0)</f>
        <v>60</v>
      </c>
      <c r="U66" s="1"/>
      <c r="V66" s="5">
        <f t="shared" si="58"/>
        <v>1.8915770124842504E-4</v>
      </c>
      <c r="W66" s="1"/>
      <c r="X66" s="1">
        <f t="shared" si="59"/>
        <v>-60</v>
      </c>
      <c r="Y66" s="1"/>
      <c r="Z66" s="5">
        <f t="shared" si="60"/>
        <v>-1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53"/>
        <v>0</v>
      </c>
      <c r="G67" s="2"/>
      <c r="H67" s="6"/>
      <c r="I67" s="2"/>
      <c r="J67" s="7">
        <f t="shared" si="54"/>
        <v>0</v>
      </c>
      <c r="K67" s="2"/>
      <c r="L67" s="6">
        <f t="shared" si="55"/>
        <v>0</v>
      </c>
      <c r="M67" s="2"/>
      <c r="N67" s="7">
        <f t="shared" si="56"/>
        <v>0</v>
      </c>
      <c r="O67" s="11"/>
      <c r="P67" s="6"/>
      <c r="Q67" s="2"/>
      <c r="R67" s="7">
        <f t="shared" si="57"/>
        <v>0</v>
      </c>
      <c r="S67" s="2"/>
      <c r="T67" s="6">
        <v>60</v>
      </c>
      <c r="U67" s="2"/>
      <c r="V67" s="7">
        <f t="shared" si="58"/>
        <v>1.8915770124842504E-4</v>
      </c>
      <c r="W67" s="2"/>
      <c r="X67" s="6">
        <f t="shared" si="59"/>
        <v>-60</v>
      </c>
      <c r="Y67" s="2"/>
      <c r="Z67" s="7">
        <f t="shared" si="60"/>
        <v>-1</v>
      </c>
    </row>
    <row r="68" spans="1:26" s="27" customFormat="1" outlineLevel="1" collapsed="1" x14ac:dyDescent="0.25">
      <c r="A68" s="25"/>
      <c r="B68" s="13" t="str">
        <f>CONCATENATE("     ","Utilities                                         ")</f>
        <v xml:space="preserve">     Utilities                                         </v>
      </c>
      <c r="C68" s="13"/>
      <c r="D68" s="1">
        <f>SUM(OSRRefD22_13x_0)</f>
        <v>23</v>
      </c>
      <c r="E68" s="1"/>
      <c r="F68" s="5">
        <f t="shared" si="53"/>
        <v>0</v>
      </c>
      <c r="G68" s="1"/>
      <c r="H68" s="1">
        <f>SUM(OSRRefH22_13x_0)</f>
        <v>104</v>
      </c>
      <c r="I68" s="1"/>
      <c r="J68" s="5">
        <f t="shared" si="54"/>
        <v>5.7928617461133515E-3</v>
      </c>
      <c r="K68" s="1"/>
      <c r="L68" s="1">
        <f t="shared" si="55"/>
        <v>-81</v>
      </c>
      <c r="M68" s="1"/>
      <c r="N68" s="5">
        <f t="shared" si="56"/>
        <v>-0.77884615384615385</v>
      </c>
      <c r="O68" s="13"/>
      <c r="P68" s="1">
        <f>SUM(OSRRefP22_13x_0)</f>
        <v>-27.26</v>
      </c>
      <c r="Q68" s="1"/>
      <c r="R68" s="5">
        <f t="shared" si="57"/>
        <v>-9.6842951746169714E-5</v>
      </c>
      <c r="S68" s="1"/>
      <c r="T68" s="1">
        <f>SUM(OSRRefT22_13x_0)</f>
        <v>755.11</v>
      </c>
      <c r="U68" s="1"/>
      <c r="V68" s="5">
        <f t="shared" si="58"/>
        <v>2.3805811964949706E-3</v>
      </c>
      <c r="W68" s="1"/>
      <c r="X68" s="1">
        <f t="shared" si="59"/>
        <v>-782.37</v>
      </c>
      <c r="Y68" s="1"/>
      <c r="Z68" s="5">
        <f t="shared" si="60"/>
        <v>-1.0361007005601832</v>
      </c>
    </row>
    <row r="69" spans="1:26" s="24" customFormat="1" hidden="1" outlineLevel="2" x14ac:dyDescent="0.25">
      <c r="A69" s="26"/>
      <c r="B69" s="11" t="str">
        <f>CONCATENATE("          ", "6274", " - ", "UTILITIES")</f>
        <v xml:space="preserve">          6274 - UTILITIES</v>
      </c>
      <c r="C69" s="11"/>
      <c r="D69" s="6">
        <v>23</v>
      </c>
      <c r="E69" s="2"/>
      <c r="F69" s="7">
        <f t="shared" si="53"/>
        <v>0</v>
      </c>
      <c r="G69" s="2"/>
      <c r="H69" s="6">
        <v>104</v>
      </c>
      <c r="I69" s="2"/>
      <c r="J69" s="7">
        <f t="shared" si="54"/>
        <v>5.7928617461133515E-3</v>
      </c>
      <c r="K69" s="2"/>
      <c r="L69" s="6">
        <f t="shared" si="55"/>
        <v>-81</v>
      </c>
      <c r="M69" s="2"/>
      <c r="N69" s="7">
        <f t="shared" si="56"/>
        <v>-0.77884615384615385</v>
      </c>
      <c r="O69" s="11"/>
      <c r="P69" s="6">
        <v>-27.26</v>
      </c>
      <c r="Q69" s="2"/>
      <c r="R69" s="7">
        <f t="shared" si="57"/>
        <v>-9.6842951746169714E-5</v>
      </c>
      <c r="S69" s="2"/>
      <c r="T69" s="6">
        <v>755.11</v>
      </c>
      <c r="U69" s="2"/>
      <c r="V69" s="7">
        <f t="shared" si="58"/>
        <v>2.3805811964949706E-3</v>
      </c>
      <c r="W69" s="2"/>
      <c r="X69" s="6">
        <f t="shared" si="59"/>
        <v>-782.37</v>
      </c>
      <c r="Y69" s="2"/>
      <c r="Z69" s="7">
        <f t="shared" si="60"/>
        <v>-1.0361007005601832</v>
      </c>
    </row>
    <row r="70" spans="1:26" s="58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+D20-D22+D71</f>
        <v>-1328.5099999999998</v>
      </c>
      <c r="E73" s="14"/>
      <c r="F73" s="20">
        <f>IF(D$12=0,0,D73/D$12)</f>
        <v>0</v>
      </c>
      <c r="G73" s="14"/>
      <c r="H73" s="21">
        <f>+H20-H22+H71</f>
        <v>1867.1800000000021</v>
      </c>
      <c r="I73" s="14"/>
      <c r="J73" s="20">
        <f>IF(H$12=0,0,H73/H$12)</f>
        <v>0.10400303456834557</v>
      </c>
      <c r="K73" s="16"/>
      <c r="L73" s="21">
        <f>+D73-H73</f>
        <v>-3195.6900000000019</v>
      </c>
      <c r="M73" s="16"/>
      <c r="N73" s="20">
        <f>IF(H73=0,0,L73/H73)</f>
        <v>-1.7115061215308638</v>
      </c>
      <c r="O73" s="28"/>
      <c r="P73" s="21">
        <f>+P20-P22+P71</f>
        <v>13933.530000000013</v>
      </c>
      <c r="Q73" s="14"/>
      <c r="R73" s="20">
        <f>IF(P$12=0,0,P73/P$12)</f>
        <v>4.9499786259860942E-2</v>
      </c>
      <c r="S73" s="14"/>
      <c r="T73" s="21">
        <f>+T20-T22+T71</f>
        <v>70481.440000000017</v>
      </c>
      <c r="U73" s="14"/>
      <c r="V73" s="20">
        <f>IF(T$12=0,0,T73/T$12)</f>
        <v>0.22220178618464664</v>
      </c>
      <c r="W73" s="16"/>
      <c r="X73" s="21">
        <f>+P73-T73</f>
        <v>-56547.91</v>
      </c>
      <c r="Y73" s="16"/>
      <c r="Z73" s="20">
        <f>IF(T73=0,0,X73/T73)</f>
        <v>-0.80230923204747218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1371.62</v>
      </c>
      <c r="E75" s="4"/>
      <c r="F75" s="12">
        <f>IF(D$12=0,0,D75/D$12)</f>
        <v>0</v>
      </c>
      <c r="G75" s="4"/>
      <c r="H75" s="4">
        <v>1884.15</v>
      </c>
      <c r="I75" s="4"/>
      <c r="J75" s="12">
        <f>IF(H$12=0,0,H75/H$12)</f>
        <v>0.10494827364364877</v>
      </c>
      <c r="K75" s="4"/>
      <c r="L75" s="4">
        <f>+D75-H75</f>
        <v>-512.5300000000002</v>
      </c>
      <c r="M75" s="4"/>
      <c r="N75" s="12">
        <f>IF(H75=0,0,L75/H75)</f>
        <v>-0.2720218666242073</v>
      </c>
      <c r="O75" s="10"/>
      <c r="P75" s="4">
        <v>33332.42</v>
      </c>
      <c r="Q75" s="4"/>
      <c r="R75" s="12">
        <f>IF(P$12=0,0,P75/P$12)</f>
        <v>0.1184156251519832</v>
      </c>
      <c r="S75" s="4"/>
      <c r="T75" s="4">
        <v>32992.97</v>
      </c>
      <c r="U75" s="4"/>
      <c r="V75" s="12">
        <f>IF(T$12=0,0,T75/T$12)</f>
        <v>0.10401457270930417</v>
      </c>
      <c r="W75" s="4"/>
      <c r="X75" s="4">
        <f>+P75-T75</f>
        <v>339.44999999999709</v>
      </c>
      <c r="Y75" s="4"/>
      <c r="Z75" s="12">
        <f>IF(T75=0,0,X75/T75)</f>
        <v>1.0288555410440377E-2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-2700.1299999999997</v>
      </c>
      <c r="E77" s="14"/>
      <c r="F77" s="32">
        <f>IF(D$12=0,0,D77/D$12)</f>
        <v>0</v>
      </c>
      <c r="G77" s="14"/>
      <c r="H77" s="35">
        <f>+H73-H75</f>
        <v>-16.969999999997981</v>
      </c>
      <c r="I77" s="14"/>
      <c r="J77" s="32">
        <f>IF(H$12=0,0,H77/H$12)</f>
        <v>-9.4523907530319115E-4</v>
      </c>
      <c r="K77" s="16"/>
      <c r="L77" s="35">
        <f>D77-H77</f>
        <v>-2683.1600000000017</v>
      </c>
      <c r="M77" s="16"/>
      <c r="N77" s="32">
        <f>IF(H77=0,0,L77/H77)</f>
        <v>158.11196228640665</v>
      </c>
      <c r="O77" s="28"/>
      <c r="P77" s="35">
        <f>+P73-P75</f>
        <v>-19398.889999999985</v>
      </c>
      <c r="Q77" s="14"/>
      <c r="R77" s="32">
        <f>IF(P$12=0,0,P77/P$12)</f>
        <v>-6.8915838892122258E-2</v>
      </c>
      <c r="S77" s="14"/>
      <c r="T77" s="35">
        <f>+T73-T75</f>
        <v>37488.470000000016</v>
      </c>
      <c r="U77" s="14"/>
      <c r="V77" s="32">
        <f>IF(T$12=0,0,T77/T$12)</f>
        <v>0.11818721347534247</v>
      </c>
      <c r="W77" s="16"/>
      <c r="X77" s="35">
        <f>P77-T77</f>
        <v>-56887.360000000001</v>
      </c>
      <c r="Y77" s="16"/>
      <c r="Z77" s="32">
        <f>IF(T77=0,0,X77/T77)</f>
        <v>-1.5174628359066129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-2700.1299999999997</v>
      </c>
      <c r="E80" s="14"/>
      <c r="F80" s="33">
        <f>IF(D$12=0,0,D80/D$12)</f>
        <v>0</v>
      </c>
      <c r="G80" s="14"/>
      <c r="H80" s="36">
        <f>SUM(H77:H79)</f>
        <v>-16.969999999997981</v>
      </c>
      <c r="I80" s="14"/>
      <c r="J80" s="33">
        <f>IF(H$12=0,0,H80/H$12)</f>
        <v>-9.4523907530319115E-4</v>
      </c>
      <c r="K80" s="16"/>
      <c r="L80" s="36">
        <f>+D80-H80</f>
        <v>-2683.1600000000017</v>
      </c>
      <c r="M80" s="16"/>
      <c r="N80" s="33">
        <f>IF(H80=0,0,L80/H80)</f>
        <v>158.11196228640665</v>
      </c>
      <c r="O80" s="28"/>
      <c r="P80" s="36">
        <f>SUM(P77:P79)</f>
        <v>-19398.889999999985</v>
      </c>
      <c r="Q80" s="14"/>
      <c r="R80" s="33">
        <f>IF(P$12=0,0,P80/P$12)</f>
        <v>-6.8915838892122258E-2</v>
      </c>
      <c r="S80" s="14"/>
      <c r="T80" s="36">
        <f>SUM(T77:T79)</f>
        <v>37488.470000000016</v>
      </c>
      <c r="U80" s="14"/>
      <c r="V80" s="33">
        <f>IF(T$12=0,0,T80/T$12)</f>
        <v>0.11818721347534247</v>
      </c>
      <c r="W80" s="16"/>
      <c r="X80" s="36">
        <f>+P80-T80</f>
        <v>-56887.360000000001</v>
      </c>
      <c r="Y80" s="16"/>
      <c r="Z80" s="33">
        <f>IF(T80=0,0,X80/T80)</f>
        <v>-1.5174628359066129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>
        <v>43992.375684178238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62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77641.72</v>
      </c>
      <c r="I12" s="4"/>
      <c r="J12" s="12"/>
      <c r="K12" s="4"/>
      <c r="L12" s="4">
        <f t="shared" ref="L12:L14" si="0">+D12-H12</f>
        <v>-77641.72</v>
      </c>
      <c r="M12" s="4"/>
      <c r="N12" s="12">
        <f t="shared" ref="N12:N14" si="1">IF(H12=0,0,L12/H12)</f>
        <v>-1</v>
      </c>
      <c r="O12" s="10"/>
      <c r="P12" s="4">
        <f>SUM(OSRRefP13x_0)</f>
        <v>689915.82</v>
      </c>
      <c r="Q12" s="4"/>
      <c r="R12" s="12"/>
      <c r="S12" s="4"/>
      <c r="T12" s="4">
        <f>SUM(OSRRefT13x_0)</f>
        <v>909717.72</v>
      </c>
      <c r="U12" s="4"/>
      <c r="V12" s="12"/>
      <c r="W12" s="4"/>
      <c r="X12" s="4">
        <f t="shared" ref="X12:X14" si="2">+P12-T12</f>
        <v>-219801.90000000002</v>
      </c>
      <c r="Y12" s="4"/>
      <c r="Z12" s="12">
        <f t="shared" ref="Z12:Z14" si="3">IF(T12=0,0,X12/T12)</f>
        <v>-0.24161549804702059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--10496.58</f>
        <v>10496.58</v>
      </c>
      <c r="I13" s="2"/>
      <c r="J13" s="19"/>
      <c r="K13" s="2"/>
      <c r="L13" s="2">
        <f t="shared" si="0"/>
        <v>-10496.58</v>
      </c>
      <c r="M13" s="2"/>
      <c r="N13" s="19">
        <f t="shared" si="1"/>
        <v>-1</v>
      </c>
      <c r="O13" s="11"/>
      <c r="P13" s="2">
        <f>--85250.21</f>
        <v>85250.21</v>
      </c>
      <c r="Q13" s="2"/>
      <c r="R13" s="19"/>
      <c r="S13" s="2"/>
      <c r="T13" s="2">
        <f>--143849.11</f>
        <v>143849.10999999999</v>
      </c>
      <c r="U13" s="2"/>
      <c r="V13" s="19"/>
      <c r="W13" s="2"/>
      <c r="X13" s="2">
        <f t="shared" si="2"/>
        <v>-58598.89999999998</v>
      </c>
      <c r="Y13" s="2"/>
      <c r="Z13" s="19">
        <f t="shared" si="3"/>
        <v>-0.40736366043557715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--67145.14</f>
        <v>67145.14</v>
      </c>
      <c r="I14" s="2"/>
      <c r="J14" s="19"/>
      <c r="K14" s="2"/>
      <c r="L14" s="2">
        <f t="shared" si="0"/>
        <v>-67145.14</v>
      </c>
      <c r="M14" s="2"/>
      <c r="N14" s="19">
        <f t="shared" si="1"/>
        <v>-1</v>
      </c>
      <c r="O14" s="11"/>
      <c r="P14" s="2">
        <f>--604665.61</f>
        <v>604665.61</v>
      </c>
      <c r="Q14" s="2"/>
      <c r="R14" s="19"/>
      <c r="S14" s="2"/>
      <c r="T14" s="2">
        <f>--765868.61</f>
        <v>765868.61</v>
      </c>
      <c r="U14" s="2"/>
      <c r="V14" s="19"/>
      <c r="W14" s="2"/>
      <c r="X14" s="2">
        <f t="shared" si="2"/>
        <v>-161203</v>
      </c>
      <c r="Y14" s="2"/>
      <c r="Z14" s="19">
        <f t="shared" si="3"/>
        <v>-0.21048388443547777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-62.34</v>
      </c>
      <c r="E16" s="4"/>
      <c r="F16" s="12">
        <f t="shared" ref="F16:F18" si="5">IF(D$12=0,0,D16/D$12)</f>
        <v>0</v>
      </c>
      <c r="G16" s="4"/>
      <c r="H16" s="4">
        <f>SUM(OSRRefH16x_0)</f>
        <v>41593.93</v>
      </c>
      <c r="I16" s="4"/>
      <c r="J16" s="12">
        <f t="shared" ref="J16:J18" si="6">IF(H$12=0,0,H16/H$12)</f>
        <v>0.53571623606483731</v>
      </c>
      <c r="K16" s="4"/>
      <c r="L16" s="4">
        <f t="shared" ref="L16:L18" si="7">+D16-H16</f>
        <v>-41656.269999999997</v>
      </c>
      <c r="M16" s="4"/>
      <c r="N16" s="12">
        <f t="shared" ref="N16:N18" si="8">IF(H16=0,0,L16/H16)</f>
        <v>-1.0014987763839578</v>
      </c>
      <c r="O16" s="10"/>
      <c r="P16" s="4">
        <f>SUM(OSRRefP16x_0)</f>
        <v>393216.82</v>
      </c>
      <c r="Q16" s="4"/>
      <c r="R16" s="12">
        <f t="shared" ref="R16:R18" si="9">IF(P$12=0,0,P16/P$12)</f>
        <v>0.5699489830512946</v>
      </c>
      <c r="S16" s="4"/>
      <c r="T16" s="4">
        <f>SUM(OSRRefT16x_0)</f>
        <v>434760.08</v>
      </c>
      <c r="U16" s="4"/>
      <c r="V16" s="12">
        <f t="shared" ref="V16:V18" si="10">IF(T$12=0,0,T16/T$12)</f>
        <v>0.47790657523962493</v>
      </c>
      <c r="W16" s="4"/>
      <c r="X16" s="4">
        <f t="shared" ref="X16:X18" si="11">+P16-T16</f>
        <v>-41543.260000000009</v>
      </c>
      <c r="Y16" s="4"/>
      <c r="Z16" s="12">
        <f t="shared" ref="Z16:Z18" si="12">IF(T16=0,0,X16/T16)</f>
        <v>-9.5554449249342324E-2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-62.34</v>
      </c>
      <c r="E17" s="2"/>
      <c r="F17" s="19">
        <f t="shared" si="5"/>
        <v>0</v>
      </c>
      <c r="G17" s="2"/>
      <c r="H17" s="2">
        <v>19945.14</v>
      </c>
      <c r="I17" s="2"/>
      <c r="J17" s="19">
        <f t="shared" si="6"/>
        <v>0.2568868901925408</v>
      </c>
      <c r="K17" s="2"/>
      <c r="L17" s="2">
        <f t="shared" si="7"/>
        <v>-20007.48</v>
      </c>
      <c r="M17" s="2"/>
      <c r="N17" s="19">
        <f t="shared" si="8"/>
        <v>-1.0031255734479678</v>
      </c>
      <c r="O17" s="11"/>
      <c r="P17" s="2">
        <v>367064.24</v>
      </c>
      <c r="Q17" s="2"/>
      <c r="R17" s="19">
        <f t="shared" si="9"/>
        <v>0.53204206855265335</v>
      </c>
      <c r="S17" s="2"/>
      <c r="T17" s="2">
        <v>428942.39</v>
      </c>
      <c r="U17" s="2"/>
      <c r="V17" s="19">
        <f t="shared" si="10"/>
        <v>0.47151152557520815</v>
      </c>
      <c r="W17" s="2"/>
      <c r="X17" s="2">
        <f t="shared" si="11"/>
        <v>-61878.150000000023</v>
      </c>
      <c r="Y17" s="2"/>
      <c r="Z17" s="19">
        <f t="shared" si="12"/>
        <v>-0.14425748408778163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21648.79</v>
      </c>
      <c r="I18" s="2"/>
      <c r="J18" s="19">
        <f t="shared" si="6"/>
        <v>0.27882934587229652</v>
      </c>
      <c r="K18" s="2"/>
      <c r="L18" s="2">
        <f t="shared" si="7"/>
        <v>-21648.79</v>
      </c>
      <c r="M18" s="2"/>
      <c r="N18" s="19">
        <f t="shared" si="8"/>
        <v>-1</v>
      </c>
      <c r="O18" s="11"/>
      <c r="P18" s="2">
        <v>26152.58</v>
      </c>
      <c r="Q18" s="2"/>
      <c r="R18" s="19">
        <f t="shared" si="9"/>
        <v>3.7906914498641302E-2</v>
      </c>
      <c r="S18" s="2"/>
      <c r="T18" s="2">
        <v>5817.69</v>
      </c>
      <c r="U18" s="2"/>
      <c r="V18" s="19">
        <f t="shared" si="10"/>
        <v>6.3950496644167819E-3</v>
      </c>
      <c r="W18" s="2"/>
      <c r="X18" s="2">
        <f t="shared" si="11"/>
        <v>20334.890000000003</v>
      </c>
      <c r="Y18" s="2"/>
      <c r="Z18" s="19">
        <f t="shared" si="12"/>
        <v>3.4953546854507551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62.34</v>
      </c>
      <c r="E20" s="14"/>
      <c r="F20" s="20">
        <f>IF(D$12=0,0,D20/D$12)</f>
        <v>0</v>
      </c>
      <c r="G20" s="14"/>
      <c r="H20" s="21">
        <f>H12-H16</f>
        <v>36047.79</v>
      </c>
      <c r="I20" s="14"/>
      <c r="J20" s="20">
        <f>IF(H$12=0,0,H20/H$12)</f>
        <v>0.46428376393516269</v>
      </c>
      <c r="K20" s="16"/>
      <c r="L20" s="21">
        <f>+D20-H20</f>
        <v>-35985.450000000004</v>
      </c>
      <c r="M20" s="16"/>
      <c r="N20" s="20">
        <f>IF(H20=0,0,L20/H20)</f>
        <v>-0.99827062907323871</v>
      </c>
      <c r="O20" s="28"/>
      <c r="P20" s="21">
        <f>P12-P16</f>
        <v>296698.99999999994</v>
      </c>
      <c r="Q20" s="14"/>
      <c r="R20" s="20">
        <f>IF(P$12=0,0,P20/P$12)</f>
        <v>0.43005101694870534</v>
      </c>
      <c r="S20" s="14"/>
      <c r="T20" s="21">
        <f>T12-T16</f>
        <v>474957.63999999996</v>
      </c>
      <c r="U20" s="14"/>
      <c r="V20" s="20">
        <f>IF(T$12=0,0,T20/T$12)</f>
        <v>0.52209342476037512</v>
      </c>
      <c r="W20" s="16"/>
      <c r="X20" s="21">
        <f>+P20-T20</f>
        <v>-178258.64</v>
      </c>
      <c r="Y20" s="16"/>
      <c r="Z20" s="20">
        <f>IF(T20=0,0,X20/T20)</f>
        <v>-0.37531481754878188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8909.3500000000022</v>
      </c>
      <c r="E22" s="22"/>
      <c r="F22" s="31">
        <f t="shared" ref="F22:F31" si="13">IF(D$12=0,0,D22/D$12)</f>
        <v>0</v>
      </c>
      <c r="G22" s="22"/>
      <c r="H22" s="22">
        <f>SUM(OSRRefH22x_0)</f>
        <v>33966.019999999997</v>
      </c>
      <c r="I22" s="22"/>
      <c r="J22" s="31">
        <f t="shared" ref="J22:J31" si="14">IF(H$12=0,0,H22/H$12)</f>
        <v>0.43747124612901411</v>
      </c>
      <c r="K22" s="4"/>
      <c r="L22" s="22">
        <f t="shared" ref="L22:L31" si="15">+D22-H22</f>
        <v>-25056.669999999995</v>
      </c>
      <c r="M22" s="4"/>
      <c r="N22" s="31">
        <f t="shared" ref="N22:N31" si="16">IF(H22=0,0,L22/H22)</f>
        <v>-0.73769814655941424</v>
      </c>
      <c r="O22" s="10"/>
      <c r="P22" s="22">
        <f>SUM(OSRRefP22x_0)</f>
        <v>279155.81000000006</v>
      </c>
      <c r="Q22" s="22"/>
      <c r="R22" s="31">
        <f t="shared" ref="R22:R31" si="17">IF(P$12=0,0,P22/P$12)</f>
        <v>0.40462300168736537</v>
      </c>
      <c r="S22" s="22"/>
      <c r="T22" s="22">
        <f>SUM(OSRRefT22x_0)</f>
        <v>309244.99999999994</v>
      </c>
      <c r="U22" s="22"/>
      <c r="V22" s="31">
        <f t="shared" ref="V22:V31" si="18">IF(T$12=0,0,T22/T$12)</f>
        <v>0.33993511745599497</v>
      </c>
      <c r="W22" s="4"/>
      <c r="X22" s="22">
        <f t="shared" ref="X22:X31" si="19">+P22-T22</f>
        <v>-30089.189999999886</v>
      </c>
      <c r="Y22" s="4"/>
      <c r="Z22" s="31">
        <f t="shared" ref="Z22:Z31" si="20">IF(T22=0,0,X22/T22)</f>
        <v>-9.7298873061811481E-2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1858.88</v>
      </c>
      <c r="E23" s="1"/>
      <c r="F23" s="5">
        <f t="shared" si="13"/>
        <v>0</v>
      </c>
      <c r="G23" s="1"/>
      <c r="H23" s="1">
        <f>SUM(OSRRefH22_0x_0)</f>
        <v>2854.5499999999997</v>
      </c>
      <c r="I23" s="1"/>
      <c r="J23" s="5">
        <f t="shared" si="14"/>
        <v>3.6765671857861983E-2</v>
      </c>
      <c r="K23" s="1"/>
      <c r="L23" s="1">
        <f t="shared" si="15"/>
        <v>-995.66999999999962</v>
      </c>
      <c r="M23" s="1"/>
      <c r="N23" s="5">
        <f t="shared" si="16"/>
        <v>-0.34880103694102388</v>
      </c>
      <c r="O23" s="13"/>
      <c r="P23" s="1">
        <f>SUM(OSRRefP22_0x_0)</f>
        <v>25657.98</v>
      </c>
      <c r="Q23" s="1"/>
      <c r="R23" s="5">
        <f t="shared" si="17"/>
        <v>3.7190015442753584E-2</v>
      </c>
      <c r="S23" s="1"/>
      <c r="T23" s="1">
        <f>SUM(OSRRefT22_0x_0)</f>
        <v>25059.27</v>
      </c>
      <c r="U23" s="1"/>
      <c r="V23" s="5">
        <f t="shared" si="18"/>
        <v>2.7546204112633973E-2</v>
      </c>
      <c r="W23" s="1"/>
      <c r="X23" s="1">
        <f t="shared" si="19"/>
        <v>598.70999999999913</v>
      </c>
      <c r="Y23" s="1"/>
      <c r="Z23" s="5">
        <f t="shared" si="20"/>
        <v>2.389175742150506E-2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318.24</v>
      </c>
      <c r="E24" s="2"/>
      <c r="F24" s="7">
        <f t="shared" si="13"/>
        <v>0</v>
      </c>
      <c r="G24" s="2"/>
      <c r="H24" s="6">
        <v>892.45</v>
      </c>
      <c r="I24" s="2"/>
      <c r="J24" s="7">
        <f t="shared" si="14"/>
        <v>1.1494464573942979E-2</v>
      </c>
      <c r="K24" s="2"/>
      <c r="L24" s="6">
        <f t="shared" si="15"/>
        <v>-574.21</v>
      </c>
      <c r="M24" s="2"/>
      <c r="N24" s="7">
        <f t="shared" si="16"/>
        <v>-0.64340859431900943</v>
      </c>
      <c r="O24" s="11"/>
      <c r="P24" s="6">
        <v>5486.3</v>
      </c>
      <c r="Q24" s="2"/>
      <c r="R24" s="7">
        <f t="shared" si="17"/>
        <v>7.9521295800986276E-3</v>
      </c>
      <c r="S24" s="2"/>
      <c r="T24" s="6">
        <v>5960.34</v>
      </c>
      <c r="U24" s="2"/>
      <c r="V24" s="7">
        <f t="shared" si="18"/>
        <v>6.5518565473254714E-3</v>
      </c>
      <c r="W24" s="2"/>
      <c r="X24" s="6">
        <f t="shared" si="19"/>
        <v>-474.03999999999996</v>
      </c>
      <c r="Y24" s="2"/>
      <c r="Z24" s="7">
        <f t="shared" si="20"/>
        <v>-7.9532375669844335E-2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118.56</v>
      </c>
      <c r="E25" s="2"/>
      <c r="F25" s="7">
        <f t="shared" si="13"/>
        <v>0</v>
      </c>
      <c r="G25" s="2"/>
      <c r="H25" s="6">
        <v>254.93</v>
      </c>
      <c r="I25" s="2"/>
      <c r="J25" s="7">
        <f t="shared" si="14"/>
        <v>3.2834151536055615E-3</v>
      </c>
      <c r="K25" s="2"/>
      <c r="L25" s="6">
        <f t="shared" si="15"/>
        <v>-136.37</v>
      </c>
      <c r="M25" s="2"/>
      <c r="N25" s="7">
        <f t="shared" si="16"/>
        <v>-0.53493115757266696</v>
      </c>
      <c r="O25" s="11"/>
      <c r="P25" s="6">
        <v>3035.01</v>
      </c>
      <c r="Q25" s="2"/>
      <c r="R25" s="7">
        <f t="shared" si="17"/>
        <v>4.3991019078240597E-3</v>
      </c>
      <c r="S25" s="2"/>
      <c r="T25" s="6">
        <v>2081.52</v>
      </c>
      <c r="U25" s="2"/>
      <c r="V25" s="7">
        <f t="shared" si="18"/>
        <v>2.288094377231654E-3</v>
      </c>
      <c r="W25" s="2"/>
      <c r="X25" s="6">
        <f t="shared" si="19"/>
        <v>953.49000000000024</v>
      </c>
      <c r="Y25" s="2"/>
      <c r="Z25" s="7">
        <f t="shared" si="20"/>
        <v>0.45807390752911348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683.68</v>
      </c>
      <c r="E26" s="2"/>
      <c r="F26" s="7">
        <f t="shared" si="13"/>
        <v>0</v>
      </c>
      <c r="G26" s="2"/>
      <c r="H26" s="6">
        <v>641.14</v>
      </c>
      <c r="I26" s="2"/>
      <c r="J26" s="7">
        <f t="shared" si="14"/>
        <v>8.2576738382405743E-3</v>
      </c>
      <c r="K26" s="2"/>
      <c r="L26" s="6">
        <f t="shared" si="15"/>
        <v>42.539999999999964</v>
      </c>
      <c r="M26" s="2"/>
      <c r="N26" s="7">
        <f t="shared" si="16"/>
        <v>6.6350563059550116E-2</v>
      </c>
      <c r="O26" s="11"/>
      <c r="P26" s="6">
        <v>7265.24</v>
      </c>
      <c r="Q26" s="2"/>
      <c r="R26" s="7">
        <f t="shared" si="17"/>
        <v>1.0530618068737721E-2</v>
      </c>
      <c r="S26" s="2"/>
      <c r="T26" s="6">
        <v>6928.58</v>
      </c>
      <c r="U26" s="2"/>
      <c r="V26" s="7">
        <f t="shared" si="18"/>
        <v>7.616186700199706E-3</v>
      </c>
      <c r="W26" s="2"/>
      <c r="X26" s="6">
        <f t="shared" si="19"/>
        <v>336.65999999999985</v>
      </c>
      <c r="Y26" s="2"/>
      <c r="Z26" s="7">
        <f t="shared" si="20"/>
        <v>4.8590042981390108E-2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16.22</v>
      </c>
      <c r="E27" s="2"/>
      <c r="F27" s="7">
        <f t="shared" si="13"/>
        <v>0</v>
      </c>
      <c r="G27" s="2"/>
      <c r="H27" s="6">
        <v>55.7</v>
      </c>
      <c r="I27" s="2"/>
      <c r="J27" s="7">
        <f t="shared" si="14"/>
        <v>7.173978113828493E-4</v>
      </c>
      <c r="K27" s="2"/>
      <c r="L27" s="6">
        <f t="shared" si="15"/>
        <v>-39.480000000000004</v>
      </c>
      <c r="M27" s="2"/>
      <c r="N27" s="7">
        <f t="shared" si="16"/>
        <v>-0.7087971274685817</v>
      </c>
      <c r="O27" s="11"/>
      <c r="P27" s="6">
        <v>460.49</v>
      </c>
      <c r="Q27" s="2"/>
      <c r="R27" s="7">
        <f t="shared" si="17"/>
        <v>6.6745824149966597E-4</v>
      </c>
      <c r="S27" s="2"/>
      <c r="T27" s="6">
        <v>507.59</v>
      </c>
      <c r="U27" s="2"/>
      <c r="V27" s="7">
        <f t="shared" si="18"/>
        <v>5.5796428808707827E-4</v>
      </c>
      <c r="W27" s="2"/>
      <c r="X27" s="6">
        <f t="shared" si="19"/>
        <v>-47.099999999999966</v>
      </c>
      <c r="Y27" s="2"/>
      <c r="Z27" s="7">
        <f t="shared" si="20"/>
        <v>-9.279142615102734E-2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290.58</v>
      </c>
      <c r="E28" s="2"/>
      <c r="F28" s="7">
        <f t="shared" si="13"/>
        <v>0</v>
      </c>
      <c r="G28" s="2"/>
      <c r="H28" s="6">
        <v>262.73</v>
      </c>
      <c r="I28" s="2"/>
      <c r="J28" s="7">
        <f t="shared" si="14"/>
        <v>3.3838766065460687E-3</v>
      </c>
      <c r="K28" s="2"/>
      <c r="L28" s="6">
        <f t="shared" si="15"/>
        <v>27.849999999999966</v>
      </c>
      <c r="M28" s="2"/>
      <c r="N28" s="7">
        <f t="shared" si="16"/>
        <v>0.10600235983709498</v>
      </c>
      <c r="O28" s="11"/>
      <c r="P28" s="6">
        <v>3062.22</v>
      </c>
      <c r="Q28" s="2"/>
      <c r="R28" s="7">
        <f t="shared" si="17"/>
        <v>4.4385415020632519E-3</v>
      </c>
      <c r="S28" s="2"/>
      <c r="T28" s="6">
        <v>3046.46</v>
      </c>
      <c r="U28" s="2"/>
      <c r="V28" s="7">
        <f t="shared" si="18"/>
        <v>3.3487970312373384E-3</v>
      </c>
      <c r="W28" s="2"/>
      <c r="X28" s="6">
        <f t="shared" si="19"/>
        <v>15.759999999999764</v>
      </c>
      <c r="Y28" s="2"/>
      <c r="Z28" s="7">
        <f t="shared" si="20"/>
        <v>5.1732174392572902E-3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239.72</v>
      </c>
      <c r="E29" s="2"/>
      <c r="F29" s="7">
        <f t="shared" si="13"/>
        <v>0</v>
      </c>
      <c r="G29" s="2"/>
      <c r="H29" s="6">
        <v>331.92</v>
      </c>
      <c r="I29" s="2"/>
      <c r="J29" s="7">
        <f t="shared" si="14"/>
        <v>4.2750212128221787E-3</v>
      </c>
      <c r="K29" s="2"/>
      <c r="L29" s="6">
        <f t="shared" si="15"/>
        <v>-92.200000000000017</v>
      </c>
      <c r="M29" s="2"/>
      <c r="N29" s="7">
        <f t="shared" si="16"/>
        <v>-0.27777777777777779</v>
      </c>
      <c r="O29" s="11"/>
      <c r="P29" s="6">
        <v>2756.78</v>
      </c>
      <c r="Q29" s="2"/>
      <c r="R29" s="7">
        <f t="shared" si="17"/>
        <v>3.9958208234737976E-3</v>
      </c>
      <c r="S29" s="2"/>
      <c r="T29" s="6">
        <v>2650.03</v>
      </c>
      <c r="U29" s="2"/>
      <c r="V29" s="7">
        <f t="shared" si="18"/>
        <v>2.9130244929163303E-3</v>
      </c>
      <c r="W29" s="2"/>
      <c r="X29" s="6">
        <f t="shared" si="19"/>
        <v>106.75</v>
      </c>
      <c r="Y29" s="2"/>
      <c r="Z29" s="7">
        <f t="shared" si="20"/>
        <v>4.0282562838911254E-2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191.88</v>
      </c>
      <c r="E30" s="2"/>
      <c r="F30" s="7">
        <f t="shared" si="13"/>
        <v>0</v>
      </c>
      <c r="G30" s="2"/>
      <c r="H30" s="6">
        <v>265.68</v>
      </c>
      <c r="I30" s="2"/>
      <c r="J30" s="7">
        <f t="shared" si="14"/>
        <v>3.4218716432351062E-3</v>
      </c>
      <c r="K30" s="2"/>
      <c r="L30" s="6">
        <f t="shared" si="15"/>
        <v>-73.800000000000011</v>
      </c>
      <c r="M30" s="2"/>
      <c r="N30" s="7">
        <f t="shared" si="16"/>
        <v>-0.27777777777777779</v>
      </c>
      <c r="O30" s="11"/>
      <c r="P30" s="6">
        <v>2206.62</v>
      </c>
      <c r="Q30" s="2"/>
      <c r="R30" s="7">
        <f t="shared" si="17"/>
        <v>3.1983902036048398E-3</v>
      </c>
      <c r="S30" s="2"/>
      <c r="T30" s="6">
        <v>2240.84</v>
      </c>
      <c r="U30" s="2"/>
      <c r="V30" s="7">
        <f t="shared" si="18"/>
        <v>2.4632256256369284E-3</v>
      </c>
      <c r="W30" s="2"/>
      <c r="X30" s="6">
        <f t="shared" si="19"/>
        <v>-34.220000000000255</v>
      </c>
      <c r="Y30" s="2"/>
      <c r="Z30" s="7">
        <f t="shared" si="20"/>
        <v>-1.5271059067135651E-2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150</v>
      </c>
      <c r="I31" s="2"/>
      <c r="J31" s="7">
        <f t="shared" si="14"/>
        <v>1.9319510180866679E-3</v>
      </c>
      <c r="K31" s="2"/>
      <c r="L31" s="6">
        <f t="shared" si="15"/>
        <v>-150</v>
      </c>
      <c r="M31" s="2"/>
      <c r="N31" s="7">
        <f t="shared" si="16"/>
        <v>-1</v>
      </c>
      <c r="O31" s="11"/>
      <c r="P31" s="6">
        <v>1385.32</v>
      </c>
      <c r="Q31" s="2"/>
      <c r="R31" s="7">
        <f t="shared" si="17"/>
        <v>2.0079551154516214E-3</v>
      </c>
      <c r="S31" s="2"/>
      <c r="T31" s="6">
        <v>1643.91</v>
      </c>
      <c r="U31" s="2"/>
      <c r="V31" s="7">
        <f t="shared" si="18"/>
        <v>1.8070550499994658E-3</v>
      </c>
      <c r="W31" s="2"/>
      <c r="X31" s="6">
        <f t="shared" si="19"/>
        <v>-258.59000000000015</v>
      </c>
      <c r="Y31" s="2"/>
      <c r="Z31" s="7">
        <f t="shared" si="20"/>
        <v>-0.15730179876027284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3328</v>
      </c>
      <c r="E32" s="1"/>
      <c r="F32" s="5">
        <f t="shared" ref="F32:F37" si="21">IF(D$12=0,0,D32/D$12)</f>
        <v>0</v>
      </c>
      <c r="G32" s="1"/>
      <c r="H32" s="1">
        <f>SUM(OSRRefH22_1x_0)</f>
        <v>23104.379999999997</v>
      </c>
      <c r="I32" s="1"/>
      <c r="J32" s="5">
        <f t="shared" ref="J32:J37" si="22">IF(H$12=0,0,H32/H$12)</f>
        <v>0.29757686975507491</v>
      </c>
      <c r="K32" s="1"/>
      <c r="L32" s="1">
        <f t="shared" ref="L32:L37" si="23">+D32-H32</f>
        <v>-19776.379999999997</v>
      </c>
      <c r="M32" s="1"/>
      <c r="N32" s="5">
        <f t="shared" ref="N32:N37" si="24">IF(H32=0,0,L32/H32)</f>
        <v>-0.85595804778141638</v>
      </c>
      <c r="O32" s="13"/>
      <c r="P32" s="1">
        <f>SUM(OSRRefP22_1x_0)</f>
        <v>164593.33999999997</v>
      </c>
      <c r="Q32" s="1"/>
      <c r="R32" s="5">
        <f t="shared" ref="R32:R37" si="25">IF(P$12=0,0,P32/P$12)</f>
        <v>0.23857017802548719</v>
      </c>
      <c r="S32" s="1"/>
      <c r="T32" s="1">
        <f>SUM(OSRRefT22_1x_0)</f>
        <v>188696.16999999998</v>
      </c>
      <c r="U32" s="1"/>
      <c r="V32" s="5">
        <f t="shared" ref="V32:V37" si="26">IF(T$12=0,0,T32/T$12)</f>
        <v>0.20742277065901277</v>
      </c>
      <c r="W32" s="1"/>
      <c r="X32" s="1">
        <f t="shared" ref="X32:X37" si="27">+P32-T32</f>
        <v>-24102.830000000016</v>
      </c>
      <c r="Y32" s="1"/>
      <c r="Z32" s="5">
        <f t="shared" ref="Z32:Z37" si="28">IF(T32=0,0,X32/T32)</f>
        <v>-0.12773354117362329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3328</v>
      </c>
      <c r="E33" s="2"/>
      <c r="F33" s="7">
        <f t="shared" si="21"/>
        <v>0</v>
      </c>
      <c r="G33" s="2"/>
      <c r="H33" s="6">
        <v>4416</v>
      </c>
      <c r="I33" s="2"/>
      <c r="J33" s="7">
        <f t="shared" si="22"/>
        <v>5.68766379724715E-2</v>
      </c>
      <c r="K33" s="2"/>
      <c r="L33" s="6">
        <f t="shared" si="23"/>
        <v>-1088</v>
      </c>
      <c r="M33" s="2"/>
      <c r="N33" s="7">
        <f t="shared" si="24"/>
        <v>-0.24637681159420291</v>
      </c>
      <c r="O33" s="11"/>
      <c r="P33" s="6">
        <v>42152</v>
      </c>
      <c r="Q33" s="2"/>
      <c r="R33" s="7">
        <f t="shared" si="25"/>
        <v>6.1097308944154959E-2</v>
      </c>
      <c r="S33" s="2"/>
      <c r="T33" s="6">
        <v>41031.08</v>
      </c>
      <c r="U33" s="2"/>
      <c r="V33" s="7">
        <f t="shared" si="26"/>
        <v>4.5103089780421123E-2</v>
      </c>
      <c r="W33" s="2"/>
      <c r="X33" s="6">
        <f t="shared" si="27"/>
        <v>1120.9199999999983</v>
      </c>
      <c r="Y33" s="2"/>
      <c r="Z33" s="7">
        <f t="shared" si="28"/>
        <v>2.7318803209664434E-2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9018.76</v>
      </c>
      <c r="Q34" s="2"/>
      <c r="R34" s="7">
        <f t="shared" si="25"/>
        <v>1.3072261482567541E-2</v>
      </c>
      <c r="S34" s="2"/>
      <c r="T34" s="6"/>
      <c r="U34" s="2"/>
      <c r="V34" s="7">
        <f t="shared" si="26"/>
        <v>0</v>
      </c>
      <c r="W34" s="2"/>
      <c r="X34" s="6">
        <f t="shared" si="27"/>
        <v>9018.76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1239.94</v>
      </c>
      <c r="I35" s="2"/>
      <c r="J35" s="7">
        <f t="shared" si="22"/>
        <v>1.5970022302442554E-2</v>
      </c>
      <c r="K35" s="2"/>
      <c r="L35" s="6">
        <f t="shared" si="23"/>
        <v>-1239.94</v>
      </c>
      <c r="M35" s="2"/>
      <c r="N35" s="7">
        <f t="shared" si="24"/>
        <v>-1</v>
      </c>
      <c r="O35" s="11"/>
      <c r="P35" s="6">
        <v>1199.43</v>
      </c>
      <c r="Q35" s="2"/>
      <c r="R35" s="7">
        <f t="shared" si="25"/>
        <v>1.7385164468326007E-3</v>
      </c>
      <c r="S35" s="2"/>
      <c r="T35" s="6">
        <v>18579.47</v>
      </c>
      <c r="U35" s="2"/>
      <c r="V35" s="7">
        <f t="shared" si="26"/>
        <v>2.0423335273715457E-2</v>
      </c>
      <c r="W35" s="2"/>
      <c r="X35" s="6">
        <f t="shared" si="27"/>
        <v>-17380.04</v>
      </c>
      <c r="Y35" s="2"/>
      <c r="Z35" s="7">
        <f t="shared" si="28"/>
        <v>-0.93544326076039841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16446.439999999999</v>
      </c>
      <c r="I36" s="2"/>
      <c r="J36" s="7">
        <f t="shared" si="22"/>
        <v>0.21182477667934196</v>
      </c>
      <c r="K36" s="2"/>
      <c r="L36" s="6">
        <f t="shared" si="23"/>
        <v>-16446.439999999999</v>
      </c>
      <c r="M36" s="2"/>
      <c r="N36" s="7">
        <f t="shared" si="24"/>
        <v>-1</v>
      </c>
      <c r="O36" s="11"/>
      <c r="P36" s="6">
        <v>109564.34999999999</v>
      </c>
      <c r="Q36" s="2"/>
      <c r="R36" s="7">
        <f t="shared" si="25"/>
        <v>0.15880828765457211</v>
      </c>
      <c r="S36" s="2"/>
      <c r="T36" s="6">
        <v>124761.87</v>
      </c>
      <c r="U36" s="2"/>
      <c r="V36" s="7">
        <f t="shared" si="26"/>
        <v>0.13714349765551451</v>
      </c>
      <c r="W36" s="2"/>
      <c r="X36" s="6">
        <f t="shared" si="27"/>
        <v>-15197.520000000004</v>
      </c>
      <c r="Y36" s="2"/>
      <c r="Z36" s="7">
        <f t="shared" si="28"/>
        <v>-0.12181221714615215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1002</v>
      </c>
      <c r="I37" s="2"/>
      <c r="J37" s="7">
        <f t="shared" si="22"/>
        <v>1.290543280081894E-2</v>
      </c>
      <c r="K37" s="2"/>
      <c r="L37" s="6">
        <f t="shared" si="23"/>
        <v>-1002</v>
      </c>
      <c r="M37" s="2"/>
      <c r="N37" s="7">
        <f t="shared" si="24"/>
        <v>-1</v>
      </c>
      <c r="O37" s="11"/>
      <c r="P37" s="6">
        <v>2658.8</v>
      </c>
      <c r="Q37" s="2"/>
      <c r="R37" s="7">
        <f t="shared" si="25"/>
        <v>3.8538034973600119E-3</v>
      </c>
      <c r="S37" s="2"/>
      <c r="T37" s="6">
        <v>4323.75</v>
      </c>
      <c r="U37" s="2"/>
      <c r="V37" s="7">
        <f t="shared" si="26"/>
        <v>4.7528479493616988E-3</v>
      </c>
      <c r="W37" s="2"/>
      <c r="X37" s="6">
        <f t="shared" si="27"/>
        <v>-1664.9499999999998</v>
      </c>
      <c r="Y37" s="2"/>
      <c r="Z37" s="7">
        <f t="shared" si="28"/>
        <v>-0.38507082971957207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8" si="29">IF(D$12=0,0,D38/D$12)</f>
        <v>0</v>
      </c>
      <c r="G38" s="1"/>
      <c r="H38" s="1">
        <f>SUM(OSRRefH22_2x_0)</f>
        <v>72</v>
      </c>
      <c r="I38" s="1"/>
      <c r="J38" s="5">
        <f t="shared" ref="J38:J58" si="30">IF(H$12=0,0,H38/H$12)</f>
        <v>9.2733648868160057E-4</v>
      </c>
      <c r="K38" s="1"/>
      <c r="L38" s="1">
        <f t="shared" ref="L38:L58" si="31">+D38-H38</f>
        <v>-72</v>
      </c>
      <c r="M38" s="1"/>
      <c r="N38" s="5">
        <f t="shared" ref="N38:N58" si="32">IF(H38=0,0,L38/H38)</f>
        <v>-1</v>
      </c>
      <c r="O38" s="13"/>
      <c r="P38" s="1">
        <f>SUM(OSRRefP22_2x_0)</f>
        <v>262.2</v>
      </c>
      <c r="Q38" s="1"/>
      <c r="R38" s="5">
        <f t="shared" ref="R38:R58" si="33">IF(P$12=0,0,P38/P$12)</f>
        <v>3.8004636565661012E-4</v>
      </c>
      <c r="S38" s="1"/>
      <c r="T38" s="1">
        <f>SUM(OSRRefT22_2x_0)</f>
        <v>438.35</v>
      </c>
      <c r="U38" s="1"/>
      <c r="V38" s="5">
        <f t="shared" ref="V38:V58" si="34">IF(T$12=0,0,T38/T$12)</f>
        <v>4.8185276637240841E-4</v>
      </c>
      <c r="W38" s="1"/>
      <c r="X38" s="1">
        <f t="shared" ref="X38:X58" si="35">+P38-T38</f>
        <v>-176.15000000000003</v>
      </c>
      <c r="Y38" s="1"/>
      <c r="Z38" s="5">
        <f t="shared" ref="Z38:Z58" si="36">IF(T38=0,0,X38/T38)</f>
        <v>-0.40184783848522876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9"/>
        <v>0</v>
      </c>
      <c r="G39" s="2"/>
      <c r="H39" s="6">
        <v>72</v>
      </c>
      <c r="I39" s="2"/>
      <c r="J39" s="7">
        <f t="shared" si="30"/>
        <v>9.2733648868160057E-4</v>
      </c>
      <c r="K39" s="2"/>
      <c r="L39" s="6">
        <f t="shared" si="31"/>
        <v>-72</v>
      </c>
      <c r="M39" s="2"/>
      <c r="N39" s="7">
        <f t="shared" si="32"/>
        <v>-1</v>
      </c>
      <c r="O39" s="11"/>
      <c r="P39" s="6">
        <v>262.2</v>
      </c>
      <c r="Q39" s="2"/>
      <c r="R39" s="7">
        <f t="shared" si="33"/>
        <v>3.8004636565661012E-4</v>
      </c>
      <c r="S39" s="2"/>
      <c r="T39" s="6">
        <v>438.35</v>
      </c>
      <c r="U39" s="2"/>
      <c r="V39" s="7">
        <f t="shared" si="34"/>
        <v>4.8185276637240841E-4</v>
      </c>
      <c r="W39" s="2"/>
      <c r="X39" s="6">
        <f t="shared" si="35"/>
        <v>-176.15000000000003</v>
      </c>
      <c r="Y39" s="2"/>
      <c r="Z39" s="7">
        <f t="shared" si="36"/>
        <v>-0.40184783848522876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-80.86</v>
      </c>
      <c r="I40" s="1"/>
      <c r="J40" s="5">
        <f t="shared" si="30"/>
        <v>-1.0414503954832531E-3</v>
      </c>
      <c r="K40" s="1"/>
      <c r="L40" s="1">
        <f t="shared" si="31"/>
        <v>80.86</v>
      </c>
      <c r="M40" s="1"/>
      <c r="N40" s="5">
        <f t="shared" si="32"/>
        <v>-1</v>
      </c>
      <c r="O40" s="13"/>
      <c r="P40" s="1">
        <f>SUM(OSRRefP22_3x_0)</f>
        <v>-53.23</v>
      </c>
      <c r="Q40" s="1"/>
      <c r="R40" s="5">
        <f t="shared" si="33"/>
        <v>-7.7154340365756508E-5</v>
      </c>
      <c r="S40" s="1"/>
      <c r="T40" s="1">
        <f>SUM(OSRRefT22_3x_0)</f>
        <v>-275.94</v>
      </c>
      <c r="U40" s="1"/>
      <c r="V40" s="5">
        <f t="shared" si="34"/>
        <v>-3.0332485993567323E-4</v>
      </c>
      <c r="W40" s="1"/>
      <c r="X40" s="1">
        <f t="shared" si="35"/>
        <v>222.71</v>
      </c>
      <c r="Y40" s="1"/>
      <c r="Z40" s="5">
        <f t="shared" si="36"/>
        <v>-0.80709574545190987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-80.86</v>
      </c>
      <c r="I41" s="2"/>
      <c r="J41" s="7">
        <f t="shared" si="30"/>
        <v>-1.0414503954832531E-3</v>
      </c>
      <c r="K41" s="2"/>
      <c r="L41" s="6">
        <f t="shared" si="31"/>
        <v>80.86</v>
      </c>
      <c r="M41" s="2"/>
      <c r="N41" s="7">
        <f t="shared" si="32"/>
        <v>-1</v>
      </c>
      <c r="O41" s="11"/>
      <c r="P41" s="6">
        <v>-53.23</v>
      </c>
      <c r="Q41" s="2"/>
      <c r="R41" s="7">
        <f t="shared" si="33"/>
        <v>-7.7154340365756508E-5</v>
      </c>
      <c r="S41" s="2"/>
      <c r="T41" s="6">
        <v>-275.94</v>
      </c>
      <c r="U41" s="2"/>
      <c r="V41" s="7">
        <f t="shared" si="34"/>
        <v>-3.0332485993567323E-4</v>
      </c>
      <c r="W41" s="2"/>
      <c r="X41" s="6">
        <f t="shared" si="35"/>
        <v>222.71</v>
      </c>
      <c r="Y41" s="2"/>
      <c r="Z41" s="7">
        <f t="shared" si="36"/>
        <v>-0.80709574545190987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2854.98</v>
      </c>
      <c r="I42" s="1"/>
      <c r="J42" s="5">
        <f t="shared" si="30"/>
        <v>3.6771210117447169E-2</v>
      </c>
      <c r="K42" s="1"/>
      <c r="L42" s="1">
        <f t="shared" si="31"/>
        <v>-2854.98</v>
      </c>
      <c r="M42" s="1"/>
      <c r="N42" s="5">
        <f t="shared" si="32"/>
        <v>-1</v>
      </c>
      <c r="O42" s="13"/>
      <c r="P42" s="1">
        <f>SUM(OSRRefP22_4x_0)</f>
        <v>25665.63</v>
      </c>
      <c r="Q42" s="1"/>
      <c r="R42" s="5">
        <f t="shared" si="33"/>
        <v>3.7201103752049061E-2</v>
      </c>
      <c r="S42" s="1"/>
      <c r="T42" s="1">
        <f>SUM(OSRRefT22_4x_0)</f>
        <v>29842.899999999998</v>
      </c>
      <c r="U42" s="1"/>
      <c r="V42" s="5">
        <f t="shared" si="34"/>
        <v>3.2804571510380166E-2</v>
      </c>
      <c r="W42" s="1"/>
      <c r="X42" s="1">
        <f t="shared" si="35"/>
        <v>-4177.2699999999968</v>
      </c>
      <c r="Y42" s="1"/>
      <c r="Z42" s="5">
        <f t="shared" si="36"/>
        <v>-0.13997533751746638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>
        <v>2854.98</v>
      </c>
      <c r="I43" s="2"/>
      <c r="J43" s="7">
        <f t="shared" si="30"/>
        <v>3.6771210117447169E-2</v>
      </c>
      <c r="K43" s="2"/>
      <c r="L43" s="6">
        <f t="shared" si="31"/>
        <v>-2854.98</v>
      </c>
      <c r="M43" s="2"/>
      <c r="N43" s="7">
        <f t="shared" si="32"/>
        <v>-1</v>
      </c>
      <c r="O43" s="11"/>
      <c r="P43" s="6">
        <v>25665.63</v>
      </c>
      <c r="Q43" s="2"/>
      <c r="R43" s="7">
        <f t="shared" si="33"/>
        <v>3.7201103752049061E-2</v>
      </c>
      <c r="S43" s="2"/>
      <c r="T43" s="6">
        <v>29842.899999999998</v>
      </c>
      <c r="U43" s="2"/>
      <c r="V43" s="7">
        <f t="shared" si="34"/>
        <v>3.2804571510380166E-2</v>
      </c>
      <c r="W43" s="2"/>
      <c r="X43" s="6">
        <f t="shared" si="35"/>
        <v>-4177.2699999999968</v>
      </c>
      <c r="Y43" s="2"/>
      <c r="Z43" s="7">
        <f t="shared" si="36"/>
        <v>-0.13997533751746638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2017.34</v>
      </c>
      <c r="E44" s="1"/>
      <c r="F44" s="5">
        <f t="shared" si="29"/>
        <v>0</v>
      </c>
      <c r="G44" s="1"/>
      <c r="H44" s="1">
        <f>SUM(OSRRefH22_5x_0)</f>
        <v>2114.5700000000002</v>
      </c>
      <c r="I44" s="1"/>
      <c r="J44" s="5">
        <f t="shared" si="30"/>
        <v>2.7234971095436836E-2</v>
      </c>
      <c r="K44" s="1"/>
      <c r="L44" s="1">
        <f t="shared" si="31"/>
        <v>-97.230000000000246</v>
      </c>
      <c r="M44" s="1"/>
      <c r="N44" s="5">
        <f t="shared" si="32"/>
        <v>-4.5980979584501924E-2</v>
      </c>
      <c r="O44" s="13"/>
      <c r="P44" s="1">
        <f>SUM(OSRRefP22_5x_0)</f>
        <v>20912.66</v>
      </c>
      <c r="Q44" s="1"/>
      <c r="R44" s="5">
        <f t="shared" si="33"/>
        <v>3.0311900950466684E-2</v>
      </c>
      <c r="S44" s="1"/>
      <c r="T44" s="1">
        <f>SUM(OSRRefT22_5x_0)</f>
        <v>23260.769999999997</v>
      </c>
      <c r="U44" s="1"/>
      <c r="V44" s="5">
        <f t="shared" si="34"/>
        <v>2.556921722927415E-2</v>
      </c>
      <c r="W44" s="1"/>
      <c r="X44" s="1">
        <f t="shared" si="35"/>
        <v>-2348.1099999999969</v>
      </c>
      <c r="Y44" s="1"/>
      <c r="Z44" s="5">
        <f t="shared" si="36"/>
        <v>-0.10094721713855548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2017.34</v>
      </c>
      <c r="E45" s="2"/>
      <c r="F45" s="7">
        <f t="shared" si="29"/>
        <v>0</v>
      </c>
      <c r="G45" s="2"/>
      <c r="H45" s="6">
        <v>2114.5700000000002</v>
      </c>
      <c r="I45" s="2"/>
      <c r="J45" s="7">
        <f t="shared" si="30"/>
        <v>2.7234971095436836E-2</v>
      </c>
      <c r="K45" s="2"/>
      <c r="L45" s="6">
        <f t="shared" si="31"/>
        <v>-97.230000000000246</v>
      </c>
      <c r="M45" s="2"/>
      <c r="N45" s="7">
        <f t="shared" si="32"/>
        <v>-4.5980979584501924E-2</v>
      </c>
      <c r="O45" s="11"/>
      <c r="P45" s="6">
        <v>20912.66</v>
      </c>
      <c r="Q45" s="2"/>
      <c r="R45" s="7">
        <f t="shared" si="33"/>
        <v>3.0311900950466684E-2</v>
      </c>
      <c r="S45" s="2"/>
      <c r="T45" s="6">
        <v>23260.769999999997</v>
      </c>
      <c r="U45" s="2"/>
      <c r="V45" s="7">
        <f t="shared" si="34"/>
        <v>2.556921722927415E-2</v>
      </c>
      <c r="W45" s="2"/>
      <c r="X45" s="6">
        <f t="shared" si="35"/>
        <v>-2348.1099999999969</v>
      </c>
      <c r="Y45" s="2"/>
      <c r="Z45" s="7">
        <f t="shared" si="36"/>
        <v>-0.10094721713855548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9"/>
        <v>0</v>
      </c>
      <c r="G46" s="1"/>
      <c r="H46" s="1">
        <f>SUM(OSRRefH22_6x_0)</f>
        <v>96.5</v>
      </c>
      <c r="I46" s="1"/>
      <c r="J46" s="5">
        <f t="shared" si="30"/>
        <v>1.242888488302423E-3</v>
      </c>
      <c r="K46" s="1"/>
      <c r="L46" s="1">
        <f t="shared" si="31"/>
        <v>-96.5</v>
      </c>
      <c r="M46" s="1"/>
      <c r="N46" s="5">
        <f t="shared" si="32"/>
        <v>-1</v>
      </c>
      <c r="O46" s="13"/>
      <c r="P46" s="1">
        <f>SUM(OSRRefP22_6x_0)</f>
        <v>0</v>
      </c>
      <c r="Q46" s="1"/>
      <c r="R46" s="5">
        <f t="shared" si="33"/>
        <v>0</v>
      </c>
      <c r="S46" s="1"/>
      <c r="T46" s="1">
        <f>SUM(OSRRefT22_6x_0)</f>
        <v>172.13</v>
      </c>
      <c r="U46" s="1"/>
      <c r="V46" s="5">
        <f t="shared" si="34"/>
        <v>1.8921253946773732E-4</v>
      </c>
      <c r="W46" s="1"/>
      <c r="X46" s="1">
        <f t="shared" si="35"/>
        <v>-172.13</v>
      </c>
      <c r="Y46" s="1"/>
      <c r="Z46" s="5">
        <f t="shared" si="36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9"/>
        <v>0</v>
      </c>
      <c r="G47" s="2"/>
      <c r="H47" s="6">
        <v>96.5</v>
      </c>
      <c r="I47" s="2"/>
      <c r="J47" s="7">
        <f t="shared" si="30"/>
        <v>1.242888488302423E-3</v>
      </c>
      <c r="K47" s="2"/>
      <c r="L47" s="6">
        <f t="shared" si="31"/>
        <v>-96.5</v>
      </c>
      <c r="M47" s="2"/>
      <c r="N47" s="7">
        <f t="shared" si="32"/>
        <v>-1</v>
      </c>
      <c r="O47" s="11"/>
      <c r="P47" s="6"/>
      <c r="Q47" s="2"/>
      <c r="R47" s="7">
        <f t="shared" si="33"/>
        <v>0</v>
      </c>
      <c r="S47" s="2"/>
      <c r="T47" s="6">
        <v>172.13</v>
      </c>
      <c r="U47" s="2"/>
      <c r="V47" s="7">
        <f t="shared" si="34"/>
        <v>1.8921253946773732E-4</v>
      </c>
      <c r="W47" s="2"/>
      <c r="X47" s="6">
        <f t="shared" si="35"/>
        <v>-172.13</v>
      </c>
      <c r="Y47" s="2"/>
      <c r="Z47" s="7">
        <f t="shared" si="36"/>
        <v>-1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29"/>
        <v>0</v>
      </c>
      <c r="G48" s="1"/>
      <c r="H48" s="1">
        <f>SUM(OSRRefH22_7x_0)</f>
        <v>34.159999999999997</v>
      </c>
      <c r="I48" s="1"/>
      <c r="J48" s="5">
        <f t="shared" si="30"/>
        <v>4.399696451856038E-4</v>
      </c>
      <c r="K48" s="1"/>
      <c r="L48" s="1">
        <f t="shared" si="31"/>
        <v>-34.159999999999997</v>
      </c>
      <c r="M48" s="1"/>
      <c r="N48" s="5">
        <f t="shared" si="32"/>
        <v>-1</v>
      </c>
      <c r="O48" s="13"/>
      <c r="P48" s="1">
        <f>SUM(OSRRefP22_7x_0)</f>
        <v>0</v>
      </c>
      <c r="Q48" s="1"/>
      <c r="R48" s="5">
        <f t="shared" si="33"/>
        <v>0</v>
      </c>
      <c r="S48" s="1"/>
      <c r="T48" s="1">
        <f>SUM(OSRRefT22_7x_0)</f>
        <v>34.159999999999997</v>
      </c>
      <c r="U48" s="1"/>
      <c r="V48" s="5">
        <f t="shared" si="34"/>
        <v>3.7550109499900695E-5</v>
      </c>
      <c r="W48" s="1"/>
      <c r="X48" s="1">
        <f t="shared" si="35"/>
        <v>-34.159999999999997</v>
      </c>
      <c r="Y48" s="1"/>
      <c r="Z48" s="5">
        <f t="shared" si="36"/>
        <v>-1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29"/>
        <v>0</v>
      </c>
      <c r="G49" s="2"/>
      <c r="H49" s="6">
        <v>34.159999999999997</v>
      </c>
      <c r="I49" s="2"/>
      <c r="J49" s="7">
        <f t="shared" si="30"/>
        <v>4.399696451856038E-4</v>
      </c>
      <c r="K49" s="2"/>
      <c r="L49" s="6">
        <f t="shared" si="31"/>
        <v>-34.159999999999997</v>
      </c>
      <c r="M49" s="2"/>
      <c r="N49" s="7">
        <f t="shared" si="32"/>
        <v>-1</v>
      </c>
      <c r="O49" s="11"/>
      <c r="P49" s="6"/>
      <c r="Q49" s="2"/>
      <c r="R49" s="7">
        <f t="shared" si="33"/>
        <v>0</v>
      </c>
      <c r="S49" s="2"/>
      <c r="T49" s="6">
        <v>34.159999999999997</v>
      </c>
      <c r="U49" s="2"/>
      <c r="V49" s="7">
        <f t="shared" si="34"/>
        <v>3.7550109499900695E-5</v>
      </c>
      <c r="W49" s="2"/>
      <c r="X49" s="6">
        <f t="shared" si="35"/>
        <v>-34.159999999999997</v>
      </c>
      <c r="Y49" s="2"/>
      <c r="Z49" s="7">
        <f t="shared" si="36"/>
        <v>-1</v>
      </c>
    </row>
    <row r="50" spans="1:26" s="27" customFormat="1" outlineLevel="1" collapsed="1" x14ac:dyDescent="0.25">
      <c r="A50" s="25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9"/>
        <v>0</v>
      </c>
      <c r="G50" s="1"/>
      <c r="H50" s="1">
        <f>SUM(OSRRefH22_8x_0)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3"/>
      <c r="P50" s="1">
        <f>SUM(OSRRefP22_8x_0)</f>
        <v>0</v>
      </c>
      <c r="Q50" s="1"/>
      <c r="R50" s="5">
        <f t="shared" si="33"/>
        <v>0</v>
      </c>
      <c r="S50" s="1"/>
      <c r="T50" s="1">
        <f>SUM(OSRRefT22_8x_0)</f>
        <v>-39.549999999999997</v>
      </c>
      <c r="U50" s="1"/>
      <c r="V50" s="5">
        <f t="shared" si="34"/>
        <v>-4.3475024318532566E-5</v>
      </c>
      <c r="W50" s="1"/>
      <c r="X50" s="1">
        <f t="shared" si="35"/>
        <v>39.549999999999997</v>
      </c>
      <c r="Y50" s="1"/>
      <c r="Z50" s="5">
        <f t="shared" si="36"/>
        <v>-1</v>
      </c>
    </row>
    <row r="51" spans="1:26" s="24" customFormat="1" hidden="1" outlineLevel="2" x14ac:dyDescent="0.25">
      <c r="A51" s="26"/>
      <c r="B51" s="11" t="str">
        <f>CONCATENATE("          ", "6307", " - ", "POSTAGE")</f>
        <v xml:space="preserve">          6307 - POSTAGE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/>
      <c r="Q51" s="2"/>
      <c r="R51" s="7">
        <f t="shared" si="33"/>
        <v>0</v>
      </c>
      <c r="S51" s="2"/>
      <c r="T51" s="6">
        <v>-39.549999999999997</v>
      </c>
      <c r="U51" s="2"/>
      <c r="V51" s="7">
        <f t="shared" si="34"/>
        <v>-4.3475024318532566E-5</v>
      </c>
      <c r="W51" s="2"/>
      <c r="X51" s="6">
        <f t="shared" si="35"/>
        <v>39.549999999999997</v>
      </c>
      <c r="Y51" s="2"/>
      <c r="Z51" s="7">
        <f t="shared" si="36"/>
        <v>-1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0</v>
      </c>
      <c r="E52" s="1"/>
      <c r="F52" s="5">
        <f t="shared" si="29"/>
        <v>0</v>
      </c>
      <c r="G52" s="1"/>
      <c r="H52" s="1">
        <f>SUM(OSRRefH22_9x_0)</f>
        <v>85.91</v>
      </c>
      <c r="I52" s="1"/>
      <c r="J52" s="5">
        <f t="shared" si="30"/>
        <v>1.1064927464255042E-3</v>
      </c>
      <c r="K52" s="1"/>
      <c r="L52" s="1">
        <f t="shared" si="31"/>
        <v>-85.91</v>
      </c>
      <c r="M52" s="1"/>
      <c r="N52" s="5">
        <f t="shared" si="32"/>
        <v>-1</v>
      </c>
      <c r="O52" s="13"/>
      <c r="P52" s="1">
        <f>SUM(OSRRefP22_9x_0)</f>
        <v>1231.03</v>
      </c>
      <c r="Q52" s="1"/>
      <c r="R52" s="5">
        <f t="shared" si="33"/>
        <v>1.7843191362099801E-3</v>
      </c>
      <c r="S52" s="1"/>
      <c r="T52" s="1">
        <f>SUM(OSRRefT22_9x_0)</f>
        <v>1648.17</v>
      </c>
      <c r="U52" s="1"/>
      <c r="V52" s="5">
        <f t="shared" si="34"/>
        <v>1.8117378212661396E-3</v>
      </c>
      <c r="W52" s="1"/>
      <c r="X52" s="1">
        <f t="shared" si="35"/>
        <v>-417.1400000000001</v>
      </c>
      <c r="Y52" s="1"/>
      <c r="Z52" s="5">
        <f t="shared" si="36"/>
        <v>-0.25309282416255607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85.91</v>
      </c>
      <c r="I53" s="2"/>
      <c r="J53" s="7">
        <f t="shared" si="30"/>
        <v>1.1064927464255042E-3</v>
      </c>
      <c r="K53" s="2"/>
      <c r="L53" s="6">
        <f t="shared" si="31"/>
        <v>-85.91</v>
      </c>
      <c r="M53" s="2"/>
      <c r="N53" s="7">
        <f t="shared" si="32"/>
        <v>-1</v>
      </c>
      <c r="O53" s="11"/>
      <c r="P53" s="6">
        <v>1231.03</v>
      </c>
      <c r="Q53" s="2"/>
      <c r="R53" s="7">
        <f t="shared" si="33"/>
        <v>1.7843191362099801E-3</v>
      </c>
      <c r="S53" s="2"/>
      <c r="T53" s="6">
        <v>1648.17</v>
      </c>
      <c r="U53" s="2"/>
      <c r="V53" s="7">
        <f t="shared" si="34"/>
        <v>1.8117378212661396E-3</v>
      </c>
      <c r="W53" s="2"/>
      <c r="X53" s="6">
        <f t="shared" si="35"/>
        <v>-417.1400000000001</v>
      </c>
      <c r="Y53" s="2"/>
      <c r="Z53" s="7">
        <f t="shared" si="36"/>
        <v>-0.25309282416255607</v>
      </c>
    </row>
    <row r="54" spans="1:26" s="27" customFormat="1" outlineLevel="1" collapsed="1" x14ac:dyDescent="0.25">
      <c r="A54" s="25"/>
      <c r="B54" s="13" t="str">
        <f>CONCATENATE("     ","Rent                                              ")</f>
        <v xml:space="preserve">     Rent                                              </v>
      </c>
      <c r="C54" s="13"/>
      <c r="D54" s="1">
        <f>SUM(OSRRefD22_10x_0)</f>
        <v>1150</v>
      </c>
      <c r="E54" s="1"/>
      <c r="F54" s="5">
        <f t="shared" si="29"/>
        <v>0</v>
      </c>
      <c r="G54" s="1"/>
      <c r="H54" s="1">
        <f>SUM(OSRRefH22_10x_0)</f>
        <v>1150</v>
      </c>
      <c r="I54" s="1"/>
      <c r="J54" s="5">
        <f t="shared" si="30"/>
        <v>1.4811624471997787E-2</v>
      </c>
      <c r="K54" s="1"/>
      <c r="L54" s="1">
        <f t="shared" si="31"/>
        <v>0</v>
      </c>
      <c r="M54" s="1"/>
      <c r="N54" s="5">
        <f t="shared" si="32"/>
        <v>0</v>
      </c>
      <c r="O54" s="13"/>
      <c r="P54" s="1">
        <f>SUM(OSRRefP22_10x_0)</f>
        <v>12650</v>
      </c>
      <c r="Q54" s="1"/>
      <c r="R54" s="5">
        <f t="shared" si="33"/>
        <v>1.833557027290663E-2</v>
      </c>
      <c r="S54" s="1"/>
      <c r="T54" s="1">
        <f>SUM(OSRRefT22_10x_0)</f>
        <v>12650</v>
      </c>
      <c r="U54" s="1"/>
      <c r="V54" s="5">
        <f t="shared" si="34"/>
        <v>1.3905412329442148E-2</v>
      </c>
      <c r="W54" s="1"/>
      <c r="X54" s="1">
        <f t="shared" si="35"/>
        <v>0</v>
      </c>
      <c r="Y54" s="1"/>
      <c r="Z54" s="5">
        <f t="shared" si="36"/>
        <v>0</v>
      </c>
    </row>
    <row r="55" spans="1:26" s="24" customFormat="1" hidden="1" outlineLevel="2" x14ac:dyDescent="0.25">
      <c r="A55" s="26"/>
      <c r="B55" s="11" t="str">
        <f>CONCATENATE("          ", "6273", " - ", "RENT")</f>
        <v xml:space="preserve">          6273 - RENT</v>
      </c>
      <c r="C55" s="11"/>
      <c r="D55" s="6">
        <v>1150</v>
      </c>
      <c r="E55" s="2"/>
      <c r="F55" s="7">
        <f t="shared" si="29"/>
        <v>0</v>
      </c>
      <c r="G55" s="2"/>
      <c r="H55" s="6">
        <v>1150</v>
      </c>
      <c r="I55" s="2"/>
      <c r="J55" s="7">
        <f t="shared" si="30"/>
        <v>1.4811624471997787E-2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12650</v>
      </c>
      <c r="Q55" s="2"/>
      <c r="R55" s="7">
        <f t="shared" si="33"/>
        <v>1.833557027290663E-2</v>
      </c>
      <c r="S55" s="2"/>
      <c r="T55" s="6">
        <v>12650</v>
      </c>
      <c r="U55" s="2"/>
      <c r="V55" s="7">
        <f t="shared" si="34"/>
        <v>1.3905412329442148E-2</v>
      </c>
      <c r="W55" s="2"/>
      <c r="X55" s="6">
        <f t="shared" si="35"/>
        <v>0</v>
      </c>
      <c r="Y55" s="2"/>
      <c r="Z55" s="7">
        <f t="shared" si="36"/>
        <v>0</v>
      </c>
    </row>
    <row r="56" spans="1:26" s="27" customFormat="1" outlineLevel="1" collapsed="1" x14ac:dyDescent="0.25">
      <c r="A56" s="25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102.5</v>
      </c>
      <c r="E56" s="1"/>
      <c r="F56" s="5">
        <f t="shared" si="29"/>
        <v>0</v>
      </c>
      <c r="G56" s="1"/>
      <c r="H56" s="1">
        <f>SUM(OSRRefH22_11x_0)</f>
        <v>422.27</v>
      </c>
      <c r="I56" s="1"/>
      <c r="J56" s="5">
        <f t="shared" si="30"/>
        <v>5.4386997093830479E-3</v>
      </c>
      <c r="K56" s="1"/>
      <c r="L56" s="1">
        <f t="shared" si="31"/>
        <v>-319.77</v>
      </c>
      <c r="M56" s="1"/>
      <c r="N56" s="5">
        <f t="shared" si="32"/>
        <v>-0.75726430956497026</v>
      </c>
      <c r="O56" s="13"/>
      <c r="P56" s="1">
        <f>SUM(OSRRefP22_11x_0)</f>
        <v>6496.54</v>
      </c>
      <c r="Q56" s="1"/>
      <c r="R56" s="5">
        <f t="shared" si="33"/>
        <v>9.4164241660671007E-3</v>
      </c>
      <c r="S56" s="1"/>
      <c r="T56" s="1">
        <f>SUM(OSRRefT22_11x_0)</f>
        <v>3731.91</v>
      </c>
      <c r="U56" s="1"/>
      <c r="V56" s="5">
        <f t="shared" si="34"/>
        <v>4.1022725159184543E-3</v>
      </c>
      <c r="W56" s="1"/>
      <c r="X56" s="1">
        <f t="shared" si="35"/>
        <v>2764.63</v>
      </c>
      <c r="Y56" s="1"/>
      <c r="Z56" s="5">
        <f t="shared" si="36"/>
        <v>0.74080832603144242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212.18</v>
      </c>
      <c r="Q57" s="2"/>
      <c r="R57" s="7">
        <f t="shared" si="33"/>
        <v>3.075447668383659E-4</v>
      </c>
      <c r="S57" s="2"/>
      <c r="T57" s="6">
        <v>202.41</v>
      </c>
      <c r="U57" s="2"/>
      <c r="V57" s="7">
        <f t="shared" si="34"/>
        <v>2.2249758969188817E-4</v>
      </c>
      <c r="W57" s="2"/>
      <c r="X57" s="6">
        <f t="shared" si="35"/>
        <v>9.7700000000000102</v>
      </c>
      <c r="Y57" s="2"/>
      <c r="Z57" s="7">
        <f t="shared" si="36"/>
        <v>4.8268366187441382E-2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102.5</v>
      </c>
      <c r="E58" s="2"/>
      <c r="F58" s="7">
        <f t="shared" si="29"/>
        <v>0</v>
      </c>
      <c r="G58" s="2"/>
      <c r="H58" s="6">
        <v>422.27</v>
      </c>
      <c r="I58" s="2"/>
      <c r="J58" s="7">
        <f t="shared" si="30"/>
        <v>5.4386997093830479E-3</v>
      </c>
      <c r="K58" s="2"/>
      <c r="L58" s="6">
        <f t="shared" si="31"/>
        <v>-319.77</v>
      </c>
      <c r="M58" s="2"/>
      <c r="N58" s="7">
        <f t="shared" si="32"/>
        <v>-0.75726430956497026</v>
      </c>
      <c r="O58" s="11"/>
      <c r="P58" s="6">
        <v>6284.36</v>
      </c>
      <c r="Q58" s="2"/>
      <c r="R58" s="7">
        <f t="shared" si="33"/>
        <v>9.1088793992287354E-3</v>
      </c>
      <c r="S58" s="2"/>
      <c r="T58" s="6">
        <v>3529.5</v>
      </c>
      <c r="U58" s="2"/>
      <c r="V58" s="7">
        <f t="shared" si="34"/>
        <v>3.8797749262265663E-3</v>
      </c>
      <c r="W58" s="2"/>
      <c r="X58" s="6">
        <f t="shared" si="35"/>
        <v>2754.8599999999997</v>
      </c>
      <c r="Y58" s="2"/>
      <c r="Z58" s="7">
        <f t="shared" si="36"/>
        <v>0.78052415356282745</v>
      </c>
    </row>
    <row r="59" spans="1:26" s="27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158.63</v>
      </c>
      <c r="E59" s="1"/>
      <c r="F59" s="5">
        <f t="shared" ref="F59:F62" si="37">IF(D$12=0,0,D59/D$12)</f>
        <v>0</v>
      </c>
      <c r="G59" s="1"/>
      <c r="H59" s="1">
        <f>SUM(OSRRefH22_12x_0)</f>
        <v>565.81999999999994</v>
      </c>
      <c r="I59" s="1"/>
      <c r="J59" s="5">
        <f t="shared" ref="J59:J62" si="38">IF(H$12=0,0,H59/H$12)</f>
        <v>7.2875768336919883E-3</v>
      </c>
      <c r="K59" s="1"/>
      <c r="L59" s="1">
        <f t="shared" ref="L59:L62" si="39">+D59-H59</f>
        <v>-407.18999999999994</v>
      </c>
      <c r="M59" s="1"/>
      <c r="N59" s="5">
        <f t="shared" ref="N59:N62" si="40">IF(H59=0,0,L59/H59)</f>
        <v>-0.71964582376020636</v>
      </c>
      <c r="O59" s="13"/>
      <c r="P59" s="1">
        <f>SUM(OSRRefP22_12x_0)</f>
        <v>4420.17</v>
      </c>
      <c r="Q59" s="1"/>
      <c r="R59" s="5">
        <f t="shared" ref="R59:R62" si="41">IF(P$12=0,0,P59/P$12)</f>
        <v>6.406825110924403E-3</v>
      </c>
      <c r="S59" s="1"/>
      <c r="T59" s="1">
        <f>SUM(OSRRefT22_12x_0)</f>
        <v>5438.79</v>
      </c>
      <c r="U59" s="1"/>
      <c r="V59" s="5">
        <f t="shared" ref="V59:V62" si="42">IF(T$12=0,0,T59/T$12)</f>
        <v>5.9785468397823447E-3</v>
      </c>
      <c r="W59" s="1"/>
      <c r="X59" s="1">
        <f t="shared" ref="X59:X62" si="43">+P59-T59</f>
        <v>-1018.6199999999999</v>
      </c>
      <c r="Y59" s="1"/>
      <c r="Z59" s="5">
        <f t="shared" ref="Z59:Z62" si="44">IF(T59=0,0,X59/T59)</f>
        <v>-0.18728798133408348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37"/>
        <v>0</v>
      </c>
      <c r="G60" s="2"/>
      <c r="H60" s="6">
        <v>116.81</v>
      </c>
      <c r="I60" s="2"/>
      <c r="J60" s="7">
        <f t="shared" si="38"/>
        <v>1.5044746561513579E-3</v>
      </c>
      <c r="K60" s="2"/>
      <c r="L60" s="6">
        <f t="shared" si="39"/>
        <v>-116.81</v>
      </c>
      <c r="M60" s="2"/>
      <c r="N60" s="7">
        <f t="shared" si="40"/>
        <v>-1</v>
      </c>
      <c r="O60" s="11"/>
      <c r="P60" s="6">
        <v>1051.29</v>
      </c>
      <c r="Q60" s="2"/>
      <c r="R60" s="7">
        <f t="shared" si="41"/>
        <v>1.5237945985932023E-3</v>
      </c>
      <c r="S60" s="2"/>
      <c r="T60" s="6">
        <v>1168.0999999999999</v>
      </c>
      <c r="U60" s="2"/>
      <c r="V60" s="7">
        <f t="shared" si="42"/>
        <v>1.2840246752586066E-3</v>
      </c>
      <c r="W60" s="2"/>
      <c r="X60" s="6">
        <f t="shared" si="43"/>
        <v>-116.80999999999995</v>
      </c>
      <c r="Y60" s="2"/>
      <c r="Z60" s="7">
        <f t="shared" si="44"/>
        <v>-9.9999999999999964E-2</v>
      </c>
    </row>
    <row r="61" spans="1:26" s="24" customFormat="1" hidden="1" outlineLevel="2" x14ac:dyDescent="0.25">
      <c r="A61" s="26"/>
      <c r="B61" s="11" t="str">
        <f>CONCATENATE("          ", "6285", " - ", "JANITORIAL SERVICES")</f>
        <v xml:space="preserve">          6285 - JANITORIAL SERVICES</v>
      </c>
      <c r="C61" s="11"/>
      <c r="D61" s="6">
        <v>81.040000000000006</v>
      </c>
      <c r="E61" s="2"/>
      <c r="F61" s="7">
        <f t="shared" si="37"/>
        <v>0</v>
      </c>
      <c r="G61" s="2"/>
      <c r="H61" s="6">
        <v>151.36000000000001</v>
      </c>
      <c r="I61" s="2"/>
      <c r="J61" s="7">
        <f t="shared" si="38"/>
        <v>1.9494673739839871E-3</v>
      </c>
      <c r="K61" s="2"/>
      <c r="L61" s="6">
        <f t="shared" si="39"/>
        <v>-70.320000000000007</v>
      </c>
      <c r="M61" s="2"/>
      <c r="N61" s="7">
        <f t="shared" si="40"/>
        <v>-0.46458773784355178</v>
      </c>
      <c r="O61" s="11"/>
      <c r="P61" s="6">
        <v>759.28</v>
      </c>
      <c r="Q61" s="2"/>
      <c r="R61" s="7">
        <f t="shared" si="41"/>
        <v>1.100540062989134E-3</v>
      </c>
      <c r="S61" s="2"/>
      <c r="T61" s="6">
        <v>799.9</v>
      </c>
      <c r="U61" s="2"/>
      <c r="V61" s="7">
        <f t="shared" si="42"/>
        <v>8.792837408949229E-4</v>
      </c>
      <c r="W61" s="2"/>
      <c r="X61" s="6">
        <f t="shared" si="43"/>
        <v>-40.620000000000005</v>
      </c>
      <c r="Y61" s="2"/>
      <c r="Z61" s="7">
        <f t="shared" si="44"/>
        <v>-5.0781347668458564E-2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77.59</v>
      </c>
      <c r="E62" s="2"/>
      <c r="F62" s="7">
        <f t="shared" si="37"/>
        <v>0</v>
      </c>
      <c r="G62" s="2"/>
      <c r="H62" s="6">
        <v>297.64999999999998</v>
      </c>
      <c r="I62" s="2"/>
      <c r="J62" s="7">
        <f t="shared" si="38"/>
        <v>3.8336348035566442E-3</v>
      </c>
      <c r="K62" s="2"/>
      <c r="L62" s="6">
        <f t="shared" si="39"/>
        <v>-220.05999999999997</v>
      </c>
      <c r="M62" s="2"/>
      <c r="N62" s="7">
        <f t="shared" si="40"/>
        <v>-0.73932471023013602</v>
      </c>
      <c r="O62" s="11"/>
      <c r="P62" s="6">
        <v>2609.6</v>
      </c>
      <c r="Q62" s="2"/>
      <c r="R62" s="7">
        <f t="shared" si="41"/>
        <v>3.7824904493420661E-3</v>
      </c>
      <c r="S62" s="2"/>
      <c r="T62" s="6">
        <v>3470.79</v>
      </c>
      <c r="U62" s="2"/>
      <c r="V62" s="7">
        <f t="shared" si="42"/>
        <v>3.8152384236288155E-3</v>
      </c>
      <c r="W62" s="2"/>
      <c r="X62" s="6">
        <f t="shared" si="43"/>
        <v>-861.19</v>
      </c>
      <c r="Y62" s="2"/>
      <c r="Z62" s="7">
        <f t="shared" si="44"/>
        <v>-0.24812506662748252</v>
      </c>
    </row>
    <row r="63" spans="1:26" s="27" customFormat="1" outlineLevel="1" collapsed="1" x14ac:dyDescent="0.25">
      <c r="A63" s="25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72" si="45">IF(D$12=0,0,D63/D$12)</f>
        <v>0</v>
      </c>
      <c r="G63" s="1"/>
      <c r="H63" s="1">
        <f>SUM(OSRRefH22_13x_0)</f>
        <v>0</v>
      </c>
      <c r="I63" s="1"/>
      <c r="J63" s="5">
        <f t="shared" ref="J63:J72" si="46">IF(H$12=0,0,H63/H$12)</f>
        <v>0</v>
      </c>
      <c r="K63" s="1"/>
      <c r="L63" s="1">
        <f t="shared" ref="L63:L72" si="47">+D63-H63</f>
        <v>0</v>
      </c>
      <c r="M63" s="1"/>
      <c r="N63" s="5">
        <f t="shared" ref="N63:N72" si="48">IF(H63=0,0,L63/H63)</f>
        <v>0</v>
      </c>
      <c r="O63" s="13"/>
      <c r="P63" s="1">
        <f>SUM(OSRRefP22_13x_0)</f>
        <v>0</v>
      </c>
      <c r="Q63" s="1"/>
      <c r="R63" s="5">
        <f t="shared" ref="R63:R72" si="49">IF(P$12=0,0,P63/P$12)</f>
        <v>0</v>
      </c>
      <c r="S63" s="1"/>
      <c r="T63" s="1">
        <f>SUM(OSRRefT22_13x_0)</f>
        <v>45</v>
      </c>
      <c r="U63" s="1"/>
      <c r="V63" s="5">
        <f t="shared" ref="V63:V72" si="50">IF(T$12=0,0,T63/T$12)</f>
        <v>4.946589366204717E-5</v>
      </c>
      <c r="W63" s="1"/>
      <c r="X63" s="1">
        <f t="shared" ref="X63:X72" si="51">+P63-T63</f>
        <v>-45</v>
      </c>
      <c r="Y63" s="1"/>
      <c r="Z63" s="5">
        <f t="shared" ref="Z63:Z72" si="52">IF(T63=0,0,X63/T63)</f>
        <v>-1</v>
      </c>
    </row>
    <row r="64" spans="1:26" s="24" customFormat="1" hidden="1" outlineLevel="2" x14ac:dyDescent="0.25">
      <c r="A64" s="26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/>
      <c r="Q64" s="2"/>
      <c r="R64" s="7">
        <f t="shared" si="49"/>
        <v>0</v>
      </c>
      <c r="S64" s="2"/>
      <c r="T64" s="6">
        <v>45</v>
      </c>
      <c r="U64" s="2"/>
      <c r="V64" s="7">
        <f t="shared" si="50"/>
        <v>4.946589366204717E-5</v>
      </c>
      <c r="W64" s="2"/>
      <c r="X64" s="6">
        <f t="shared" si="51"/>
        <v>-45</v>
      </c>
      <c r="Y64" s="2"/>
      <c r="Z64" s="7">
        <f t="shared" si="52"/>
        <v>-1</v>
      </c>
    </row>
    <row r="65" spans="1:26" s="27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SUM(OSRRefD22_14x_0)</f>
        <v>0</v>
      </c>
      <c r="E65" s="1"/>
      <c r="F65" s="5">
        <f t="shared" si="45"/>
        <v>0</v>
      </c>
      <c r="G65" s="1"/>
      <c r="H65" s="1">
        <f>SUM(OSRRefH22_14x_0)</f>
        <v>473.74</v>
      </c>
      <c r="I65" s="1"/>
      <c r="J65" s="5">
        <f t="shared" si="46"/>
        <v>6.1016165020558533E-3</v>
      </c>
      <c r="K65" s="1"/>
      <c r="L65" s="1">
        <f t="shared" si="47"/>
        <v>-473.74</v>
      </c>
      <c r="M65" s="1"/>
      <c r="N65" s="5">
        <f t="shared" si="48"/>
        <v>-1</v>
      </c>
      <c r="O65" s="13"/>
      <c r="P65" s="1">
        <f>SUM(OSRRefP22_14x_0)</f>
        <v>14338.21</v>
      </c>
      <c r="Q65" s="1"/>
      <c r="R65" s="5">
        <f t="shared" si="49"/>
        <v>2.0782549963849213E-2</v>
      </c>
      <c r="S65" s="1"/>
      <c r="T65" s="1">
        <f>SUM(OSRRefT22_14x_0)</f>
        <v>16470.189999999999</v>
      </c>
      <c r="U65" s="1"/>
      <c r="V65" s="5">
        <f t="shared" si="50"/>
        <v>1.8104725936304723E-2</v>
      </c>
      <c r="W65" s="1"/>
      <c r="X65" s="1">
        <f t="shared" si="51"/>
        <v>-2131.9799999999996</v>
      </c>
      <c r="Y65" s="1"/>
      <c r="Z65" s="5">
        <f t="shared" si="52"/>
        <v>-0.12944477264682433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354.71</v>
      </c>
      <c r="Q66" s="2"/>
      <c r="R66" s="7">
        <f t="shared" si="49"/>
        <v>5.1413518826108379E-4</v>
      </c>
      <c r="S66" s="2"/>
      <c r="T66" s="6"/>
      <c r="U66" s="2"/>
      <c r="V66" s="7">
        <f t="shared" si="50"/>
        <v>0</v>
      </c>
      <c r="W66" s="2"/>
      <c r="X66" s="6">
        <f t="shared" si="51"/>
        <v>354.71</v>
      </c>
      <c r="Y66" s="2"/>
      <c r="Z66" s="7">
        <f t="shared" si="52"/>
        <v>0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5"/>
        <v>0</v>
      </c>
      <c r="G67" s="2"/>
      <c r="H67" s="6">
        <v>46.3</v>
      </c>
      <c r="I67" s="2"/>
      <c r="J67" s="7">
        <f t="shared" si="46"/>
        <v>5.9632888091608479E-4</v>
      </c>
      <c r="K67" s="2"/>
      <c r="L67" s="6">
        <f t="shared" si="47"/>
        <v>-46.3</v>
      </c>
      <c r="M67" s="2"/>
      <c r="N67" s="7">
        <f t="shared" si="48"/>
        <v>-1</v>
      </c>
      <c r="O67" s="11"/>
      <c r="P67" s="6">
        <v>1709.62</v>
      </c>
      <c r="Q67" s="2"/>
      <c r="R67" s="7">
        <f t="shared" si="49"/>
        <v>2.4780124624479549E-3</v>
      </c>
      <c r="S67" s="2"/>
      <c r="T67" s="6">
        <v>2355.12</v>
      </c>
      <c r="U67" s="2"/>
      <c r="V67" s="7">
        <f t="shared" si="50"/>
        <v>2.5888470106969004E-3</v>
      </c>
      <c r="W67" s="2"/>
      <c r="X67" s="6">
        <f t="shared" si="51"/>
        <v>-645.5</v>
      </c>
      <c r="Y67" s="2"/>
      <c r="Z67" s="7">
        <f t="shared" si="52"/>
        <v>-0.27408369849519348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441.2</v>
      </c>
      <c r="Q68" s="2"/>
      <c r="R68" s="7">
        <f t="shared" si="49"/>
        <v>6.3949830864872762E-4</v>
      </c>
      <c r="S68" s="2"/>
      <c r="T68" s="6">
        <v>43.19</v>
      </c>
      <c r="U68" s="2"/>
      <c r="V68" s="7">
        <f t="shared" si="50"/>
        <v>4.7476265494751493E-5</v>
      </c>
      <c r="W68" s="2"/>
      <c r="X68" s="6">
        <f t="shared" si="51"/>
        <v>398.01</v>
      </c>
      <c r="Y68" s="2"/>
      <c r="Z68" s="7">
        <f t="shared" si="52"/>
        <v>9.2153276221347529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5"/>
        <v>0</v>
      </c>
      <c r="G69" s="2"/>
      <c r="H69" s="6">
        <v>180.27</v>
      </c>
      <c r="I69" s="2"/>
      <c r="J69" s="7">
        <f t="shared" si="46"/>
        <v>2.3218187335365577E-3</v>
      </c>
      <c r="K69" s="2"/>
      <c r="L69" s="6">
        <f t="shared" si="47"/>
        <v>-180.27</v>
      </c>
      <c r="M69" s="2"/>
      <c r="N69" s="7">
        <f t="shared" si="48"/>
        <v>-1</v>
      </c>
      <c r="O69" s="11"/>
      <c r="P69" s="6">
        <v>1564.62</v>
      </c>
      <c r="Q69" s="2"/>
      <c r="R69" s="7">
        <f t="shared" si="49"/>
        <v>2.2678418941023851E-3</v>
      </c>
      <c r="S69" s="2"/>
      <c r="T69" s="6">
        <v>3377.63</v>
      </c>
      <c r="U69" s="2"/>
      <c r="V69" s="7">
        <f t="shared" si="50"/>
        <v>3.7128330313275643E-3</v>
      </c>
      <c r="W69" s="2"/>
      <c r="X69" s="6">
        <f t="shared" si="51"/>
        <v>-1813.0100000000002</v>
      </c>
      <c r="Y69" s="2"/>
      <c r="Z69" s="7">
        <f t="shared" si="52"/>
        <v>-0.53676986526055259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45"/>
        <v>0</v>
      </c>
      <c r="G70" s="2"/>
      <c r="H70" s="6">
        <v>75.38</v>
      </c>
      <c r="I70" s="2"/>
      <c r="J70" s="7">
        <f t="shared" si="46"/>
        <v>9.7086978495582003E-4</v>
      </c>
      <c r="K70" s="2"/>
      <c r="L70" s="6">
        <f t="shared" si="47"/>
        <v>-75.38</v>
      </c>
      <c r="M70" s="2"/>
      <c r="N70" s="7">
        <f t="shared" si="48"/>
        <v>-1</v>
      </c>
      <c r="O70" s="11"/>
      <c r="P70" s="6">
        <v>2823.28</v>
      </c>
      <c r="Q70" s="2"/>
      <c r="R70" s="7">
        <f t="shared" si="49"/>
        <v>4.0922093944736624E-3</v>
      </c>
      <c r="S70" s="2"/>
      <c r="T70" s="6">
        <v>5618.59</v>
      </c>
      <c r="U70" s="2"/>
      <c r="V70" s="7">
        <f t="shared" si="50"/>
        <v>6.1761905660142578E-3</v>
      </c>
      <c r="W70" s="2"/>
      <c r="X70" s="6">
        <f t="shared" si="51"/>
        <v>-2795.31</v>
      </c>
      <c r="Y70" s="2"/>
      <c r="Z70" s="7">
        <f t="shared" si="52"/>
        <v>-0.49751094135717322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45"/>
        <v>0</v>
      </c>
      <c r="G71" s="2"/>
      <c r="H71" s="6">
        <v>171.79</v>
      </c>
      <c r="I71" s="2"/>
      <c r="J71" s="7">
        <f t="shared" si="46"/>
        <v>2.212599102647391E-3</v>
      </c>
      <c r="K71" s="2"/>
      <c r="L71" s="6">
        <f t="shared" si="47"/>
        <v>-171.79</v>
      </c>
      <c r="M71" s="2"/>
      <c r="N71" s="7">
        <f t="shared" si="48"/>
        <v>-1</v>
      </c>
      <c r="O71" s="11"/>
      <c r="P71" s="6">
        <v>7367.19</v>
      </c>
      <c r="Q71" s="2"/>
      <c r="R71" s="7">
        <f t="shared" si="49"/>
        <v>1.0678389720067587E-2</v>
      </c>
      <c r="S71" s="2"/>
      <c r="T71" s="6">
        <v>4887.79</v>
      </c>
      <c r="U71" s="2"/>
      <c r="V71" s="7">
        <f t="shared" si="50"/>
        <v>5.372864452942612E-3</v>
      </c>
      <c r="W71" s="2"/>
      <c r="X71" s="6">
        <f t="shared" si="51"/>
        <v>2479.3999999999996</v>
      </c>
      <c r="Y71" s="2"/>
      <c r="Z71" s="7">
        <f t="shared" si="52"/>
        <v>0.50726401911702423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77.59</v>
      </c>
      <c r="Q72" s="2"/>
      <c r="R72" s="7">
        <f t="shared" si="49"/>
        <v>1.1246299584781229E-4</v>
      </c>
      <c r="S72" s="2"/>
      <c r="T72" s="6">
        <v>187.87</v>
      </c>
      <c r="U72" s="2"/>
      <c r="V72" s="7">
        <f t="shared" si="50"/>
        <v>2.0651460982864004E-4</v>
      </c>
      <c r="W72" s="2"/>
      <c r="X72" s="6">
        <f t="shared" si="51"/>
        <v>-110.28</v>
      </c>
      <c r="Y72" s="2"/>
      <c r="Z72" s="7">
        <f t="shared" si="52"/>
        <v>-0.58700165007718097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86</v>
      </c>
      <c r="E73" s="1"/>
      <c r="F73" s="5">
        <f t="shared" ref="F73:F78" si="53">IF(D$12=0,0,D73/D$12)</f>
        <v>0</v>
      </c>
      <c r="G73" s="1"/>
      <c r="H73" s="1">
        <f>SUM(OSRRefH22_15x_0)</f>
        <v>36</v>
      </c>
      <c r="I73" s="1"/>
      <c r="J73" s="5">
        <f t="shared" ref="J73:J78" si="54">IF(H$12=0,0,H73/H$12)</f>
        <v>4.6366824434080028E-4</v>
      </c>
      <c r="K73" s="1"/>
      <c r="L73" s="1">
        <f t="shared" ref="L73:L78" si="55">+D73-H73</f>
        <v>50</v>
      </c>
      <c r="M73" s="1"/>
      <c r="N73" s="5">
        <f t="shared" ref="N73:N78" si="56">IF(H73=0,0,L73/H73)</f>
        <v>1.3888888888888888</v>
      </c>
      <c r="O73" s="13"/>
      <c r="P73" s="1">
        <f>SUM(OSRRefP22_15x_0)</f>
        <v>690.28</v>
      </c>
      <c r="Q73" s="1"/>
      <c r="R73" s="5">
        <f t="shared" ref="R73:R78" si="57">IF(P$12=0,0,P73/P$12)</f>
        <v>1.0005278615005523E-3</v>
      </c>
      <c r="S73" s="1"/>
      <c r="T73" s="1">
        <f>SUM(OSRRefT22_15x_0)</f>
        <v>396</v>
      </c>
      <c r="U73" s="1"/>
      <c r="V73" s="5">
        <f t="shared" ref="V73:V78" si="58">IF(T$12=0,0,T73/T$12)</f>
        <v>4.3529986422601507E-4</v>
      </c>
      <c r="W73" s="1"/>
      <c r="X73" s="1">
        <f t="shared" ref="X73:X78" si="59">+P73-T73</f>
        <v>294.27999999999997</v>
      </c>
      <c r="Y73" s="1"/>
      <c r="Z73" s="5">
        <f t="shared" ref="Z73:Z78" si="60">IF(T73=0,0,X73/T73)</f>
        <v>0.74313131313131309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86</v>
      </c>
      <c r="E74" s="2"/>
      <c r="F74" s="7">
        <f t="shared" si="53"/>
        <v>0</v>
      </c>
      <c r="G74" s="2"/>
      <c r="H74" s="6">
        <v>36</v>
      </c>
      <c r="I74" s="2"/>
      <c r="J74" s="7">
        <f t="shared" si="54"/>
        <v>4.6366824434080028E-4</v>
      </c>
      <c r="K74" s="2"/>
      <c r="L74" s="6">
        <f t="shared" si="55"/>
        <v>50</v>
      </c>
      <c r="M74" s="2"/>
      <c r="N74" s="7">
        <f t="shared" si="56"/>
        <v>1.3888888888888888</v>
      </c>
      <c r="O74" s="11"/>
      <c r="P74" s="6">
        <v>690.28</v>
      </c>
      <c r="Q74" s="2"/>
      <c r="R74" s="7">
        <f t="shared" si="57"/>
        <v>1.0005278615005523E-3</v>
      </c>
      <c r="S74" s="2"/>
      <c r="T74" s="6">
        <v>396</v>
      </c>
      <c r="U74" s="2"/>
      <c r="V74" s="7">
        <f t="shared" si="58"/>
        <v>4.3529986422601507E-4</v>
      </c>
      <c r="W74" s="2"/>
      <c r="X74" s="6">
        <f t="shared" si="59"/>
        <v>294.27999999999997</v>
      </c>
      <c r="Y74" s="2"/>
      <c r="Z74" s="7">
        <f t="shared" si="60"/>
        <v>0.74313131313131309</v>
      </c>
    </row>
    <row r="75" spans="1:26" s="27" customFormat="1" outlineLevel="1" collapsed="1" x14ac:dyDescent="0.25">
      <c r="A75" s="25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0</v>
      </c>
      <c r="E75" s="1"/>
      <c r="F75" s="5">
        <f t="shared" si="53"/>
        <v>0</v>
      </c>
      <c r="G75" s="1"/>
      <c r="H75" s="1">
        <f>SUM(OSRRefH22_16x_0)</f>
        <v>0</v>
      </c>
      <c r="I75" s="1"/>
      <c r="J75" s="5">
        <f t="shared" si="54"/>
        <v>0</v>
      </c>
      <c r="K75" s="1"/>
      <c r="L75" s="1">
        <f t="shared" si="55"/>
        <v>0</v>
      </c>
      <c r="M75" s="1"/>
      <c r="N75" s="5">
        <f t="shared" si="56"/>
        <v>0</v>
      </c>
      <c r="O75" s="13"/>
      <c r="P75" s="1">
        <f>SUM(OSRRefP22_16x_0)</f>
        <v>66</v>
      </c>
      <c r="Q75" s="1"/>
      <c r="R75" s="5">
        <f t="shared" si="57"/>
        <v>9.5663844902121542E-5</v>
      </c>
      <c r="S75" s="1"/>
      <c r="T75" s="1">
        <f>SUM(OSRRefT22_16x_0)</f>
        <v>0</v>
      </c>
      <c r="U75" s="1"/>
      <c r="V75" s="5">
        <f t="shared" si="58"/>
        <v>0</v>
      </c>
      <c r="W75" s="1"/>
      <c r="X75" s="1">
        <f t="shared" si="59"/>
        <v>66</v>
      </c>
      <c r="Y75" s="1"/>
      <c r="Z75" s="5">
        <f t="shared" si="60"/>
        <v>0</v>
      </c>
    </row>
    <row r="76" spans="1:26" s="24" customFormat="1" hidden="1" outlineLevel="2" x14ac:dyDescent="0.25">
      <c r="A76" s="26"/>
      <c r="B76" s="11" t="str">
        <f>CONCATENATE("          ", "6298", " - ", "VEHICLE MILEAGE")</f>
        <v xml:space="preserve">          6298 - VEHICLE MILEAGE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66</v>
      </c>
      <c r="Q76" s="2"/>
      <c r="R76" s="7">
        <f t="shared" si="57"/>
        <v>9.5663844902121542E-5</v>
      </c>
      <c r="S76" s="2"/>
      <c r="T76" s="6"/>
      <c r="U76" s="2"/>
      <c r="V76" s="7">
        <f t="shared" si="58"/>
        <v>0</v>
      </c>
      <c r="W76" s="2"/>
      <c r="X76" s="6">
        <f t="shared" si="59"/>
        <v>66</v>
      </c>
      <c r="Y76" s="2"/>
      <c r="Z76" s="7">
        <f t="shared" si="60"/>
        <v>0</v>
      </c>
    </row>
    <row r="77" spans="1:26" s="27" customFormat="1" outlineLevel="1" collapsed="1" x14ac:dyDescent="0.25">
      <c r="A77" s="25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SUM(OSRRefD22_17x_0)</f>
        <v>208</v>
      </c>
      <c r="E77" s="1"/>
      <c r="F77" s="5">
        <f t="shared" si="53"/>
        <v>0</v>
      </c>
      <c r="G77" s="1"/>
      <c r="H77" s="1">
        <f>SUM(OSRRefH22_17x_0)</f>
        <v>182</v>
      </c>
      <c r="I77" s="1"/>
      <c r="J77" s="5">
        <f t="shared" si="54"/>
        <v>2.3441005686118234E-3</v>
      </c>
      <c r="K77" s="1"/>
      <c r="L77" s="1">
        <f t="shared" si="55"/>
        <v>26</v>
      </c>
      <c r="M77" s="1"/>
      <c r="N77" s="5">
        <f t="shared" si="56"/>
        <v>0.14285714285714285</v>
      </c>
      <c r="O77" s="13"/>
      <c r="P77" s="1">
        <f>SUM(OSRRefP22_17x_0)</f>
        <v>2225</v>
      </c>
      <c r="Q77" s="1"/>
      <c r="R77" s="5">
        <f t="shared" si="57"/>
        <v>3.2250311349578853E-3</v>
      </c>
      <c r="S77" s="1"/>
      <c r="T77" s="1">
        <f>SUM(OSRRefT22_17x_0)</f>
        <v>1676.68</v>
      </c>
      <c r="U77" s="1"/>
      <c r="V77" s="5">
        <f t="shared" si="58"/>
        <v>1.84307721300625E-3</v>
      </c>
      <c r="W77" s="1"/>
      <c r="X77" s="1">
        <f t="shared" si="59"/>
        <v>548.31999999999994</v>
      </c>
      <c r="Y77" s="1"/>
      <c r="Z77" s="5">
        <f t="shared" si="60"/>
        <v>0.32702722045947941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208</v>
      </c>
      <c r="E78" s="2"/>
      <c r="F78" s="7">
        <f t="shared" si="53"/>
        <v>0</v>
      </c>
      <c r="G78" s="2"/>
      <c r="H78" s="6">
        <v>182</v>
      </c>
      <c r="I78" s="2"/>
      <c r="J78" s="7">
        <f t="shared" si="54"/>
        <v>2.3441005686118234E-3</v>
      </c>
      <c r="K78" s="2"/>
      <c r="L78" s="6">
        <f t="shared" si="55"/>
        <v>26</v>
      </c>
      <c r="M78" s="2"/>
      <c r="N78" s="7">
        <f t="shared" si="56"/>
        <v>0.14285714285714285</v>
      </c>
      <c r="O78" s="11"/>
      <c r="P78" s="6">
        <v>2225</v>
      </c>
      <c r="Q78" s="2"/>
      <c r="R78" s="7">
        <f t="shared" si="57"/>
        <v>3.2250311349578853E-3</v>
      </c>
      <c r="S78" s="2"/>
      <c r="T78" s="6">
        <v>1676.68</v>
      </c>
      <c r="U78" s="2"/>
      <c r="V78" s="7">
        <f t="shared" si="58"/>
        <v>1.84307721300625E-3</v>
      </c>
      <c r="W78" s="2"/>
      <c r="X78" s="6">
        <f t="shared" si="59"/>
        <v>548.31999999999994</v>
      </c>
      <c r="Y78" s="2"/>
      <c r="Z78" s="7">
        <f t="shared" si="60"/>
        <v>0.32702722045947941</v>
      </c>
    </row>
    <row r="79" spans="1:26" s="58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1">
        <f>+D20-D22+D80</f>
        <v>-8847.010000000002</v>
      </c>
      <c r="E82" s="14"/>
      <c r="F82" s="20">
        <f>IF(D$12=0,0,D82/D$12)</f>
        <v>0</v>
      </c>
      <c r="G82" s="14"/>
      <c r="H82" s="21">
        <f>+H20-H22+H80</f>
        <v>2081.7700000000041</v>
      </c>
      <c r="I82" s="14"/>
      <c r="J82" s="20">
        <f>IF(H$12=0,0,H82/H$12)</f>
        <v>2.6812517806148604E-2</v>
      </c>
      <c r="K82" s="16"/>
      <c r="L82" s="21">
        <f>+D82-H82</f>
        <v>-10928.780000000006</v>
      </c>
      <c r="M82" s="16"/>
      <c r="N82" s="20">
        <f>IF(H82=0,0,L82/H82)</f>
        <v>-5.2497538152629657</v>
      </c>
      <c r="O82" s="28"/>
      <c r="P82" s="21">
        <f>+P20-P22+P80</f>
        <v>17543.189999999886</v>
      </c>
      <c r="Q82" s="14"/>
      <c r="R82" s="20">
        <f>IF(P$12=0,0,P82/P$12)</f>
        <v>2.5428015261339979E-2</v>
      </c>
      <c r="S82" s="14"/>
      <c r="T82" s="21">
        <f>+T20-T22+T80</f>
        <v>165712.64000000001</v>
      </c>
      <c r="U82" s="14"/>
      <c r="V82" s="20">
        <f>IF(T$12=0,0,T82/T$12)</f>
        <v>0.1821583073043801</v>
      </c>
      <c r="W82" s="16"/>
      <c r="X82" s="21">
        <f>+P82-T82</f>
        <v>-148169.45000000013</v>
      </c>
      <c r="Y82" s="16"/>
      <c r="Z82" s="20">
        <f>IF(T82=0,0,X82/T82)</f>
        <v>-0.89413487106354783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3361.81</v>
      </c>
      <c r="E84" s="4"/>
      <c r="F84" s="12">
        <f>IF(D$12=0,0,D84/D$12)</f>
        <v>0</v>
      </c>
      <c r="G84" s="4"/>
      <c r="H84" s="4">
        <v>8122.48</v>
      </c>
      <c r="I84" s="4"/>
      <c r="J84" s="12">
        <f>IF(H$12=0,0,H84/H$12)</f>
        <v>0.10461489003592397</v>
      </c>
      <c r="K84" s="4"/>
      <c r="L84" s="4">
        <f>+D84-H84</f>
        <v>-4760.67</v>
      </c>
      <c r="M84" s="4"/>
      <c r="N84" s="12">
        <f>IF(H84=0,0,L84/H84)</f>
        <v>-0.58611039977937773</v>
      </c>
      <c r="O84" s="10"/>
      <c r="P84" s="4">
        <v>81696.81</v>
      </c>
      <c r="Q84" s="4"/>
      <c r="R84" s="12">
        <f>IF(P$12=0,0,P84/P$12)</f>
        <v>0.11841562061875897</v>
      </c>
      <c r="S84" s="4"/>
      <c r="T84" s="4">
        <v>94623.900000000009</v>
      </c>
      <c r="U84" s="4"/>
      <c r="V84" s="12">
        <f>IF(T$12=0,0,T84/T$12)</f>
        <v>0.1040145727841819</v>
      </c>
      <c r="W84" s="4"/>
      <c r="X84" s="4">
        <f>+P84-T84</f>
        <v>-12927.090000000011</v>
      </c>
      <c r="Y84" s="4"/>
      <c r="Z84" s="12">
        <f>IF(T84=0,0,X84/T84)</f>
        <v>-0.1366154850941465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5">
        <f>+D82-D84</f>
        <v>-12208.820000000002</v>
      </c>
      <c r="E86" s="14"/>
      <c r="F86" s="32">
        <f>IF(D$12=0,0,D86/D$12)</f>
        <v>0</v>
      </c>
      <c r="G86" s="14"/>
      <c r="H86" s="35">
        <f>+H82-H84</f>
        <v>-6040.7099999999955</v>
      </c>
      <c r="I86" s="14"/>
      <c r="J86" s="32">
        <f>IF(H$12=0,0,H86/H$12)</f>
        <v>-7.7802372229775374E-2</v>
      </c>
      <c r="K86" s="16"/>
      <c r="L86" s="35">
        <f>D86-H86</f>
        <v>-6168.110000000006</v>
      </c>
      <c r="M86" s="16"/>
      <c r="N86" s="32">
        <f>IF(H86=0,0,L86/H86)</f>
        <v>1.0210902360815219</v>
      </c>
      <c r="O86" s="28"/>
      <c r="P86" s="35">
        <f>+P82-P84</f>
        <v>-64153.620000000112</v>
      </c>
      <c r="Q86" s="14"/>
      <c r="R86" s="32">
        <f>IF(P$12=0,0,P86/P$12)</f>
        <v>-9.2987605357418998E-2</v>
      </c>
      <c r="S86" s="14"/>
      <c r="T86" s="35">
        <f>+T82-T84</f>
        <v>71088.740000000005</v>
      </c>
      <c r="U86" s="14"/>
      <c r="V86" s="32">
        <f>IF(T$12=0,0,T86/T$12)</f>
        <v>7.814373452019821E-2</v>
      </c>
      <c r="W86" s="16"/>
      <c r="X86" s="35">
        <f>P86-T86</f>
        <v>-135242.3600000001</v>
      </c>
      <c r="Y86" s="16"/>
      <c r="Z86" s="32">
        <f>IF(T86=0,0,X86/T86)</f>
        <v>-1.9024441845501847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6">
        <f>SUM(D86:D88)</f>
        <v>-12208.820000000002</v>
      </c>
      <c r="E89" s="14"/>
      <c r="F89" s="33">
        <f>IF(D$12=0,0,D89/D$12)</f>
        <v>0</v>
      </c>
      <c r="G89" s="14"/>
      <c r="H89" s="36">
        <f>SUM(H86:H88)</f>
        <v>-6040.7099999999955</v>
      </c>
      <c r="I89" s="14"/>
      <c r="J89" s="33">
        <f>IF(H$12=0,0,H89/H$12)</f>
        <v>-7.7802372229775374E-2</v>
      </c>
      <c r="K89" s="16"/>
      <c r="L89" s="36">
        <f>+D89-H89</f>
        <v>-6168.110000000006</v>
      </c>
      <c r="M89" s="16"/>
      <c r="N89" s="33">
        <f>IF(H89=0,0,L89/H89)</f>
        <v>1.0210902360815219</v>
      </c>
      <c r="O89" s="28"/>
      <c r="P89" s="36">
        <f>SUM(P86:P88)</f>
        <v>-64153.620000000112</v>
      </c>
      <c r="Q89" s="14"/>
      <c r="R89" s="33">
        <f>IF(P$12=0,0,P89/P$12)</f>
        <v>-9.2987605357418998E-2</v>
      </c>
      <c r="S89" s="14"/>
      <c r="T89" s="36">
        <f>SUM(T86:T88)</f>
        <v>71088.740000000005</v>
      </c>
      <c r="U89" s="14"/>
      <c r="V89" s="33">
        <f>IF(T$12=0,0,T89/T$12)</f>
        <v>7.814373452019821E-2</v>
      </c>
      <c r="W89" s="16"/>
      <c r="X89" s="36">
        <f>+P89-T89</f>
        <v>-135242.3600000001</v>
      </c>
      <c r="Y89" s="16"/>
      <c r="Z89" s="33">
        <f>IF(T89=0,0,X89/T89)</f>
        <v>-1.9024441845501847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5">
        <v>43992.375700613426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2" t="s">
        <v>313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3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37758.93</v>
      </c>
      <c r="I12" s="4"/>
      <c r="J12" s="12"/>
      <c r="K12" s="4"/>
      <c r="L12" s="4">
        <f t="shared" ref="L12:L14" si="0">+D12-H12</f>
        <v>-37758.93</v>
      </c>
      <c r="M12" s="4"/>
      <c r="N12" s="12">
        <f t="shared" ref="N12:N14" si="1">IF(H12=0,0,L12/H12)</f>
        <v>-1</v>
      </c>
      <c r="O12" s="10"/>
      <c r="P12" s="4">
        <f>SUM(OSRRefP13x_0)</f>
        <v>596954.75</v>
      </c>
      <c r="Q12" s="4"/>
      <c r="R12" s="12"/>
      <c r="S12" s="4"/>
      <c r="T12" s="4">
        <f>SUM(OSRRefT13x_0)</f>
        <v>717715.6399999999</v>
      </c>
      <c r="U12" s="4"/>
      <c r="V12" s="12"/>
      <c r="W12" s="4"/>
      <c r="X12" s="4">
        <f t="shared" ref="X12:X14" si="2">+P12-T12</f>
        <v>-120760.8899999999</v>
      </c>
      <c r="Y12" s="4"/>
      <c r="Z12" s="12">
        <f t="shared" ref="Z12:Z14" si="3">IF(T12=0,0,X12/T12)</f>
        <v>-0.16825729198265751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--9199.52</f>
        <v>9199.52</v>
      </c>
      <c r="I13" s="2"/>
      <c r="J13" s="19"/>
      <c r="K13" s="2"/>
      <c r="L13" s="2">
        <f t="shared" si="0"/>
        <v>-9199.52</v>
      </c>
      <c r="M13" s="2"/>
      <c r="N13" s="19">
        <f t="shared" si="1"/>
        <v>-1</v>
      </c>
      <c r="O13" s="11"/>
      <c r="P13" s="2">
        <f>--105564.32</f>
        <v>105564.32</v>
      </c>
      <c r="Q13" s="2"/>
      <c r="R13" s="19"/>
      <c r="S13" s="2"/>
      <c r="T13" s="2">
        <f>--154122.81</f>
        <v>154122.81</v>
      </c>
      <c r="U13" s="2"/>
      <c r="V13" s="19"/>
      <c r="W13" s="2"/>
      <c r="X13" s="2">
        <f t="shared" si="2"/>
        <v>-48558.489999999991</v>
      </c>
      <c r="Y13" s="2"/>
      <c r="Z13" s="19">
        <f t="shared" si="3"/>
        <v>-0.31506361712455144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--28559.41</f>
        <v>28559.41</v>
      </c>
      <c r="I14" s="2"/>
      <c r="J14" s="19"/>
      <c r="K14" s="2"/>
      <c r="L14" s="2">
        <f t="shared" si="0"/>
        <v>-28559.41</v>
      </c>
      <c r="M14" s="2"/>
      <c r="N14" s="19">
        <f t="shared" si="1"/>
        <v>-1</v>
      </c>
      <c r="O14" s="11"/>
      <c r="P14" s="2">
        <f>--491390.43</f>
        <v>491390.43</v>
      </c>
      <c r="Q14" s="2"/>
      <c r="R14" s="19"/>
      <c r="S14" s="2"/>
      <c r="T14" s="2">
        <f>--563592.83</f>
        <v>563592.82999999996</v>
      </c>
      <c r="U14" s="2"/>
      <c r="V14" s="19"/>
      <c r="W14" s="2"/>
      <c r="X14" s="2">
        <f t="shared" si="2"/>
        <v>-72202.399999999965</v>
      </c>
      <c r="Y14" s="2"/>
      <c r="Z14" s="19">
        <f t="shared" si="3"/>
        <v>-0.12811092717414443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-828.9</v>
      </c>
      <c r="E16" s="4"/>
      <c r="F16" s="12">
        <f t="shared" ref="F16:F18" si="5">IF(D$12=0,0,D16/D$12)</f>
        <v>0</v>
      </c>
      <c r="G16" s="4"/>
      <c r="H16" s="4">
        <f>SUM(OSRRefH16x_0)</f>
        <v>18472.560000000001</v>
      </c>
      <c r="I16" s="4"/>
      <c r="J16" s="12">
        <f t="shared" ref="J16:J18" si="6">IF(H$12=0,0,H16/H$12)</f>
        <v>0.48922360882577981</v>
      </c>
      <c r="K16" s="4"/>
      <c r="L16" s="4">
        <f t="shared" ref="L16:L18" si="7">+D16-H16</f>
        <v>-19301.460000000003</v>
      </c>
      <c r="M16" s="4"/>
      <c r="N16" s="12">
        <f t="shared" ref="N16:N18" si="8">IF(H16=0,0,L16/H16)</f>
        <v>-1.0448719614390209</v>
      </c>
      <c r="O16" s="10"/>
      <c r="P16" s="4">
        <f>SUM(OSRRefP16x_0)</f>
        <v>292875.49</v>
      </c>
      <c r="Q16" s="4"/>
      <c r="R16" s="12">
        <f t="shared" ref="R16:R18" si="9">IF(P$12=0,0,P16/P$12)</f>
        <v>0.49061589676604467</v>
      </c>
      <c r="S16" s="4"/>
      <c r="T16" s="4">
        <f>SUM(OSRRefT16x_0)</f>
        <v>337889.32</v>
      </c>
      <c r="U16" s="4"/>
      <c r="V16" s="12">
        <f t="shared" ref="V16:V18" si="10">IF(T$12=0,0,T16/T$12)</f>
        <v>0.47078439031926356</v>
      </c>
      <c r="W16" s="4"/>
      <c r="X16" s="4">
        <f t="shared" ref="X16:X18" si="11">+P16-T16</f>
        <v>-45013.830000000016</v>
      </c>
      <c r="Y16" s="4"/>
      <c r="Z16" s="12">
        <f t="shared" ref="Z16:Z18" si="12">IF(T16=0,0,X16/T16)</f>
        <v>-0.13322063568034651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-828.9</v>
      </c>
      <c r="E17" s="2"/>
      <c r="F17" s="19">
        <f t="shared" si="5"/>
        <v>0</v>
      </c>
      <c r="G17" s="2"/>
      <c r="H17" s="2">
        <v>15597.12</v>
      </c>
      <c r="I17" s="2"/>
      <c r="J17" s="19">
        <f t="shared" si="6"/>
        <v>0.41307102717158567</v>
      </c>
      <c r="K17" s="2"/>
      <c r="L17" s="2">
        <f t="shared" si="7"/>
        <v>-16426.02</v>
      </c>
      <c r="M17" s="2"/>
      <c r="N17" s="19">
        <f t="shared" si="8"/>
        <v>-1.053144426663384</v>
      </c>
      <c r="O17" s="11"/>
      <c r="P17" s="2">
        <v>281898.5</v>
      </c>
      <c r="Q17" s="2"/>
      <c r="R17" s="19">
        <f t="shared" si="9"/>
        <v>0.47222758508915458</v>
      </c>
      <c r="S17" s="2"/>
      <c r="T17" s="2">
        <v>324731.17</v>
      </c>
      <c r="U17" s="2"/>
      <c r="V17" s="19">
        <f t="shared" si="10"/>
        <v>0.4524510152795333</v>
      </c>
      <c r="W17" s="2"/>
      <c r="X17" s="2">
        <f t="shared" si="11"/>
        <v>-42832.669999999984</v>
      </c>
      <c r="Y17" s="2"/>
      <c r="Z17" s="19">
        <f t="shared" si="12"/>
        <v>-0.13190193599216232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2875.44</v>
      </c>
      <c r="I18" s="2"/>
      <c r="J18" s="19">
        <f t="shared" si="6"/>
        <v>7.6152581654194126E-2</v>
      </c>
      <c r="K18" s="2"/>
      <c r="L18" s="2">
        <f t="shared" si="7"/>
        <v>-2875.44</v>
      </c>
      <c r="M18" s="2"/>
      <c r="N18" s="19">
        <f t="shared" si="8"/>
        <v>-1</v>
      </c>
      <c r="O18" s="11"/>
      <c r="P18" s="2">
        <v>10976.99</v>
      </c>
      <c r="Q18" s="2"/>
      <c r="R18" s="19">
        <f t="shared" si="9"/>
        <v>1.8388311676890083E-2</v>
      </c>
      <c r="S18" s="2"/>
      <c r="T18" s="2">
        <v>13158.15</v>
      </c>
      <c r="U18" s="2"/>
      <c r="V18" s="19">
        <f t="shared" si="10"/>
        <v>1.8333375039730222E-2</v>
      </c>
      <c r="W18" s="2"/>
      <c r="X18" s="2">
        <f t="shared" si="11"/>
        <v>-2181.16</v>
      </c>
      <c r="Y18" s="2"/>
      <c r="Z18" s="19">
        <f t="shared" si="12"/>
        <v>-0.16576494416008328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828.9</v>
      </c>
      <c r="E20" s="14"/>
      <c r="F20" s="20">
        <f>IF(D$12=0,0,D20/D$12)</f>
        <v>0</v>
      </c>
      <c r="G20" s="14"/>
      <c r="H20" s="21">
        <f>H12-H16</f>
        <v>19286.37</v>
      </c>
      <c r="I20" s="14"/>
      <c r="J20" s="20">
        <f>IF(H$12=0,0,H20/H$12)</f>
        <v>0.51077639117422025</v>
      </c>
      <c r="K20" s="16"/>
      <c r="L20" s="21">
        <f>+D20-H20</f>
        <v>-18457.469999999998</v>
      </c>
      <c r="M20" s="16"/>
      <c r="N20" s="20">
        <f>IF(H20=0,0,L20/H20)</f>
        <v>-0.95702146127031673</v>
      </c>
      <c r="O20" s="28"/>
      <c r="P20" s="21">
        <f>P12-P16</f>
        <v>304079.26</v>
      </c>
      <c r="Q20" s="14"/>
      <c r="R20" s="20">
        <f>IF(P$12=0,0,P20/P$12)</f>
        <v>0.50938410323395533</v>
      </c>
      <c r="S20" s="14"/>
      <c r="T20" s="21">
        <f>T12-T16</f>
        <v>379826.31999999989</v>
      </c>
      <c r="U20" s="14"/>
      <c r="V20" s="20">
        <f>IF(T$12=0,0,T20/T$12)</f>
        <v>0.52921560968073644</v>
      </c>
      <c r="W20" s="16"/>
      <c r="X20" s="21">
        <f>+P20-T20</f>
        <v>-75747.059999999881</v>
      </c>
      <c r="Y20" s="16"/>
      <c r="Z20" s="20">
        <f>IF(T20=0,0,X20/T20)</f>
        <v>-0.19942551637811698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16506.460000000003</v>
      </c>
      <c r="E22" s="22"/>
      <c r="F22" s="31">
        <f t="shared" ref="F22:F31" si="13">IF(D$12=0,0,D22/D$12)</f>
        <v>0</v>
      </c>
      <c r="G22" s="22"/>
      <c r="H22" s="22">
        <f>SUM(OSRRefH22x_0)</f>
        <v>28721.73</v>
      </c>
      <c r="I22" s="22"/>
      <c r="J22" s="31">
        <f t="shared" ref="J22:J31" si="14">IF(H$12=0,0,H22/H$12)</f>
        <v>0.76066059075296888</v>
      </c>
      <c r="K22" s="4"/>
      <c r="L22" s="22">
        <f t="shared" ref="L22:L31" si="15">+D22-H22</f>
        <v>-12215.269999999997</v>
      </c>
      <c r="M22" s="4"/>
      <c r="N22" s="31">
        <f t="shared" ref="N22:N31" si="16">IF(H22=0,0,L22/H22)</f>
        <v>-0.42529715306146243</v>
      </c>
      <c r="O22" s="10"/>
      <c r="P22" s="22">
        <f>SUM(OSRRefP22x_0)</f>
        <v>310222.73</v>
      </c>
      <c r="Q22" s="22"/>
      <c r="R22" s="31">
        <f t="shared" ref="R22:R31" si="17">IF(P$12=0,0,P22/P$12)</f>
        <v>0.51967545278766936</v>
      </c>
      <c r="S22" s="22"/>
      <c r="T22" s="22">
        <f>SUM(OSRRefT22x_0)</f>
        <v>320424.25999999995</v>
      </c>
      <c r="U22" s="22"/>
      <c r="V22" s="31">
        <f t="shared" ref="V22:V31" si="18">IF(T$12=0,0,T22/T$12)</f>
        <v>0.44645015677796851</v>
      </c>
      <c r="W22" s="4"/>
      <c r="X22" s="22">
        <f t="shared" ref="X22:X31" si="19">+P22-T22</f>
        <v>-10201.52999999997</v>
      </c>
      <c r="Y22" s="4"/>
      <c r="Z22" s="31">
        <f t="shared" ref="Z22:Z31" si="20">IF(T22=0,0,X22/T22)</f>
        <v>-3.1837570600927567E-2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3289.92</v>
      </c>
      <c r="E23" s="1"/>
      <c r="F23" s="5">
        <f t="shared" si="13"/>
        <v>0</v>
      </c>
      <c r="G23" s="1"/>
      <c r="H23" s="1">
        <f>SUM(OSRRefH22_0x_0)</f>
        <v>4004.4199999999996</v>
      </c>
      <c r="I23" s="1"/>
      <c r="J23" s="5">
        <f t="shared" si="14"/>
        <v>0.10605226366319172</v>
      </c>
      <c r="K23" s="1"/>
      <c r="L23" s="1">
        <f t="shared" si="15"/>
        <v>-714.49999999999955</v>
      </c>
      <c r="M23" s="1"/>
      <c r="N23" s="5">
        <f t="shared" si="16"/>
        <v>-0.17842783723984987</v>
      </c>
      <c r="O23" s="13"/>
      <c r="P23" s="1">
        <f>SUM(OSRRefP22_0x_0)</f>
        <v>41432.700000000004</v>
      </c>
      <c r="Q23" s="1"/>
      <c r="R23" s="5">
        <f t="shared" si="17"/>
        <v>6.9406768268449159E-2</v>
      </c>
      <c r="S23" s="1"/>
      <c r="T23" s="1">
        <f>SUM(OSRRefT22_0x_0)</f>
        <v>38970.680000000008</v>
      </c>
      <c r="U23" s="1"/>
      <c r="V23" s="5">
        <f t="shared" si="18"/>
        <v>5.4298217606070301E-2</v>
      </c>
      <c r="W23" s="1"/>
      <c r="X23" s="1">
        <f t="shared" si="19"/>
        <v>2462.0199999999968</v>
      </c>
      <c r="Y23" s="1"/>
      <c r="Z23" s="5">
        <f t="shared" si="20"/>
        <v>6.3176213502048106E-2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318.24</v>
      </c>
      <c r="E24" s="2"/>
      <c r="F24" s="7">
        <f t="shared" si="13"/>
        <v>0</v>
      </c>
      <c r="G24" s="2"/>
      <c r="H24" s="6">
        <v>723.6</v>
      </c>
      <c r="I24" s="2"/>
      <c r="J24" s="7">
        <f t="shared" si="14"/>
        <v>1.9163678631783265E-2</v>
      </c>
      <c r="K24" s="2"/>
      <c r="L24" s="6">
        <f t="shared" si="15"/>
        <v>-405.36</v>
      </c>
      <c r="M24" s="2"/>
      <c r="N24" s="7">
        <f t="shared" si="16"/>
        <v>-0.56019900497512443</v>
      </c>
      <c r="O24" s="11"/>
      <c r="P24" s="6">
        <v>6035.4</v>
      </c>
      <c r="Q24" s="2"/>
      <c r="R24" s="7">
        <f t="shared" si="17"/>
        <v>1.0110314056467428E-2</v>
      </c>
      <c r="S24" s="2"/>
      <c r="T24" s="6">
        <v>5057.58</v>
      </c>
      <c r="U24" s="2"/>
      <c r="V24" s="7">
        <f t="shared" si="18"/>
        <v>7.0467741235233508E-3</v>
      </c>
      <c r="W24" s="2"/>
      <c r="X24" s="6">
        <f t="shared" si="19"/>
        <v>977.81999999999971</v>
      </c>
      <c r="Y24" s="2"/>
      <c r="Z24" s="7">
        <f t="shared" si="20"/>
        <v>0.19333752506139296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118.56</v>
      </c>
      <c r="E25" s="2"/>
      <c r="F25" s="7">
        <f t="shared" si="13"/>
        <v>0</v>
      </c>
      <c r="G25" s="2"/>
      <c r="H25" s="6">
        <v>236.43</v>
      </c>
      <c r="I25" s="2"/>
      <c r="J25" s="7">
        <f t="shared" si="14"/>
        <v>6.2615651449868942E-3</v>
      </c>
      <c r="K25" s="2"/>
      <c r="L25" s="6">
        <f t="shared" si="15"/>
        <v>-117.87</v>
      </c>
      <c r="M25" s="2"/>
      <c r="N25" s="7">
        <f t="shared" si="16"/>
        <v>-0.49854079431544218</v>
      </c>
      <c r="O25" s="11"/>
      <c r="P25" s="6">
        <v>2071.85</v>
      </c>
      <c r="Q25" s="2"/>
      <c r="R25" s="7">
        <f t="shared" si="17"/>
        <v>3.4706985747244659E-3</v>
      </c>
      <c r="S25" s="2"/>
      <c r="T25" s="6">
        <v>2505.98</v>
      </c>
      <c r="U25" s="2"/>
      <c r="V25" s="7">
        <f t="shared" si="18"/>
        <v>3.4916056726867488E-3</v>
      </c>
      <c r="W25" s="2"/>
      <c r="X25" s="6">
        <f t="shared" si="19"/>
        <v>-434.13000000000011</v>
      </c>
      <c r="Y25" s="2"/>
      <c r="Z25" s="7">
        <f t="shared" si="20"/>
        <v>-0.17323761562342879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1915.63</v>
      </c>
      <c r="E26" s="2"/>
      <c r="F26" s="7">
        <f t="shared" si="13"/>
        <v>0</v>
      </c>
      <c r="G26" s="2"/>
      <c r="H26" s="6">
        <v>1815.82</v>
      </c>
      <c r="I26" s="2"/>
      <c r="J26" s="7">
        <f t="shared" si="14"/>
        <v>4.8089816104428806E-2</v>
      </c>
      <c r="K26" s="2"/>
      <c r="L26" s="6">
        <f t="shared" si="15"/>
        <v>99.810000000000173</v>
      </c>
      <c r="M26" s="2"/>
      <c r="N26" s="7">
        <f t="shared" si="16"/>
        <v>5.496690200570551E-2</v>
      </c>
      <c r="O26" s="11"/>
      <c r="P26" s="6">
        <v>20940.72</v>
      </c>
      <c r="Q26" s="2"/>
      <c r="R26" s="7">
        <f t="shared" si="17"/>
        <v>3.5079241768324991E-2</v>
      </c>
      <c r="S26" s="2"/>
      <c r="T26" s="6">
        <v>19851.289999999997</v>
      </c>
      <c r="U26" s="2"/>
      <c r="V26" s="7">
        <f t="shared" si="18"/>
        <v>2.7658990404612054E-2</v>
      </c>
      <c r="W26" s="2"/>
      <c r="X26" s="6">
        <f t="shared" si="19"/>
        <v>1089.4300000000039</v>
      </c>
      <c r="Y26" s="2"/>
      <c r="Z26" s="7">
        <f t="shared" si="20"/>
        <v>5.4879556945669733E-2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16.22</v>
      </c>
      <c r="E27" s="2"/>
      <c r="F27" s="7">
        <f t="shared" si="13"/>
        <v>0</v>
      </c>
      <c r="G27" s="2"/>
      <c r="H27" s="6">
        <v>32.28</v>
      </c>
      <c r="I27" s="2"/>
      <c r="J27" s="7">
        <f t="shared" si="14"/>
        <v>8.5489710645931974E-4</v>
      </c>
      <c r="K27" s="2"/>
      <c r="L27" s="6">
        <f t="shared" si="15"/>
        <v>-16.060000000000002</v>
      </c>
      <c r="M27" s="2"/>
      <c r="N27" s="7">
        <f t="shared" si="16"/>
        <v>-0.49752168525402729</v>
      </c>
      <c r="O27" s="11"/>
      <c r="P27" s="6">
        <v>319.77999999999997</v>
      </c>
      <c r="Q27" s="2"/>
      <c r="R27" s="7">
        <f t="shared" si="17"/>
        <v>5.3568549374973559E-4</v>
      </c>
      <c r="S27" s="2"/>
      <c r="T27" s="6">
        <v>337.45</v>
      </c>
      <c r="U27" s="2"/>
      <c r="V27" s="7">
        <f t="shared" si="18"/>
        <v>4.7017228160166612E-4</v>
      </c>
      <c r="W27" s="2"/>
      <c r="X27" s="6">
        <f t="shared" si="19"/>
        <v>-17.670000000000016</v>
      </c>
      <c r="Y27" s="2"/>
      <c r="Z27" s="7">
        <f t="shared" si="20"/>
        <v>-5.2363313083419814E-2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425.19</v>
      </c>
      <c r="E28" s="2"/>
      <c r="F28" s="7">
        <f t="shared" si="13"/>
        <v>0</v>
      </c>
      <c r="G28" s="2"/>
      <c r="H28" s="6">
        <v>361.31</v>
      </c>
      <c r="I28" s="2"/>
      <c r="J28" s="7">
        <f t="shared" si="14"/>
        <v>9.5688622532471134E-3</v>
      </c>
      <c r="K28" s="2"/>
      <c r="L28" s="6">
        <f t="shared" si="15"/>
        <v>63.879999999999995</v>
      </c>
      <c r="M28" s="2"/>
      <c r="N28" s="7">
        <f t="shared" si="16"/>
        <v>0.17680108494090946</v>
      </c>
      <c r="O28" s="11"/>
      <c r="P28" s="6">
        <v>4957.76</v>
      </c>
      <c r="Q28" s="2"/>
      <c r="R28" s="7">
        <f t="shared" si="17"/>
        <v>8.3050851006713656E-3</v>
      </c>
      <c r="S28" s="2"/>
      <c r="T28" s="6">
        <v>4505.18</v>
      </c>
      <c r="U28" s="2"/>
      <c r="V28" s="7">
        <f t="shared" si="18"/>
        <v>6.2771099707399454E-3</v>
      </c>
      <c r="W28" s="2"/>
      <c r="X28" s="6">
        <f t="shared" si="19"/>
        <v>452.57999999999993</v>
      </c>
      <c r="Y28" s="2"/>
      <c r="Z28" s="7">
        <f t="shared" si="20"/>
        <v>0.10045769536400319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304.2</v>
      </c>
      <c r="E29" s="2"/>
      <c r="F29" s="7">
        <f t="shared" si="13"/>
        <v>0</v>
      </c>
      <c r="G29" s="2"/>
      <c r="H29" s="6">
        <v>421.2</v>
      </c>
      <c r="I29" s="2"/>
      <c r="J29" s="7">
        <f t="shared" si="14"/>
        <v>1.1154977114023093E-2</v>
      </c>
      <c r="K29" s="2"/>
      <c r="L29" s="6">
        <f t="shared" si="15"/>
        <v>-117</v>
      </c>
      <c r="M29" s="2"/>
      <c r="N29" s="7">
        <f t="shared" si="16"/>
        <v>-0.27777777777777779</v>
      </c>
      <c r="O29" s="11"/>
      <c r="P29" s="6">
        <v>3498.3</v>
      </c>
      <c r="Q29" s="2"/>
      <c r="R29" s="7">
        <f t="shared" si="17"/>
        <v>5.8602431758856101E-3</v>
      </c>
      <c r="S29" s="2"/>
      <c r="T29" s="6">
        <v>3372.14</v>
      </c>
      <c r="U29" s="2"/>
      <c r="V29" s="7">
        <f t="shared" si="18"/>
        <v>4.6984346056608162E-3</v>
      </c>
      <c r="W29" s="2"/>
      <c r="X29" s="6">
        <f t="shared" si="19"/>
        <v>126.16000000000031</v>
      </c>
      <c r="Y29" s="2"/>
      <c r="Z29" s="7">
        <f t="shared" si="20"/>
        <v>3.741244432318952E-2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191.88</v>
      </c>
      <c r="E30" s="2"/>
      <c r="F30" s="7">
        <f t="shared" si="13"/>
        <v>0</v>
      </c>
      <c r="G30" s="2"/>
      <c r="H30" s="6">
        <v>265.68</v>
      </c>
      <c r="I30" s="2"/>
      <c r="J30" s="7">
        <f t="shared" si="14"/>
        <v>7.0362163334607205E-3</v>
      </c>
      <c r="K30" s="2"/>
      <c r="L30" s="6">
        <f t="shared" si="15"/>
        <v>-73.800000000000011</v>
      </c>
      <c r="M30" s="2"/>
      <c r="N30" s="7">
        <f t="shared" si="16"/>
        <v>-0.27777777777777779</v>
      </c>
      <c r="O30" s="11"/>
      <c r="P30" s="6">
        <v>2206.62</v>
      </c>
      <c r="Q30" s="2"/>
      <c r="R30" s="7">
        <f t="shared" si="17"/>
        <v>3.6964610801739997E-3</v>
      </c>
      <c r="S30" s="2"/>
      <c r="T30" s="6">
        <v>2597.65</v>
      </c>
      <c r="U30" s="2"/>
      <c r="V30" s="7">
        <f t="shared" si="18"/>
        <v>3.6193303520597664E-3</v>
      </c>
      <c r="W30" s="2"/>
      <c r="X30" s="6">
        <f t="shared" si="19"/>
        <v>-391.0300000000002</v>
      </c>
      <c r="Y30" s="2"/>
      <c r="Z30" s="7">
        <f t="shared" si="20"/>
        <v>-0.15053221180682547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148.1</v>
      </c>
      <c r="I31" s="2"/>
      <c r="J31" s="7">
        <f t="shared" si="14"/>
        <v>3.9222509748025169E-3</v>
      </c>
      <c r="K31" s="2"/>
      <c r="L31" s="6">
        <f t="shared" si="15"/>
        <v>-148.1</v>
      </c>
      <c r="M31" s="2"/>
      <c r="N31" s="7">
        <f t="shared" si="16"/>
        <v>-1</v>
      </c>
      <c r="O31" s="11"/>
      <c r="P31" s="6">
        <v>1402.27</v>
      </c>
      <c r="Q31" s="2"/>
      <c r="R31" s="7">
        <f t="shared" si="17"/>
        <v>2.349039018451566E-3</v>
      </c>
      <c r="S31" s="2"/>
      <c r="T31" s="6">
        <v>743.41</v>
      </c>
      <c r="U31" s="2"/>
      <c r="V31" s="7">
        <f t="shared" si="18"/>
        <v>1.0358001951859374E-3</v>
      </c>
      <c r="W31" s="2"/>
      <c r="X31" s="6">
        <f t="shared" si="19"/>
        <v>658.86</v>
      </c>
      <c r="Y31" s="2"/>
      <c r="Z31" s="7">
        <f t="shared" si="20"/>
        <v>0.88626733565596383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1872</v>
      </c>
      <c r="E32" s="1"/>
      <c r="F32" s="5">
        <f t="shared" ref="F32:F38" si="21">IF(D$12=0,0,D32/D$12)</f>
        <v>0</v>
      </c>
      <c r="G32" s="1"/>
      <c r="H32" s="1">
        <f>SUM(OSRRefH22_1x_0)</f>
        <v>10936.83</v>
      </c>
      <c r="I32" s="1"/>
      <c r="J32" s="5">
        <f t="shared" ref="J32:J38" si="22">IF(H$12=0,0,H32/H$12)</f>
        <v>0.28964883273969894</v>
      </c>
      <c r="K32" s="1"/>
      <c r="L32" s="1">
        <f t="shared" ref="L32:L38" si="23">+D32-H32</f>
        <v>-9064.83</v>
      </c>
      <c r="M32" s="1"/>
      <c r="N32" s="5">
        <f t="shared" ref="N32:N38" si="24">IF(H32=0,0,L32/H32)</f>
        <v>-0.82883522922089858</v>
      </c>
      <c r="O32" s="13"/>
      <c r="P32" s="1">
        <f>SUM(OSRRefP22_1x_0)</f>
        <v>105483.43000000001</v>
      </c>
      <c r="Q32" s="1"/>
      <c r="R32" s="5">
        <f t="shared" ref="R32:R38" si="25">IF(P$12=0,0,P32/P$12)</f>
        <v>0.17670255576322996</v>
      </c>
      <c r="S32" s="1"/>
      <c r="T32" s="1">
        <f>SUM(OSRRefT22_1x_0)</f>
        <v>118862.91</v>
      </c>
      <c r="U32" s="1"/>
      <c r="V32" s="5">
        <f t="shared" ref="V32:V38" si="26">IF(T$12=0,0,T32/T$12)</f>
        <v>0.1656128184694429</v>
      </c>
      <c r="W32" s="1"/>
      <c r="X32" s="1">
        <f t="shared" ref="X32:X38" si="27">+P32-T32</f>
        <v>-13379.479999999996</v>
      </c>
      <c r="Y32" s="1"/>
      <c r="Z32" s="5">
        <f t="shared" ref="Z32:Z38" si="28">IF(T32=0,0,X32/T32)</f>
        <v>-0.11256227867885782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1872</v>
      </c>
      <c r="E33" s="2"/>
      <c r="F33" s="7">
        <f t="shared" si="21"/>
        <v>0</v>
      </c>
      <c r="G33" s="2"/>
      <c r="H33" s="6">
        <v>3456</v>
      </c>
      <c r="I33" s="2"/>
      <c r="J33" s="7">
        <f t="shared" si="22"/>
        <v>9.1528017345830506E-2</v>
      </c>
      <c r="K33" s="2"/>
      <c r="L33" s="6">
        <f t="shared" si="23"/>
        <v>-1584</v>
      </c>
      <c r="M33" s="2"/>
      <c r="N33" s="7">
        <f t="shared" si="24"/>
        <v>-0.45833333333333331</v>
      </c>
      <c r="O33" s="11"/>
      <c r="P33" s="6">
        <v>37264</v>
      </c>
      <c r="Q33" s="2"/>
      <c r="R33" s="7">
        <f t="shared" si="25"/>
        <v>6.2423491897836476E-2</v>
      </c>
      <c r="S33" s="2"/>
      <c r="T33" s="6">
        <v>41760.29</v>
      </c>
      <c r="U33" s="2"/>
      <c r="V33" s="7">
        <f t="shared" si="26"/>
        <v>5.8185007644531765E-2</v>
      </c>
      <c r="W33" s="2"/>
      <c r="X33" s="6">
        <f t="shared" si="27"/>
        <v>-4496.2900000000009</v>
      </c>
      <c r="Y33" s="2"/>
      <c r="Z33" s="7">
        <f t="shared" si="28"/>
        <v>-0.10766903199187555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254.64</v>
      </c>
      <c r="Q34" s="2"/>
      <c r="R34" s="7">
        <f t="shared" si="25"/>
        <v>4.2656499508547338E-4</v>
      </c>
      <c r="S34" s="2"/>
      <c r="T34" s="6"/>
      <c r="U34" s="2"/>
      <c r="V34" s="7">
        <f t="shared" si="26"/>
        <v>0</v>
      </c>
      <c r="W34" s="2"/>
      <c r="X34" s="6">
        <f t="shared" si="27"/>
        <v>254.64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1991.5</v>
      </c>
      <c r="I35" s="2"/>
      <c r="J35" s="7">
        <f t="shared" si="22"/>
        <v>5.2742490319508527E-2</v>
      </c>
      <c r="K35" s="2"/>
      <c r="L35" s="6">
        <f t="shared" si="23"/>
        <v>-1991.5</v>
      </c>
      <c r="M35" s="2"/>
      <c r="N35" s="7">
        <f t="shared" si="24"/>
        <v>-1</v>
      </c>
      <c r="O35" s="11"/>
      <c r="P35" s="6">
        <v>23945.94</v>
      </c>
      <c r="Q35" s="2"/>
      <c r="R35" s="7">
        <f t="shared" si="25"/>
        <v>4.0113492689353755E-2</v>
      </c>
      <c r="S35" s="2"/>
      <c r="T35" s="6">
        <v>7610.7</v>
      </c>
      <c r="U35" s="2"/>
      <c r="V35" s="7">
        <f t="shared" si="26"/>
        <v>1.0604060404758633E-2</v>
      </c>
      <c r="W35" s="2"/>
      <c r="X35" s="6">
        <f t="shared" si="27"/>
        <v>16335.239999999998</v>
      </c>
      <c r="Y35" s="2"/>
      <c r="Z35" s="7">
        <f t="shared" si="28"/>
        <v>2.1463518467420868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837</v>
      </c>
      <c r="I36" s="2"/>
      <c r="J36" s="7">
        <f t="shared" si="22"/>
        <v>2.2166941700943327E-2</v>
      </c>
      <c r="K36" s="2"/>
      <c r="L36" s="6">
        <f t="shared" si="23"/>
        <v>-837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4044.5</v>
      </c>
      <c r="U36" s="2"/>
      <c r="V36" s="7">
        <f t="shared" si="26"/>
        <v>5.6352401628031968E-3</v>
      </c>
      <c r="W36" s="2"/>
      <c r="X36" s="6">
        <f t="shared" si="27"/>
        <v>-4044.5</v>
      </c>
      <c r="Y36" s="2"/>
      <c r="Z36" s="7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3806.33</v>
      </c>
      <c r="I37" s="2"/>
      <c r="J37" s="7">
        <f t="shared" si="22"/>
        <v>0.10080608746063514</v>
      </c>
      <c r="K37" s="2"/>
      <c r="L37" s="6">
        <f t="shared" si="23"/>
        <v>-3806.33</v>
      </c>
      <c r="M37" s="2"/>
      <c r="N37" s="7">
        <f t="shared" si="24"/>
        <v>-1</v>
      </c>
      <c r="O37" s="11"/>
      <c r="P37" s="6">
        <v>40507.550000000003</v>
      </c>
      <c r="Q37" s="2"/>
      <c r="R37" s="7">
        <f t="shared" si="25"/>
        <v>6.7856985810063497E-2</v>
      </c>
      <c r="S37" s="2"/>
      <c r="T37" s="6">
        <v>57407.55</v>
      </c>
      <c r="U37" s="2"/>
      <c r="V37" s="7">
        <f t="shared" si="26"/>
        <v>7.9986483226142338E-2</v>
      </c>
      <c r="W37" s="2"/>
      <c r="X37" s="6">
        <f t="shared" si="27"/>
        <v>-16900</v>
      </c>
      <c r="Y37" s="2"/>
      <c r="Z37" s="7">
        <f t="shared" si="28"/>
        <v>-0.29438636555644682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846</v>
      </c>
      <c r="I38" s="2"/>
      <c r="J38" s="7">
        <f t="shared" si="22"/>
        <v>2.2405295912781426E-2</v>
      </c>
      <c r="K38" s="2"/>
      <c r="L38" s="6">
        <f t="shared" si="23"/>
        <v>-846</v>
      </c>
      <c r="M38" s="2"/>
      <c r="N38" s="7">
        <f t="shared" si="24"/>
        <v>-1</v>
      </c>
      <c r="O38" s="11"/>
      <c r="P38" s="6">
        <v>3511.3</v>
      </c>
      <c r="Q38" s="2"/>
      <c r="R38" s="7">
        <f t="shared" si="25"/>
        <v>5.882020370890759E-3</v>
      </c>
      <c r="S38" s="2"/>
      <c r="T38" s="6">
        <v>8039.87</v>
      </c>
      <c r="U38" s="2"/>
      <c r="V38" s="7">
        <f t="shared" si="26"/>
        <v>1.1202027031206957E-2</v>
      </c>
      <c r="W38" s="2"/>
      <c r="X38" s="6">
        <f t="shared" si="27"/>
        <v>-4528.57</v>
      </c>
      <c r="Y38" s="2"/>
      <c r="Z38" s="7">
        <f t="shared" si="28"/>
        <v>-0.56326408262820171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267.47000000000003</v>
      </c>
      <c r="I39" s="1"/>
      <c r="J39" s="5">
        <f t="shared" ref="J39:J47" si="30">IF(H$12=0,0,H39/H$12)</f>
        <v>7.0836223378151876E-3</v>
      </c>
      <c r="K39" s="1"/>
      <c r="L39" s="1">
        <f t="shared" ref="L39:L47" si="31">+D39-H39</f>
        <v>-267.47000000000003</v>
      </c>
      <c r="M39" s="1"/>
      <c r="N39" s="5">
        <f t="shared" ref="N39:N47" si="32">IF(H39=0,0,L39/H39)</f>
        <v>-1</v>
      </c>
      <c r="O39" s="13"/>
      <c r="P39" s="1">
        <f>SUM(OSRRefP22_2x_0)</f>
        <v>968.17</v>
      </c>
      <c r="Q39" s="1"/>
      <c r="R39" s="5">
        <f t="shared" ref="R39:R47" si="33">IF(P$12=0,0,P39/P$12)</f>
        <v>1.6218482221642427E-3</v>
      </c>
      <c r="S39" s="1"/>
      <c r="T39" s="1">
        <f>SUM(OSRRefT22_2x_0)</f>
        <v>1722.92</v>
      </c>
      <c r="U39" s="1"/>
      <c r="V39" s="5">
        <f t="shared" ref="V39:V47" si="34">IF(T$12=0,0,T39/T$12)</f>
        <v>2.4005607569036677E-3</v>
      </c>
      <c r="W39" s="1"/>
      <c r="X39" s="1">
        <f t="shared" ref="X39:X47" si="35">+P39-T39</f>
        <v>-754.75000000000011</v>
      </c>
      <c r="Y39" s="1"/>
      <c r="Z39" s="5">
        <f t="shared" ref="Z39:Z47" si="36">IF(T39=0,0,X39/T39)</f>
        <v>-0.43806444872658051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267.47000000000003</v>
      </c>
      <c r="I40" s="2"/>
      <c r="J40" s="7">
        <f t="shared" si="30"/>
        <v>7.0836223378151876E-3</v>
      </c>
      <c r="K40" s="2"/>
      <c r="L40" s="6">
        <f t="shared" si="31"/>
        <v>-267.47000000000003</v>
      </c>
      <c r="M40" s="2"/>
      <c r="N40" s="7">
        <f t="shared" si="32"/>
        <v>-1</v>
      </c>
      <c r="O40" s="11"/>
      <c r="P40" s="6">
        <v>968.17</v>
      </c>
      <c r="Q40" s="2"/>
      <c r="R40" s="7">
        <f t="shared" si="33"/>
        <v>1.6218482221642427E-3</v>
      </c>
      <c r="S40" s="2"/>
      <c r="T40" s="6">
        <v>1722.92</v>
      </c>
      <c r="U40" s="2"/>
      <c r="V40" s="7">
        <f t="shared" si="34"/>
        <v>2.4005607569036677E-3</v>
      </c>
      <c r="W40" s="2"/>
      <c r="X40" s="6">
        <f t="shared" si="35"/>
        <v>-754.75000000000011</v>
      </c>
      <c r="Y40" s="2"/>
      <c r="Z40" s="7">
        <f t="shared" si="36"/>
        <v>-0.43806444872658051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-16.14</v>
      </c>
      <c r="I41" s="1"/>
      <c r="J41" s="5">
        <f t="shared" si="30"/>
        <v>-4.2744855322965987E-4</v>
      </c>
      <c r="K41" s="1"/>
      <c r="L41" s="1">
        <f t="shared" si="31"/>
        <v>16.14</v>
      </c>
      <c r="M41" s="1"/>
      <c r="N41" s="5">
        <f t="shared" si="32"/>
        <v>-1</v>
      </c>
      <c r="O41" s="13"/>
      <c r="P41" s="1">
        <f>SUM(OSRRefP22_3x_0)</f>
        <v>-84.11</v>
      </c>
      <c r="Q41" s="1"/>
      <c r="R41" s="5">
        <f t="shared" si="33"/>
        <v>-1.4089845168331435E-4</v>
      </c>
      <c r="S41" s="1"/>
      <c r="T41" s="1">
        <f>SUM(OSRRefT22_3x_0)</f>
        <v>-210.91</v>
      </c>
      <c r="U41" s="1"/>
      <c r="V41" s="5">
        <f t="shared" si="34"/>
        <v>-2.9386290091156441E-4</v>
      </c>
      <c r="W41" s="1"/>
      <c r="X41" s="1">
        <f t="shared" si="35"/>
        <v>126.8</v>
      </c>
      <c r="Y41" s="1"/>
      <c r="Z41" s="5">
        <f t="shared" si="36"/>
        <v>-0.60120430515385714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-16.14</v>
      </c>
      <c r="I42" s="2"/>
      <c r="J42" s="7">
        <f t="shared" si="30"/>
        <v>-4.2744855322965987E-4</v>
      </c>
      <c r="K42" s="2"/>
      <c r="L42" s="6">
        <f t="shared" si="31"/>
        <v>16.14</v>
      </c>
      <c r="M42" s="2"/>
      <c r="N42" s="7">
        <f t="shared" si="32"/>
        <v>-1</v>
      </c>
      <c r="O42" s="11"/>
      <c r="P42" s="6">
        <v>-84.11</v>
      </c>
      <c r="Q42" s="2"/>
      <c r="R42" s="7">
        <f t="shared" si="33"/>
        <v>-1.4089845168331435E-4</v>
      </c>
      <c r="S42" s="2"/>
      <c r="T42" s="6">
        <v>-210.91</v>
      </c>
      <c r="U42" s="2"/>
      <c r="V42" s="7">
        <f t="shared" si="34"/>
        <v>-2.9386290091156441E-4</v>
      </c>
      <c r="W42" s="2"/>
      <c r="X42" s="6">
        <f t="shared" si="35"/>
        <v>126.8</v>
      </c>
      <c r="Y42" s="2"/>
      <c r="Z42" s="7">
        <f t="shared" si="36"/>
        <v>-0.60120430515385714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1792.28</v>
      </c>
      <c r="I43" s="1"/>
      <c r="J43" s="5">
        <f t="shared" si="30"/>
        <v>4.7466387421465597E-2</v>
      </c>
      <c r="K43" s="1"/>
      <c r="L43" s="1">
        <f t="shared" si="31"/>
        <v>-1792.28</v>
      </c>
      <c r="M43" s="1"/>
      <c r="N43" s="5">
        <f t="shared" si="32"/>
        <v>-1</v>
      </c>
      <c r="O43" s="13"/>
      <c r="P43" s="1">
        <f>SUM(OSRRefP22_4x_0)</f>
        <v>22867.9</v>
      </c>
      <c r="Q43" s="1"/>
      <c r="R43" s="5">
        <f t="shared" si="33"/>
        <v>3.8307593666019074E-2</v>
      </c>
      <c r="S43" s="1"/>
      <c r="T43" s="1">
        <f>SUM(OSRRefT22_4x_0)</f>
        <v>24237.1</v>
      </c>
      <c r="U43" s="1"/>
      <c r="V43" s="5">
        <f t="shared" si="34"/>
        <v>3.3769781023581989E-2</v>
      </c>
      <c r="W43" s="1"/>
      <c r="X43" s="1">
        <f t="shared" si="35"/>
        <v>-1369.1999999999971</v>
      </c>
      <c r="Y43" s="1"/>
      <c r="Z43" s="5">
        <f t="shared" si="36"/>
        <v>-5.6491907035082466E-2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1792.28</v>
      </c>
      <c r="I44" s="2"/>
      <c r="J44" s="7">
        <f t="shared" si="30"/>
        <v>4.7466387421465597E-2</v>
      </c>
      <c r="K44" s="2"/>
      <c r="L44" s="6">
        <f t="shared" si="31"/>
        <v>-1792.28</v>
      </c>
      <c r="M44" s="2"/>
      <c r="N44" s="7">
        <f t="shared" si="32"/>
        <v>-1</v>
      </c>
      <c r="O44" s="11"/>
      <c r="P44" s="6">
        <v>22867.9</v>
      </c>
      <c r="Q44" s="2"/>
      <c r="R44" s="7">
        <f t="shared" si="33"/>
        <v>3.8307593666019074E-2</v>
      </c>
      <c r="S44" s="2"/>
      <c r="T44" s="6">
        <v>24237.1</v>
      </c>
      <c r="U44" s="2"/>
      <c r="V44" s="7">
        <f t="shared" si="34"/>
        <v>3.3769781023581989E-2</v>
      </c>
      <c r="W44" s="2"/>
      <c r="X44" s="6">
        <f t="shared" si="35"/>
        <v>-1369.1999999999971</v>
      </c>
      <c r="Y44" s="2"/>
      <c r="Z44" s="7">
        <f t="shared" si="36"/>
        <v>-5.6491907035082466E-2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5582.59</v>
      </c>
      <c r="E45" s="1"/>
      <c r="F45" s="5">
        <f t="shared" si="29"/>
        <v>0</v>
      </c>
      <c r="G45" s="1"/>
      <c r="H45" s="1">
        <f>SUM(OSRRefH22_5x_0)</f>
        <v>5418.9000000000005</v>
      </c>
      <c r="I45" s="1"/>
      <c r="J45" s="5">
        <f t="shared" si="30"/>
        <v>0.1435130709477202</v>
      </c>
      <c r="K45" s="1"/>
      <c r="L45" s="1">
        <f t="shared" si="31"/>
        <v>163.6899999999996</v>
      </c>
      <c r="M45" s="1"/>
      <c r="N45" s="5">
        <f t="shared" si="32"/>
        <v>3.0207237631253499E-2</v>
      </c>
      <c r="O45" s="13"/>
      <c r="P45" s="1">
        <f>SUM(OSRRefP22_5x_0)</f>
        <v>60637.66</v>
      </c>
      <c r="Q45" s="1"/>
      <c r="R45" s="5">
        <f t="shared" si="33"/>
        <v>0.10157831895968665</v>
      </c>
      <c r="S45" s="1"/>
      <c r="T45" s="1">
        <f>SUM(OSRRefT22_5x_0)</f>
        <v>58511.38</v>
      </c>
      <c r="U45" s="1"/>
      <c r="V45" s="5">
        <f t="shared" si="34"/>
        <v>8.1524460021520515E-2</v>
      </c>
      <c r="W45" s="1"/>
      <c r="X45" s="1">
        <f t="shared" si="35"/>
        <v>2126.2800000000061</v>
      </c>
      <c r="Y45" s="1"/>
      <c r="Z45" s="5">
        <f t="shared" si="36"/>
        <v>3.6339597527865627E-2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9"/>
        <v>0</v>
      </c>
      <c r="G46" s="2"/>
      <c r="H46" s="6">
        <v>5080.51</v>
      </c>
      <c r="I46" s="2"/>
      <c r="J46" s="7">
        <f t="shared" si="30"/>
        <v>0.13455121742062076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55885.61</v>
      </c>
      <c r="Q46" s="2"/>
      <c r="R46" s="7">
        <f t="shared" si="33"/>
        <v>9.3617832842439061E-2</v>
      </c>
      <c r="S46" s="2"/>
      <c r="T46" s="6">
        <v>55885.61</v>
      </c>
      <c r="U46" s="2"/>
      <c r="V46" s="7">
        <f t="shared" si="34"/>
        <v>7.7865949807085166E-2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502.08</v>
      </c>
      <c r="E47" s="2"/>
      <c r="F47" s="7">
        <f t="shared" si="29"/>
        <v>0</v>
      </c>
      <c r="G47" s="2"/>
      <c r="H47" s="6">
        <v>338.39</v>
      </c>
      <c r="I47" s="2"/>
      <c r="J47" s="7">
        <f t="shared" si="30"/>
        <v>8.9618535270994167E-3</v>
      </c>
      <c r="K47" s="2"/>
      <c r="L47" s="6">
        <f t="shared" si="31"/>
        <v>163.69</v>
      </c>
      <c r="M47" s="2"/>
      <c r="N47" s="7">
        <f t="shared" si="32"/>
        <v>0.48373178876444339</v>
      </c>
      <c r="O47" s="11"/>
      <c r="P47" s="6">
        <v>4752.05</v>
      </c>
      <c r="Q47" s="2"/>
      <c r="R47" s="7">
        <f t="shared" si="33"/>
        <v>7.9604861172475807E-3</v>
      </c>
      <c r="S47" s="2"/>
      <c r="T47" s="6">
        <v>2625.77</v>
      </c>
      <c r="U47" s="2"/>
      <c r="V47" s="7">
        <f t="shared" si="34"/>
        <v>3.6585102144353443E-3</v>
      </c>
      <c r="W47" s="2"/>
      <c r="X47" s="6">
        <f t="shared" si="35"/>
        <v>2126.2800000000002</v>
      </c>
      <c r="Y47" s="2"/>
      <c r="Z47" s="7">
        <f t="shared" si="36"/>
        <v>0.80977389489559259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1" si="37">IF(D$12=0,0,D48/D$12)</f>
        <v>0</v>
      </c>
      <c r="G48" s="1"/>
      <c r="H48" s="1">
        <f>SUM(OSRRefH22_6x_0)</f>
        <v>0</v>
      </c>
      <c r="I48" s="1"/>
      <c r="J48" s="5">
        <f t="shared" ref="J48:J61" si="38">IF(H$12=0,0,H48/H$12)</f>
        <v>0</v>
      </c>
      <c r="K48" s="1"/>
      <c r="L48" s="1">
        <f t="shared" ref="L48:L61" si="39">+D48-H48</f>
        <v>0</v>
      </c>
      <c r="M48" s="1"/>
      <c r="N48" s="5">
        <f t="shared" ref="N48:N61" si="40">IF(H48=0,0,L48/H48)</f>
        <v>0</v>
      </c>
      <c r="O48" s="13"/>
      <c r="P48" s="1">
        <f>SUM(OSRRefP22_6x_0)</f>
        <v>101.58</v>
      </c>
      <c r="Q48" s="1"/>
      <c r="R48" s="5">
        <f t="shared" ref="R48:R61" si="41">IF(P$12=0,0,P48/P$12)</f>
        <v>1.7016365143254157E-4</v>
      </c>
      <c r="S48" s="1"/>
      <c r="T48" s="1">
        <f>SUM(OSRRefT22_6x_0)</f>
        <v>102.91</v>
      </c>
      <c r="U48" s="1"/>
      <c r="V48" s="5">
        <f t="shared" ref="V48:V61" si="42">IF(T$12=0,0,T48/T$12)</f>
        <v>1.4338547784746618E-4</v>
      </c>
      <c r="W48" s="1"/>
      <c r="X48" s="1">
        <f t="shared" ref="X48:X61" si="43">+P48-T48</f>
        <v>-1.3299999999999983</v>
      </c>
      <c r="Y48" s="1"/>
      <c r="Z48" s="5">
        <f t="shared" ref="Z48:Z61" si="44">IF(T48=0,0,X48/T48)</f>
        <v>-1.2923914099698749E-2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101.58</v>
      </c>
      <c r="Q49" s="2"/>
      <c r="R49" s="7">
        <f t="shared" si="41"/>
        <v>1.7016365143254157E-4</v>
      </c>
      <c r="S49" s="2"/>
      <c r="T49" s="6">
        <v>102.91</v>
      </c>
      <c r="U49" s="2"/>
      <c r="V49" s="7">
        <f t="shared" si="42"/>
        <v>1.4338547784746618E-4</v>
      </c>
      <c r="W49" s="2"/>
      <c r="X49" s="6">
        <f t="shared" si="43"/>
        <v>-1.3299999999999983</v>
      </c>
      <c r="Y49" s="2"/>
      <c r="Z49" s="7">
        <f t="shared" si="44"/>
        <v>-1.2923914099698749E-2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106.63</v>
      </c>
      <c r="I50" s="1"/>
      <c r="J50" s="5">
        <f t="shared" si="38"/>
        <v>2.8239677342551815E-3</v>
      </c>
      <c r="K50" s="1"/>
      <c r="L50" s="1">
        <f t="shared" si="39"/>
        <v>-70.359999999999985</v>
      </c>
      <c r="M50" s="1"/>
      <c r="N50" s="5">
        <f t="shared" si="40"/>
        <v>-0.65985182406452203</v>
      </c>
      <c r="O50" s="13"/>
      <c r="P50" s="1">
        <f>SUM(OSRRefP22_7x_0)</f>
        <v>974.12</v>
      </c>
      <c r="Q50" s="1"/>
      <c r="R50" s="5">
        <f t="shared" si="41"/>
        <v>1.6318154768012148E-3</v>
      </c>
      <c r="S50" s="1"/>
      <c r="T50" s="1">
        <f>SUM(OSRRefT22_7x_0)</f>
        <v>1302.05</v>
      </c>
      <c r="U50" s="1"/>
      <c r="V50" s="5">
        <f t="shared" si="42"/>
        <v>1.8141585990797137E-3</v>
      </c>
      <c r="W50" s="1"/>
      <c r="X50" s="1">
        <f t="shared" si="43"/>
        <v>-327.92999999999995</v>
      </c>
      <c r="Y50" s="1"/>
      <c r="Z50" s="5">
        <f t="shared" si="44"/>
        <v>-0.25185668753120077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36.270000000000003</v>
      </c>
      <c r="E51" s="2"/>
      <c r="F51" s="7">
        <f t="shared" si="37"/>
        <v>0</v>
      </c>
      <c r="G51" s="2"/>
      <c r="H51" s="6">
        <v>106.63</v>
      </c>
      <c r="I51" s="2"/>
      <c r="J51" s="7">
        <f t="shared" si="38"/>
        <v>2.8239677342551815E-3</v>
      </c>
      <c r="K51" s="2"/>
      <c r="L51" s="6">
        <f t="shared" si="39"/>
        <v>-70.359999999999985</v>
      </c>
      <c r="M51" s="2"/>
      <c r="N51" s="7">
        <f t="shared" si="40"/>
        <v>-0.65985182406452203</v>
      </c>
      <c r="O51" s="11"/>
      <c r="P51" s="6">
        <v>974.12</v>
      </c>
      <c r="Q51" s="2"/>
      <c r="R51" s="7">
        <f t="shared" si="41"/>
        <v>1.6318154768012148E-3</v>
      </c>
      <c r="S51" s="2"/>
      <c r="T51" s="6">
        <v>1302.05</v>
      </c>
      <c r="U51" s="2"/>
      <c r="V51" s="7">
        <f t="shared" si="42"/>
        <v>1.8141585990797137E-3</v>
      </c>
      <c r="W51" s="2"/>
      <c r="X51" s="6">
        <f t="shared" si="43"/>
        <v>-327.92999999999995</v>
      </c>
      <c r="Y51" s="2"/>
      <c r="Z51" s="7">
        <f t="shared" si="44"/>
        <v>-0.25185668753120077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21.5</v>
      </c>
      <c r="I52" s="1"/>
      <c r="J52" s="5">
        <f t="shared" si="38"/>
        <v>5.6940172827990619E-4</v>
      </c>
      <c r="K52" s="1"/>
      <c r="L52" s="1">
        <f t="shared" si="39"/>
        <v>-21.5</v>
      </c>
      <c r="M52" s="1"/>
      <c r="N52" s="5">
        <f t="shared" si="40"/>
        <v>-1</v>
      </c>
      <c r="O52" s="13"/>
      <c r="P52" s="1">
        <f>SUM(OSRRefP22_8x_0)</f>
        <v>1345.73</v>
      </c>
      <c r="Q52" s="1"/>
      <c r="R52" s="5">
        <f t="shared" si="41"/>
        <v>2.2543249718676331E-3</v>
      </c>
      <c r="S52" s="1"/>
      <c r="T52" s="1">
        <f>SUM(OSRRefT22_8x_0)</f>
        <v>1294.97</v>
      </c>
      <c r="U52" s="1"/>
      <c r="V52" s="5">
        <f t="shared" si="42"/>
        <v>1.8042939680121784E-3</v>
      </c>
      <c r="W52" s="1"/>
      <c r="X52" s="1">
        <f t="shared" si="43"/>
        <v>50.759999999999991</v>
      </c>
      <c r="Y52" s="1"/>
      <c r="Z52" s="5">
        <f t="shared" si="44"/>
        <v>3.9197819254500096E-2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7"/>
        <v>0</v>
      </c>
      <c r="G53" s="2"/>
      <c r="H53" s="6">
        <v>21.5</v>
      </c>
      <c r="I53" s="2"/>
      <c r="J53" s="7">
        <f t="shared" si="38"/>
        <v>5.6940172827990619E-4</v>
      </c>
      <c r="K53" s="2"/>
      <c r="L53" s="6">
        <f t="shared" si="39"/>
        <v>-21.5</v>
      </c>
      <c r="M53" s="2"/>
      <c r="N53" s="7">
        <f t="shared" si="40"/>
        <v>-1</v>
      </c>
      <c r="O53" s="11"/>
      <c r="P53" s="6">
        <v>1345.73</v>
      </c>
      <c r="Q53" s="2"/>
      <c r="R53" s="7">
        <f t="shared" si="41"/>
        <v>2.2543249718676331E-3</v>
      </c>
      <c r="S53" s="2"/>
      <c r="T53" s="6">
        <v>1294.97</v>
      </c>
      <c r="U53" s="2"/>
      <c r="V53" s="7">
        <f t="shared" si="42"/>
        <v>1.8042939680121784E-3</v>
      </c>
      <c r="W53" s="2"/>
      <c r="X53" s="6">
        <f t="shared" si="43"/>
        <v>50.759999999999991</v>
      </c>
      <c r="Y53" s="2"/>
      <c r="Z53" s="7">
        <f t="shared" si="44"/>
        <v>3.9197819254500096E-2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7"/>
        <v>0</v>
      </c>
      <c r="G54" s="1"/>
      <c r="H54" s="1">
        <f>SUM(OSRRefH22_9x_0)</f>
        <v>229.44</v>
      </c>
      <c r="I54" s="1"/>
      <c r="J54" s="5">
        <f t="shared" si="38"/>
        <v>6.0764433737926365E-3</v>
      </c>
      <c r="K54" s="1"/>
      <c r="L54" s="1">
        <f t="shared" si="39"/>
        <v>14.099999999999994</v>
      </c>
      <c r="M54" s="1"/>
      <c r="N54" s="5">
        <f t="shared" si="40"/>
        <v>6.1453974895397466E-2</v>
      </c>
      <c r="O54" s="13"/>
      <c r="P54" s="1">
        <f>SUM(OSRRefP22_9x_0)</f>
        <v>2678.94</v>
      </c>
      <c r="Q54" s="1"/>
      <c r="R54" s="5">
        <f t="shared" si="41"/>
        <v>4.4876768297764614E-3</v>
      </c>
      <c r="S54" s="1"/>
      <c r="T54" s="1">
        <f>SUM(OSRRefT22_9x_0)</f>
        <v>2114.4499999999998</v>
      </c>
      <c r="U54" s="1"/>
      <c r="V54" s="5">
        <f t="shared" si="42"/>
        <v>2.946083214795208E-3</v>
      </c>
      <c r="W54" s="1"/>
      <c r="X54" s="1">
        <f t="shared" si="43"/>
        <v>564.49000000000024</v>
      </c>
      <c r="Y54" s="1"/>
      <c r="Z54" s="5">
        <f t="shared" si="44"/>
        <v>0.26696776939629702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7"/>
        <v>0</v>
      </c>
      <c r="G55" s="2"/>
      <c r="H55" s="6">
        <v>229.44</v>
      </c>
      <c r="I55" s="2"/>
      <c r="J55" s="7">
        <f t="shared" si="38"/>
        <v>6.0764433737926365E-3</v>
      </c>
      <c r="K55" s="2"/>
      <c r="L55" s="6">
        <f t="shared" si="39"/>
        <v>14.099999999999994</v>
      </c>
      <c r="M55" s="2"/>
      <c r="N55" s="7">
        <f t="shared" si="40"/>
        <v>6.1453974895397466E-2</v>
      </c>
      <c r="O55" s="11"/>
      <c r="P55" s="6">
        <v>2678.94</v>
      </c>
      <c r="Q55" s="2"/>
      <c r="R55" s="7">
        <f t="shared" si="41"/>
        <v>4.4876768297764614E-3</v>
      </c>
      <c r="S55" s="2"/>
      <c r="T55" s="6">
        <v>2114.4499999999998</v>
      </c>
      <c r="U55" s="2"/>
      <c r="V55" s="7">
        <f t="shared" si="42"/>
        <v>2.946083214795208E-3</v>
      </c>
      <c r="W55" s="2"/>
      <c r="X55" s="6">
        <f t="shared" si="43"/>
        <v>564.49000000000024</v>
      </c>
      <c r="Y55" s="2"/>
      <c r="Z55" s="7">
        <f t="shared" si="44"/>
        <v>0.26696776939629702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7"/>
        <v>0</v>
      </c>
      <c r="G56" s="1"/>
      <c r="H56" s="1">
        <f>SUM(OSRRefH22_10x_0)</f>
        <v>4280</v>
      </c>
      <c r="I56" s="1"/>
      <c r="J56" s="5">
        <f t="shared" si="38"/>
        <v>0.11335066962967436</v>
      </c>
      <c r="K56" s="1"/>
      <c r="L56" s="1">
        <f t="shared" si="39"/>
        <v>-105</v>
      </c>
      <c r="M56" s="1"/>
      <c r="N56" s="5">
        <f t="shared" si="40"/>
        <v>-2.4532710280373831E-2</v>
      </c>
      <c r="O56" s="13"/>
      <c r="P56" s="1">
        <f>SUM(OSRRefP22_10x_0)</f>
        <v>44668.77</v>
      </c>
      <c r="Q56" s="1"/>
      <c r="R56" s="5">
        <f t="shared" si="41"/>
        <v>7.4827731917703977E-2</v>
      </c>
      <c r="S56" s="1"/>
      <c r="T56" s="1">
        <f>SUM(OSRRefT22_10x_0)</f>
        <v>46235.4</v>
      </c>
      <c r="U56" s="1"/>
      <c r="V56" s="5">
        <f t="shared" si="42"/>
        <v>6.4420220799424138E-2</v>
      </c>
      <c r="W56" s="1"/>
      <c r="X56" s="1">
        <f t="shared" si="43"/>
        <v>-1566.6300000000047</v>
      </c>
      <c r="Y56" s="1"/>
      <c r="Z56" s="5">
        <f t="shared" si="44"/>
        <v>-3.3883777365395447E-2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4175</v>
      </c>
      <c r="E57" s="2"/>
      <c r="F57" s="7">
        <f t="shared" si="37"/>
        <v>0</v>
      </c>
      <c r="G57" s="2"/>
      <c r="H57" s="6">
        <v>4280</v>
      </c>
      <c r="I57" s="2"/>
      <c r="J57" s="7">
        <f t="shared" si="38"/>
        <v>0.11335066962967436</v>
      </c>
      <c r="K57" s="2"/>
      <c r="L57" s="6">
        <f t="shared" si="39"/>
        <v>-105</v>
      </c>
      <c r="M57" s="2"/>
      <c r="N57" s="7">
        <f t="shared" si="40"/>
        <v>-2.4532710280373831E-2</v>
      </c>
      <c r="O57" s="11"/>
      <c r="P57" s="6">
        <v>44668.77</v>
      </c>
      <c r="Q57" s="2"/>
      <c r="R57" s="7">
        <f t="shared" si="41"/>
        <v>7.4827731917703977E-2</v>
      </c>
      <c r="S57" s="2"/>
      <c r="T57" s="6">
        <v>46235.4</v>
      </c>
      <c r="U57" s="2"/>
      <c r="V57" s="7">
        <f t="shared" si="42"/>
        <v>6.4420220799424138E-2</v>
      </c>
      <c r="W57" s="2"/>
      <c r="X57" s="6">
        <f t="shared" si="43"/>
        <v>-1566.6300000000047</v>
      </c>
      <c r="Y57" s="2"/>
      <c r="Z57" s="7">
        <f t="shared" si="44"/>
        <v>-3.3883777365395447E-2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40.25</v>
      </c>
      <c r="I58" s="1"/>
      <c r="J58" s="5">
        <f t="shared" si="38"/>
        <v>1.0659730029426151E-3</v>
      </c>
      <c r="K58" s="1"/>
      <c r="L58" s="1">
        <f t="shared" si="39"/>
        <v>-40.25</v>
      </c>
      <c r="M58" s="1"/>
      <c r="N58" s="5">
        <f t="shared" si="40"/>
        <v>-1</v>
      </c>
      <c r="O58" s="13"/>
      <c r="P58" s="1">
        <f>SUM(OSRRefP22_11x_0)</f>
        <v>1046.19</v>
      </c>
      <c r="Q58" s="1"/>
      <c r="R58" s="5">
        <f t="shared" si="41"/>
        <v>1.7525448955720681E-3</v>
      </c>
      <c r="S58" s="1"/>
      <c r="T58" s="1">
        <f>SUM(OSRRefT22_11x_0)</f>
        <v>1542.3899999999999</v>
      </c>
      <c r="U58" s="1"/>
      <c r="V58" s="5">
        <f t="shared" si="42"/>
        <v>2.1490265977762448E-3</v>
      </c>
      <c r="W58" s="1"/>
      <c r="X58" s="1">
        <f t="shared" si="43"/>
        <v>-496.19999999999982</v>
      </c>
      <c r="Y58" s="1"/>
      <c r="Z58" s="5">
        <f t="shared" si="44"/>
        <v>-0.32170851730107164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437.31</v>
      </c>
      <c r="Q59" s="2"/>
      <c r="R59" s="7">
        <f t="shared" si="41"/>
        <v>7.3256808828474861E-4</v>
      </c>
      <c r="S59" s="2"/>
      <c r="T59" s="6"/>
      <c r="U59" s="2"/>
      <c r="V59" s="7">
        <f t="shared" si="42"/>
        <v>0</v>
      </c>
      <c r="W59" s="2"/>
      <c r="X59" s="6">
        <f t="shared" si="43"/>
        <v>437.31</v>
      </c>
      <c r="Y59" s="2"/>
      <c r="Z59" s="7">
        <f t="shared" si="44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318.26</v>
      </c>
      <c r="Q60" s="2"/>
      <c r="R60" s="7">
        <f t="shared" si="41"/>
        <v>5.3313923710297968E-4</v>
      </c>
      <c r="S60" s="2"/>
      <c r="T60" s="6">
        <v>303.60000000000002</v>
      </c>
      <c r="U60" s="2"/>
      <c r="V60" s="7">
        <f t="shared" si="42"/>
        <v>4.2300875594685394E-4</v>
      </c>
      <c r="W60" s="2"/>
      <c r="X60" s="6">
        <f t="shared" si="43"/>
        <v>14.659999999999968</v>
      </c>
      <c r="Y60" s="2"/>
      <c r="Z60" s="7">
        <f t="shared" si="44"/>
        <v>4.8287220026350351E-2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7"/>
        <v>0</v>
      </c>
      <c r="G61" s="2"/>
      <c r="H61" s="6">
        <v>40.25</v>
      </c>
      <c r="I61" s="2"/>
      <c r="J61" s="7">
        <f t="shared" si="38"/>
        <v>1.0659730029426151E-3</v>
      </c>
      <c r="K61" s="2"/>
      <c r="L61" s="6">
        <f t="shared" si="39"/>
        <v>-40.25</v>
      </c>
      <c r="M61" s="2"/>
      <c r="N61" s="7">
        <f t="shared" si="40"/>
        <v>-1</v>
      </c>
      <c r="O61" s="11"/>
      <c r="P61" s="6">
        <v>290.62</v>
      </c>
      <c r="Q61" s="2"/>
      <c r="R61" s="7">
        <f t="shared" si="41"/>
        <v>4.8683757018433979E-4</v>
      </c>
      <c r="S61" s="2"/>
      <c r="T61" s="6">
        <v>1238.79</v>
      </c>
      <c r="U61" s="2"/>
      <c r="V61" s="7">
        <f t="shared" si="42"/>
        <v>1.726017841829391E-3</v>
      </c>
      <c r="W61" s="2"/>
      <c r="X61" s="6">
        <f t="shared" si="43"/>
        <v>-948.17</v>
      </c>
      <c r="Y61" s="2"/>
      <c r="Z61" s="7">
        <f t="shared" si="44"/>
        <v>-0.7654001081700692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340.94</v>
      </c>
      <c r="E62" s="1"/>
      <c r="F62" s="5">
        <f t="shared" ref="F62:F66" si="45">IF(D$12=0,0,D62/D$12)</f>
        <v>0</v>
      </c>
      <c r="G62" s="1"/>
      <c r="H62" s="1">
        <f>SUM(OSRRefH22_12x_0)</f>
        <v>478.87</v>
      </c>
      <c r="I62" s="1"/>
      <c r="J62" s="5">
        <f t="shared" ref="J62:J66" si="46">IF(H$12=0,0,H62/H$12)</f>
        <v>1.268229793587901E-2</v>
      </c>
      <c r="K62" s="1"/>
      <c r="L62" s="1">
        <f t="shared" ref="L62:L66" si="47">+D62-H62</f>
        <v>-137.93</v>
      </c>
      <c r="M62" s="1"/>
      <c r="N62" s="5">
        <f t="shared" ref="N62:N66" si="48">IF(H62=0,0,L62/H62)</f>
        <v>-0.2880322425710527</v>
      </c>
      <c r="O62" s="13"/>
      <c r="P62" s="1">
        <f>SUM(OSRRefP22_12x_0)</f>
        <v>5628.18</v>
      </c>
      <c r="Q62" s="1"/>
      <c r="R62" s="5">
        <f t="shared" ref="R62:R66" si="49">IF(P$12=0,0,P62/P$12)</f>
        <v>9.428151798775368E-3</v>
      </c>
      <c r="S62" s="1"/>
      <c r="T62" s="1">
        <f>SUM(OSRRefT22_12x_0)</f>
        <v>5782.5399999999991</v>
      </c>
      <c r="U62" s="1"/>
      <c r="V62" s="5">
        <f t="shared" ref="V62:V66" si="50">IF(T$12=0,0,T62/T$12)</f>
        <v>8.0568677589358366E-3</v>
      </c>
      <c r="W62" s="1"/>
      <c r="X62" s="1">
        <f t="shared" ref="X62:X66" si="51">+P62-T62</f>
        <v>-154.35999999999876</v>
      </c>
      <c r="Y62" s="1"/>
      <c r="Z62" s="5">
        <f t="shared" ref="Z62:Z66" si="52">IF(T62=0,0,X62/T62)</f>
        <v>-2.6694151704959895E-2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5"/>
        <v>0</v>
      </c>
      <c r="G63" s="2"/>
      <c r="H63" s="6">
        <v>157.35</v>
      </c>
      <c r="I63" s="2"/>
      <c r="J63" s="7">
        <f t="shared" si="46"/>
        <v>4.1672261369694527E-3</v>
      </c>
      <c r="K63" s="2"/>
      <c r="L63" s="6">
        <f t="shared" si="47"/>
        <v>-157.35</v>
      </c>
      <c r="M63" s="2"/>
      <c r="N63" s="7">
        <f t="shared" si="48"/>
        <v>-1</v>
      </c>
      <c r="O63" s="11"/>
      <c r="P63" s="6">
        <v>1573.5</v>
      </c>
      <c r="Q63" s="2"/>
      <c r="R63" s="7">
        <f t="shared" si="49"/>
        <v>2.6358781800463102E-3</v>
      </c>
      <c r="S63" s="2"/>
      <c r="T63" s="6">
        <v>1573.5</v>
      </c>
      <c r="U63" s="2"/>
      <c r="V63" s="7">
        <f t="shared" si="50"/>
        <v>2.192372455475542E-3</v>
      </c>
      <c r="W63" s="2"/>
      <c r="X63" s="6">
        <f t="shared" si="51"/>
        <v>0</v>
      </c>
      <c r="Y63" s="2"/>
      <c r="Z63" s="7">
        <f t="shared" si="52"/>
        <v>0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6">
        <v>289</v>
      </c>
      <c r="E64" s="2"/>
      <c r="F64" s="7">
        <f t="shared" si="45"/>
        <v>0</v>
      </c>
      <c r="G64" s="2"/>
      <c r="H64" s="6">
        <v>237</v>
      </c>
      <c r="I64" s="2"/>
      <c r="J64" s="7">
        <f t="shared" si="46"/>
        <v>6.2766609117366409E-3</v>
      </c>
      <c r="K64" s="2"/>
      <c r="L64" s="6">
        <f t="shared" si="47"/>
        <v>52</v>
      </c>
      <c r="M64" s="2"/>
      <c r="N64" s="7">
        <f t="shared" si="48"/>
        <v>0.21940928270042195</v>
      </c>
      <c r="O64" s="11"/>
      <c r="P64" s="6">
        <v>3178</v>
      </c>
      <c r="Q64" s="2"/>
      <c r="R64" s="7">
        <f t="shared" si="49"/>
        <v>5.3236865943356677E-3</v>
      </c>
      <c r="S64" s="2"/>
      <c r="T64" s="6">
        <v>3177.73</v>
      </c>
      <c r="U64" s="2"/>
      <c r="V64" s="7">
        <f t="shared" si="50"/>
        <v>4.4275613110507112E-3</v>
      </c>
      <c r="W64" s="2"/>
      <c r="X64" s="6">
        <f t="shared" si="51"/>
        <v>0.26999999999998181</v>
      </c>
      <c r="Y64" s="2"/>
      <c r="Z64" s="7">
        <f t="shared" si="52"/>
        <v>8.4966312430565779E-5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/>
      <c r="Q65" s="2"/>
      <c r="R65" s="7">
        <f t="shared" si="49"/>
        <v>0</v>
      </c>
      <c r="S65" s="2"/>
      <c r="T65" s="6">
        <v>25</v>
      </c>
      <c r="U65" s="2"/>
      <c r="V65" s="7">
        <f t="shared" si="50"/>
        <v>3.4832736820393105E-5</v>
      </c>
      <c r="W65" s="2"/>
      <c r="X65" s="6">
        <f t="shared" si="51"/>
        <v>-25</v>
      </c>
      <c r="Y65" s="2"/>
      <c r="Z65" s="7">
        <f t="shared" si="52"/>
        <v>-1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51.94</v>
      </c>
      <c r="E66" s="2"/>
      <c r="F66" s="7">
        <f t="shared" si="45"/>
        <v>0</v>
      </c>
      <c r="G66" s="2"/>
      <c r="H66" s="6">
        <v>84.52</v>
      </c>
      <c r="I66" s="2"/>
      <c r="J66" s="7">
        <f t="shared" si="46"/>
        <v>2.2384108871729151E-3</v>
      </c>
      <c r="K66" s="2"/>
      <c r="L66" s="6">
        <f t="shared" si="47"/>
        <v>-32.58</v>
      </c>
      <c r="M66" s="2"/>
      <c r="N66" s="7">
        <f t="shared" si="48"/>
        <v>-0.38547089446284905</v>
      </c>
      <c r="O66" s="11"/>
      <c r="P66" s="6">
        <v>876.68</v>
      </c>
      <c r="Q66" s="2"/>
      <c r="R66" s="7">
        <f t="shared" si="49"/>
        <v>1.4685870243933898E-3</v>
      </c>
      <c r="S66" s="2"/>
      <c r="T66" s="6">
        <v>1006.31</v>
      </c>
      <c r="U66" s="2"/>
      <c r="V66" s="7">
        <f t="shared" si="50"/>
        <v>1.4021012555891913E-3</v>
      </c>
      <c r="W66" s="2"/>
      <c r="X66" s="6">
        <f t="shared" si="51"/>
        <v>-129.63</v>
      </c>
      <c r="Y66" s="2"/>
      <c r="Z66" s="7">
        <f t="shared" si="52"/>
        <v>-0.12881716369707147</v>
      </c>
    </row>
    <row r="67" spans="1:26" s="27" customFormat="1" outlineLevel="1" collapsed="1" x14ac:dyDescent="0.25">
      <c r="A67" s="25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53">IF(D$12=0,0,D67/D$12)</f>
        <v>0</v>
      </c>
      <c r="G67" s="1"/>
      <c r="H67" s="1">
        <f>SUM(OSRRefH22_13x_0)</f>
        <v>176.4</v>
      </c>
      <c r="I67" s="1"/>
      <c r="J67" s="5">
        <f t="shared" ref="J67:J69" si="54">IF(H$12=0,0,H67/H$12)</f>
        <v>4.6717425520267659E-3</v>
      </c>
      <c r="K67" s="1"/>
      <c r="L67" s="1">
        <f t="shared" ref="L67:L69" si="55">+D67-H67</f>
        <v>-176.4</v>
      </c>
      <c r="M67" s="1"/>
      <c r="N67" s="5">
        <f t="shared" ref="N67:N69" si="56">IF(H67=0,0,L67/H67)</f>
        <v>-1</v>
      </c>
      <c r="O67" s="13"/>
      <c r="P67" s="1">
        <f>SUM(OSRRefP22_13x_0)</f>
        <v>1411.2</v>
      </c>
      <c r="Q67" s="1"/>
      <c r="R67" s="5">
        <f t="shared" ref="R67:R69" si="57">IF(P$12=0,0,P67/P$12)</f>
        <v>2.3639982762512571E-3</v>
      </c>
      <c r="S67" s="1"/>
      <c r="T67" s="1">
        <f>SUM(OSRRefT22_13x_0)</f>
        <v>1411.2</v>
      </c>
      <c r="U67" s="1"/>
      <c r="V67" s="5">
        <f t="shared" ref="V67:V69" si="58">IF(T$12=0,0,T67/T$12)</f>
        <v>1.9662383280375502E-3</v>
      </c>
      <c r="W67" s="1"/>
      <c r="X67" s="1">
        <f t="shared" ref="X67:X69" si="59">+P67-T67</f>
        <v>0</v>
      </c>
      <c r="Y67" s="1"/>
      <c r="Z67" s="5">
        <f t="shared" ref="Z67:Z69" si="60">IF(T67=0,0,X67/T67)</f>
        <v>0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53"/>
        <v>0</v>
      </c>
      <c r="G68" s="2"/>
      <c r="H68" s="6"/>
      <c r="I68" s="2"/>
      <c r="J68" s="7">
        <f t="shared" si="54"/>
        <v>0</v>
      </c>
      <c r="K68" s="2"/>
      <c r="L68" s="6">
        <f t="shared" si="55"/>
        <v>0</v>
      </c>
      <c r="M68" s="2"/>
      <c r="N68" s="7">
        <f t="shared" si="56"/>
        <v>0</v>
      </c>
      <c r="O68" s="11"/>
      <c r="P68" s="6"/>
      <c r="Q68" s="2"/>
      <c r="R68" s="7">
        <f t="shared" si="57"/>
        <v>0</v>
      </c>
      <c r="S68" s="2"/>
      <c r="T68" s="6">
        <v>176.4</v>
      </c>
      <c r="U68" s="2"/>
      <c r="V68" s="7">
        <f t="shared" si="58"/>
        <v>2.4577979100469377E-4</v>
      </c>
      <c r="W68" s="2"/>
      <c r="X68" s="6">
        <f t="shared" si="59"/>
        <v>-176.4</v>
      </c>
      <c r="Y68" s="2"/>
      <c r="Z68" s="7">
        <f t="shared" si="60"/>
        <v>-1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53"/>
        <v>0</v>
      </c>
      <c r="G69" s="2"/>
      <c r="H69" s="6">
        <v>176.4</v>
      </c>
      <c r="I69" s="2"/>
      <c r="J69" s="7">
        <f t="shared" si="54"/>
        <v>4.6717425520267659E-3</v>
      </c>
      <c r="K69" s="2"/>
      <c r="L69" s="6">
        <f t="shared" si="55"/>
        <v>-176.4</v>
      </c>
      <c r="M69" s="2"/>
      <c r="N69" s="7">
        <f t="shared" si="56"/>
        <v>-1</v>
      </c>
      <c r="O69" s="11"/>
      <c r="P69" s="6">
        <v>1411.2</v>
      </c>
      <c r="Q69" s="2"/>
      <c r="R69" s="7">
        <f t="shared" si="57"/>
        <v>2.3639982762512571E-3</v>
      </c>
      <c r="S69" s="2"/>
      <c r="T69" s="6">
        <v>1234.8</v>
      </c>
      <c r="U69" s="2"/>
      <c r="V69" s="7">
        <f t="shared" si="58"/>
        <v>1.7204585370328563E-3</v>
      </c>
      <c r="W69" s="2"/>
      <c r="X69" s="6">
        <f t="shared" si="59"/>
        <v>176.40000000000009</v>
      </c>
      <c r="Y69" s="2"/>
      <c r="Z69" s="7">
        <f t="shared" si="60"/>
        <v>0.14285714285714293</v>
      </c>
    </row>
    <row r="70" spans="1:26" s="27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6" si="61">IF(D$12=0,0,D70/D$12)</f>
        <v>0</v>
      </c>
      <c r="G70" s="1"/>
      <c r="H70" s="1">
        <f>SUM(OSRRefH22_14x_0)</f>
        <v>174.52999999999997</v>
      </c>
      <c r="I70" s="1"/>
      <c r="J70" s="5">
        <f t="shared" ref="J70:J76" si="62">IF(H$12=0,0,H70/H$12)</f>
        <v>4.6222178435670709E-3</v>
      </c>
      <c r="K70" s="1"/>
      <c r="L70" s="1">
        <f t="shared" ref="L70:L76" si="63">+D70-H70</f>
        <v>-174.52999999999997</v>
      </c>
      <c r="M70" s="1"/>
      <c r="N70" s="5">
        <f t="shared" ref="N70:N76" si="64">IF(H70=0,0,L70/H70)</f>
        <v>-1</v>
      </c>
      <c r="O70" s="13"/>
      <c r="P70" s="1">
        <f>SUM(OSRRefP22_14x_0)</f>
        <v>10919.900000000001</v>
      </c>
      <c r="Q70" s="1"/>
      <c r="R70" s="5">
        <f t="shared" ref="R70:R76" si="65">IF(P$12=0,0,P70/P$12)</f>
        <v>1.8292676287440551E-2</v>
      </c>
      <c r="S70" s="1"/>
      <c r="T70" s="1">
        <f>SUM(OSRRefT22_14x_0)</f>
        <v>10870.32</v>
      </c>
      <c r="U70" s="1"/>
      <c r="V70" s="5">
        <f t="shared" ref="V70:V76" si="66">IF(T$12=0,0,T70/T$12)</f>
        <v>1.5145719828538223E-2</v>
      </c>
      <c r="W70" s="1"/>
      <c r="X70" s="1">
        <f t="shared" ref="X70:X76" si="67">+P70-T70</f>
        <v>49.580000000001746</v>
      </c>
      <c r="Y70" s="1"/>
      <c r="Z70" s="5">
        <f t="shared" ref="Z70:Z76" si="68">IF(T70=0,0,X70/T70)</f>
        <v>4.5610432811547174E-3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1"/>
        <v>0</v>
      </c>
      <c r="G71" s="2"/>
      <c r="H71" s="6"/>
      <c r="I71" s="2"/>
      <c r="J71" s="7">
        <f t="shared" si="62"/>
        <v>0</v>
      </c>
      <c r="K71" s="2"/>
      <c r="L71" s="6">
        <f t="shared" si="63"/>
        <v>0</v>
      </c>
      <c r="M71" s="2"/>
      <c r="N71" s="7">
        <f t="shared" si="64"/>
        <v>0</v>
      </c>
      <c r="O71" s="11"/>
      <c r="P71" s="6">
        <v>28.22</v>
      </c>
      <c r="Q71" s="2"/>
      <c r="R71" s="7">
        <f t="shared" si="65"/>
        <v>4.7273264849638937E-5</v>
      </c>
      <c r="S71" s="2"/>
      <c r="T71" s="6">
        <v>939.33</v>
      </c>
      <c r="U71" s="2"/>
      <c r="V71" s="7">
        <f t="shared" si="66"/>
        <v>1.3087773870999943E-3</v>
      </c>
      <c r="W71" s="2"/>
      <c r="X71" s="6">
        <f t="shared" si="67"/>
        <v>-911.11</v>
      </c>
      <c r="Y71" s="2"/>
      <c r="Z71" s="7">
        <f t="shared" si="68"/>
        <v>-0.96995730999755136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61"/>
        <v>0</v>
      </c>
      <c r="G72" s="2"/>
      <c r="H72" s="6">
        <v>32.26</v>
      </c>
      <c r="I72" s="2"/>
      <c r="J72" s="7">
        <f t="shared" si="62"/>
        <v>8.5436743043301277E-4</v>
      </c>
      <c r="K72" s="2"/>
      <c r="L72" s="6">
        <f t="shared" si="63"/>
        <v>-32.26</v>
      </c>
      <c r="M72" s="2"/>
      <c r="N72" s="7">
        <f t="shared" si="64"/>
        <v>-1</v>
      </c>
      <c r="O72" s="11"/>
      <c r="P72" s="6">
        <v>1422.57</v>
      </c>
      <c r="Q72" s="2"/>
      <c r="R72" s="7">
        <f t="shared" si="65"/>
        <v>2.3830449460365295E-3</v>
      </c>
      <c r="S72" s="2"/>
      <c r="T72" s="6">
        <v>2919.66</v>
      </c>
      <c r="U72" s="2"/>
      <c r="V72" s="7">
        <f t="shared" si="66"/>
        <v>4.0679899354011577E-3</v>
      </c>
      <c r="W72" s="2"/>
      <c r="X72" s="6">
        <f t="shared" si="67"/>
        <v>-1497.09</v>
      </c>
      <c r="Y72" s="2"/>
      <c r="Z72" s="7">
        <f t="shared" si="68"/>
        <v>-0.51276175993095086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61"/>
        <v>0</v>
      </c>
      <c r="G73" s="2"/>
      <c r="H73" s="6">
        <v>79.66</v>
      </c>
      <c r="I73" s="2"/>
      <c r="J73" s="7">
        <f t="shared" si="62"/>
        <v>2.1096996127803408E-3</v>
      </c>
      <c r="K73" s="2"/>
      <c r="L73" s="6">
        <f t="shared" si="63"/>
        <v>-79.66</v>
      </c>
      <c r="M73" s="2"/>
      <c r="N73" s="7">
        <f t="shared" si="64"/>
        <v>-1</v>
      </c>
      <c r="O73" s="11"/>
      <c r="P73" s="6">
        <v>484.03</v>
      </c>
      <c r="Q73" s="2"/>
      <c r="R73" s="7">
        <f t="shared" si="65"/>
        <v>8.1083197679556113E-4</v>
      </c>
      <c r="S73" s="2"/>
      <c r="T73" s="6">
        <v>4093.4</v>
      </c>
      <c r="U73" s="2"/>
      <c r="V73" s="7">
        <f t="shared" si="66"/>
        <v>5.7033729960238857E-3</v>
      </c>
      <c r="W73" s="2"/>
      <c r="X73" s="6">
        <f t="shared" si="67"/>
        <v>-3609.37</v>
      </c>
      <c r="Y73" s="2"/>
      <c r="Z73" s="7">
        <f t="shared" si="68"/>
        <v>-0.88175355450236959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61"/>
        <v>0</v>
      </c>
      <c r="G74" s="2"/>
      <c r="H74" s="6">
        <v>112.61</v>
      </c>
      <c r="I74" s="2"/>
      <c r="J74" s="7">
        <f t="shared" si="62"/>
        <v>2.9823408661209415E-3</v>
      </c>
      <c r="K74" s="2"/>
      <c r="L74" s="6">
        <f t="shared" si="63"/>
        <v>-112.61</v>
      </c>
      <c r="M74" s="2"/>
      <c r="N74" s="7">
        <f t="shared" si="64"/>
        <v>-1</v>
      </c>
      <c r="O74" s="11"/>
      <c r="P74" s="6">
        <v>1399.73</v>
      </c>
      <c r="Q74" s="2"/>
      <c r="R74" s="7">
        <f t="shared" si="65"/>
        <v>2.3447840895813293E-3</v>
      </c>
      <c r="S74" s="2"/>
      <c r="T74" s="6">
        <v>1918.67</v>
      </c>
      <c r="U74" s="2"/>
      <c r="V74" s="7">
        <f t="shared" si="66"/>
        <v>2.6733010862073458E-3</v>
      </c>
      <c r="W74" s="2"/>
      <c r="X74" s="6">
        <f t="shared" si="67"/>
        <v>-518.94000000000005</v>
      </c>
      <c r="Y74" s="2"/>
      <c r="Z74" s="7">
        <f t="shared" si="68"/>
        <v>-0.27046860585718235</v>
      </c>
    </row>
    <row r="75" spans="1:26" s="24" customFormat="1" hidden="1" outlineLevel="2" x14ac:dyDescent="0.25">
      <c r="A75" s="26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61"/>
        <v>0</v>
      </c>
      <c r="G75" s="2"/>
      <c r="H75" s="6">
        <v>-50</v>
      </c>
      <c r="I75" s="2"/>
      <c r="J75" s="7">
        <f t="shared" si="62"/>
        <v>-1.3241900657672237E-3</v>
      </c>
      <c r="K75" s="2"/>
      <c r="L75" s="6">
        <f t="shared" si="63"/>
        <v>50</v>
      </c>
      <c r="M75" s="2"/>
      <c r="N75" s="7">
        <f t="shared" si="64"/>
        <v>-1</v>
      </c>
      <c r="O75" s="11"/>
      <c r="P75" s="6">
        <v>7585.35</v>
      </c>
      <c r="Q75" s="2"/>
      <c r="R75" s="7">
        <f t="shared" si="65"/>
        <v>1.2706742010177489E-2</v>
      </c>
      <c r="S75" s="2"/>
      <c r="T75" s="6">
        <v>599.55999999999995</v>
      </c>
      <c r="U75" s="2"/>
      <c r="V75" s="7">
        <f t="shared" si="66"/>
        <v>8.3537262752139555E-4</v>
      </c>
      <c r="W75" s="2"/>
      <c r="X75" s="6">
        <f t="shared" si="67"/>
        <v>6985.7900000000009</v>
      </c>
      <c r="Y75" s="2"/>
      <c r="Z75" s="7">
        <f t="shared" si="68"/>
        <v>11.651527787043834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61"/>
        <v>0</v>
      </c>
      <c r="G76" s="2"/>
      <c r="H76" s="6"/>
      <c r="I76" s="2"/>
      <c r="J76" s="7">
        <f t="shared" si="62"/>
        <v>0</v>
      </c>
      <c r="K76" s="2"/>
      <c r="L76" s="6">
        <f t="shared" si="63"/>
        <v>0</v>
      </c>
      <c r="M76" s="2"/>
      <c r="N76" s="7">
        <f t="shared" si="64"/>
        <v>0</v>
      </c>
      <c r="O76" s="11"/>
      <c r="P76" s="6"/>
      <c r="Q76" s="2"/>
      <c r="R76" s="7">
        <f t="shared" si="65"/>
        <v>0</v>
      </c>
      <c r="S76" s="2"/>
      <c r="T76" s="6">
        <v>399.7</v>
      </c>
      <c r="U76" s="2"/>
      <c r="V76" s="7">
        <f t="shared" si="66"/>
        <v>5.5690579628444497E-4</v>
      </c>
      <c r="W76" s="2"/>
      <c r="X76" s="6">
        <f t="shared" si="67"/>
        <v>-399.7</v>
      </c>
      <c r="Y76" s="2"/>
      <c r="Z76" s="7">
        <f t="shared" si="68"/>
        <v>-1</v>
      </c>
    </row>
    <row r="77" spans="1:26" s="27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88.2</v>
      </c>
      <c r="E77" s="1"/>
      <c r="F77" s="5">
        <f t="shared" ref="F77:F82" si="69">IF(D$12=0,0,D77/D$12)</f>
        <v>0</v>
      </c>
      <c r="G77" s="1"/>
      <c r="H77" s="1">
        <f>SUM(OSRRefH22_15x_0)</f>
        <v>39.35</v>
      </c>
      <c r="I77" s="1"/>
      <c r="J77" s="5">
        <f t="shared" ref="J77:J82" si="70">IF(H$12=0,0,H77/H$12)</f>
        <v>1.0421375817588052E-3</v>
      </c>
      <c r="K77" s="1"/>
      <c r="L77" s="1">
        <f t="shared" ref="L77:L82" si="71">+D77-H77</f>
        <v>48.85</v>
      </c>
      <c r="M77" s="1"/>
      <c r="N77" s="5">
        <f t="shared" ref="N77:N82" si="72">IF(H77=0,0,L77/H77)</f>
        <v>1.241423125794155</v>
      </c>
      <c r="O77" s="13"/>
      <c r="P77" s="1">
        <f>SUM(OSRRefP22_15x_0)</f>
        <v>722.37</v>
      </c>
      <c r="Q77" s="1"/>
      <c r="R77" s="5">
        <f t="shared" ref="R77:R82" si="73">IF(P$12=0,0,P77/P$12)</f>
        <v>1.2100917196822708E-3</v>
      </c>
      <c r="S77" s="1"/>
      <c r="T77" s="1">
        <f>SUM(OSRRefT22_15x_0)</f>
        <v>430.25</v>
      </c>
      <c r="U77" s="1"/>
      <c r="V77" s="5">
        <f t="shared" ref="V77:V82" si="74">IF(T$12=0,0,T77/T$12)</f>
        <v>5.9947140067896534E-4</v>
      </c>
      <c r="W77" s="1"/>
      <c r="X77" s="1">
        <f t="shared" ref="X77:X82" si="75">+P77-T77</f>
        <v>292.12</v>
      </c>
      <c r="Y77" s="1"/>
      <c r="Z77" s="5">
        <f t="shared" ref="Z77:Z82" si="76">IF(T77=0,0,X77/T77)</f>
        <v>0.67895409645554916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6">
        <v>88.2</v>
      </c>
      <c r="E78" s="2"/>
      <c r="F78" s="7">
        <f t="shared" si="69"/>
        <v>0</v>
      </c>
      <c r="G78" s="2"/>
      <c r="H78" s="6">
        <v>39.35</v>
      </c>
      <c r="I78" s="2"/>
      <c r="J78" s="7">
        <f t="shared" si="70"/>
        <v>1.0421375817588052E-3</v>
      </c>
      <c r="K78" s="2"/>
      <c r="L78" s="6">
        <f t="shared" si="71"/>
        <v>48.85</v>
      </c>
      <c r="M78" s="2"/>
      <c r="N78" s="7">
        <f t="shared" si="72"/>
        <v>1.241423125794155</v>
      </c>
      <c r="O78" s="11"/>
      <c r="P78" s="6">
        <v>722.37</v>
      </c>
      <c r="Q78" s="2"/>
      <c r="R78" s="7">
        <f t="shared" si="73"/>
        <v>1.2100917196822708E-3</v>
      </c>
      <c r="S78" s="2"/>
      <c r="T78" s="6">
        <v>430.25</v>
      </c>
      <c r="U78" s="2"/>
      <c r="V78" s="7">
        <f t="shared" si="74"/>
        <v>5.9947140067896534E-4</v>
      </c>
      <c r="W78" s="2"/>
      <c r="X78" s="6">
        <f t="shared" si="75"/>
        <v>292.12</v>
      </c>
      <c r="Y78" s="2"/>
      <c r="Z78" s="7">
        <f t="shared" si="76"/>
        <v>0.67895409645554916</v>
      </c>
    </row>
    <row r="79" spans="1:26" s="27" customFormat="1" outlineLevel="1" collapsed="1" x14ac:dyDescent="0.25">
      <c r="A79" s="25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69"/>
        <v>0</v>
      </c>
      <c r="G79" s="1"/>
      <c r="H79" s="1">
        <f>SUM(OSRRefH22_16x_0)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3"/>
      <c r="P79" s="1">
        <f>SUM(OSRRefP22_16x_0)</f>
        <v>14</v>
      </c>
      <c r="Q79" s="1"/>
      <c r="R79" s="5">
        <f t="shared" si="73"/>
        <v>2.3452363851698979E-5</v>
      </c>
      <c r="S79" s="1"/>
      <c r="T79" s="1">
        <f>SUM(OSRRefT22_16x_0)</f>
        <v>139</v>
      </c>
      <c r="U79" s="1"/>
      <c r="V79" s="5">
        <f t="shared" si="74"/>
        <v>1.9367001672138568E-4</v>
      </c>
      <c r="W79" s="1"/>
      <c r="X79" s="1">
        <f t="shared" si="75"/>
        <v>-125</v>
      </c>
      <c r="Y79" s="1"/>
      <c r="Z79" s="5">
        <f t="shared" si="76"/>
        <v>-0.89928057553956831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>
        <v>14</v>
      </c>
      <c r="Q80" s="2"/>
      <c r="R80" s="7">
        <f t="shared" si="73"/>
        <v>2.3452363851698979E-5</v>
      </c>
      <c r="S80" s="2"/>
      <c r="T80" s="6">
        <v>139</v>
      </c>
      <c r="U80" s="2"/>
      <c r="V80" s="7">
        <f t="shared" si="74"/>
        <v>1.9367001672138568E-4</v>
      </c>
      <c r="W80" s="2"/>
      <c r="X80" s="6">
        <f t="shared" si="75"/>
        <v>-125</v>
      </c>
      <c r="Y80" s="2"/>
      <c r="Z80" s="7">
        <f t="shared" si="76"/>
        <v>-0.89928057553956831</v>
      </c>
    </row>
    <row r="81" spans="1:26" s="27" customFormat="1" outlineLevel="1" collapsed="1" x14ac:dyDescent="0.25">
      <c r="A81" s="25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SUM(OSRRefD22_17x_0)</f>
        <v>878</v>
      </c>
      <c r="E81" s="1"/>
      <c r="F81" s="5">
        <f t="shared" si="69"/>
        <v>0</v>
      </c>
      <c r="G81" s="1"/>
      <c r="H81" s="1">
        <f>SUM(OSRRefH22_17x_0)</f>
        <v>771</v>
      </c>
      <c r="I81" s="1"/>
      <c r="J81" s="5">
        <f t="shared" si="70"/>
        <v>2.0419010814130591E-2</v>
      </c>
      <c r="K81" s="1"/>
      <c r="L81" s="1">
        <f t="shared" si="71"/>
        <v>107</v>
      </c>
      <c r="M81" s="1"/>
      <c r="N81" s="5">
        <f t="shared" si="72"/>
        <v>0.13878080415045396</v>
      </c>
      <c r="O81" s="13"/>
      <c r="P81" s="1">
        <f>SUM(OSRRefP22_17x_0)</f>
        <v>9406</v>
      </c>
      <c r="Q81" s="1"/>
      <c r="R81" s="5">
        <f t="shared" si="73"/>
        <v>1.5756638170648613E-2</v>
      </c>
      <c r="S81" s="1"/>
      <c r="T81" s="1">
        <f>SUM(OSRRefT22_17x_0)</f>
        <v>7104.7</v>
      </c>
      <c r="U81" s="1"/>
      <c r="V81" s="5">
        <f t="shared" si="74"/>
        <v>9.8990458115138756E-3</v>
      </c>
      <c r="W81" s="1"/>
      <c r="X81" s="1">
        <f t="shared" si="75"/>
        <v>2301.3000000000002</v>
      </c>
      <c r="Y81" s="1"/>
      <c r="Z81" s="5">
        <f t="shared" si="76"/>
        <v>0.32391233971877775</v>
      </c>
    </row>
    <row r="82" spans="1:26" s="24" customFormat="1" hidden="1" outlineLevel="2" x14ac:dyDescent="0.25">
      <c r="A82" s="26"/>
      <c r="B82" s="11" t="str">
        <f>CONCATENATE("          ", "6274", " - ", "UTILITIES")</f>
        <v xml:space="preserve">          6274 - UTILITIES</v>
      </c>
      <c r="C82" s="11"/>
      <c r="D82" s="6">
        <v>878</v>
      </c>
      <c r="E82" s="2"/>
      <c r="F82" s="7">
        <f t="shared" si="69"/>
        <v>0</v>
      </c>
      <c r="G82" s="2"/>
      <c r="H82" s="6">
        <v>771</v>
      </c>
      <c r="I82" s="2"/>
      <c r="J82" s="7">
        <f t="shared" si="70"/>
        <v>2.0419010814130591E-2</v>
      </c>
      <c r="K82" s="2"/>
      <c r="L82" s="6">
        <f t="shared" si="71"/>
        <v>107</v>
      </c>
      <c r="M82" s="2"/>
      <c r="N82" s="7">
        <f t="shared" si="72"/>
        <v>0.13878080415045396</v>
      </c>
      <c r="O82" s="11"/>
      <c r="P82" s="6">
        <v>9406</v>
      </c>
      <c r="Q82" s="2"/>
      <c r="R82" s="7">
        <f t="shared" si="73"/>
        <v>1.5756638170648613E-2</v>
      </c>
      <c r="S82" s="2"/>
      <c r="T82" s="6">
        <v>7104.7</v>
      </c>
      <c r="U82" s="2"/>
      <c r="V82" s="7">
        <f t="shared" si="74"/>
        <v>9.8990458115138756E-3</v>
      </c>
      <c r="W82" s="2"/>
      <c r="X82" s="6">
        <f t="shared" si="75"/>
        <v>2301.3000000000002</v>
      </c>
      <c r="Y82" s="2"/>
      <c r="Z82" s="7">
        <f t="shared" si="76"/>
        <v>0.32391233971877775</v>
      </c>
    </row>
    <row r="83" spans="1:26" s="58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1">
        <f>+D20-D22+D84</f>
        <v>-15677.560000000003</v>
      </c>
      <c r="E86" s="14"/>
      <c r="F86" s="20">
        <f>IF(D$12=0,0,D86/D$12)</f>
        <v>0</v>
      </c>
      <c r="G86" s="14"/>
      <c r="H86" s="21">
        <f>+H20-H22+H84</f>
        <v>-9435.36</v>
      </c>
      <c r="I86" s="14"/>
      <c r="J86" s="20">
        <f>IF(H$12=0,0,H86/H$12)</f>
        <v>-0.24988419957874866</v>
      </c>
      <c r="K86" s="16"/>
      <c r="L86" s="21">
        <f>+D86-H86</f>
        <v>-6242.2000000000025</v>
      </c>
      <c r="M86" s="16"/>
      <c r="N86" s="20">
        <f>IF(H86=0,0,L86/H86)</f>
        <v>0.66157518102118018</v>
      </c>
      <c r="O86" s="28"/>
      <c r="P86" s="21">
        <f>+P20-P22+P84</f>
        <v>-6143.4699999999721</v>
      </c>
      <c r="Q86" s="14"/>
      <c r="R86" s="20">
        <f>IF(P$12=0,0,P86/P$12)</f>
        <v>-1.0291349553714033E-2</v>
      </c>
      <c r="S86" s="14"/>
      <c r="T86" s="21">
        <f>+T20-T22+T84</f>
        <v>59402.059999999939</v>
      </c>
      <c r="U86" s="14"/>
      <c r="V86" s="20">
        <f>IF(T$12=0,0,T86/T$12)</f>
        <v>8.2765452902767933E-2</v>
      </c>
      <c r="W86" s="16"/>
      <c r="X86" s="21">
        <f>+P86-T86</f>
        <v>-65545.529999999912</v>
      </c>
      <c r="Y86" s="16"/>
      <c r="Z86" s="20">
        <f>IF(T86=0,0,X86/T86)</f>
        <v>-1.1034218341922819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2908.83</v>
      </c>
      <c r="E88" s="4"/>
      <c r="F88" s="12">
        <f>IF(D$12=0,0,D88/D$12)</f>
        <v>0</v>
      </c>
      <c r="G88" s="4"/>
      <c r="H88" s="4">
        <v>3965.58</v>
      </c>
      <c r="I88" s="4"/>
      <c r="J88" s="12">
        <f>IF(H$12=0,0,H88/H$12)</f>
        <v>0.10502363282010374</v>
      </c>
      <c r="K88" s="4"/>
      <c r="L88" s="4">
        <f>+D88-H88</f>
        <v>-1056.75</v>
      </c>
      <c r="M88" s="4"/>
      <c r="N88" s="12">
        <f>IF(H88=0,0,L88/H88)</f>
        <v>-0.26648056526409758</v>
      </c>
      <c r="O88" s="10"/>
      <c r="P88" s="4">
        <v>70688.77</v>
      </c>
      <c r="Q88" s="4"/>
      <c r="R88" s="12">
        <f>IF(P$12=0,0,P88/P$12)</f>
        <v>0.11841562530493309</v>
      </c>
      <c r="S88" s="4"/>
      <c r="T88" s="4">
        <v>74652.89</v>
      </c>
      <c r="U88" s="4"/>
      <c r="V88" s="12">
        <f>IF(T$12=0,0,T88/T$12)</f>
        <v>0.10401457881007026</v>
      </c>
      <c r="W88" s="4"/>
      <c r="X88" s="4">
        <f>+P88-T88</f>
        <v>-3964.1199999999953</v>
      </c>
      <c r="Y88" s="4"/>
      <c r="Z88" s="12">
        <f>IF(T88=0,0,X88/T88)</f>
        <v>-5.3100690408636499E-2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5">
        <f>+D86-D88</f>
        <v>-18586.390000000003</v>
      </c>
      <c r="E90" s="14"/>
      <c r="F90" s="32">
        <f>IF(D$12=0,0,D90/D$12)</f>
        <v>0</v>
      </c>
      <c r="G90" s="14"/>
      <c r="H90" s="35">
        <f>+H86-H88</f>
        <v>-13400.94</v>
      </c>
      <c r="I90" s="14"/>
      <c r="J90" s="32">
        <f>IF(H$12=0,0,H90/H$12)</f>
        <v>-0.35490783239885243</v>
      </c>
      <c r="K90" s="16"/>
      <c r="L90" s="35">
        <f>D90-H90</f>
        <v>-5185.4500000000025</v>
      </c>
      <c r="M90" s="16"/>
      <c r="N90" s="32">
        <f>IF(H90=0,0,L90/H90)</f>
        <v>0.38694673657221079</v>
      </c>
      <c r="O90" s="28"/>
      <c r="P90" s="35">
        <f>+P86-P88</f>
        <v>-76832.239999999976</v>
      </c>
      <c r="Q90" s="14"/>
      <c r="R90" s="32">
        <f>IF(P$12=0,0,P90/P$12)</f>
        <v>-0.12870697485864713</v>
      </c>
      <c r="S90" s="14"/>
      <c r="T90" s="35">
        <f>+T86-T88</f>
        <v>-15250.83000000006</v>
      </c>
      <c r="U90" s="14"/>
      <c r="V90" s="32">
        <f>IF(T$12=0,0,T90/T$12)</f>
        <v>-2.1249125907302317E-2</v>
      </c>
      <c r="W90" s="16"/>
      <c r="X90" s="35">
        <f>P90-T90</f>
        <v>-61581.409999999916</v>
      </c>
      <c r="Y90" s="16"/>
      <c r="Z90" s="32">
        <f>IF(T90=0,0,X90/T90)</f>
        <v>4.0379054779313437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6">
        <f>SUM(D90:D92)</f>
        <v>-18586.390000000003</v>
      </c>
      <c r="E93" s="14"/>
      <c r="F93" s="33">
        <f>IF(D$12=0,0,D93/D$12)</f>
        <v>0</v>
      </c>
      <c r="G93" s="14"/>
      <c r="H93" s="36">
        <f>SUM(H90:H92)</f>
        <v>-13400.94</v>
      </c>
      <c r="I93" s="14"/>
      <c r="J93" s="33">
        <f>IF(H$12=0,0,H93/H$12)</f>
        <v>-0.35490783239885243</v>
      </c>
      <c r="K93" s="16"/>
      <c r="L93" s="36">
        <f>+D93-H93</f>
        <v>-5185.4500000000025</v>
      </c>
      <c r="M93" s="16"/>
      <c r="N93" s="33">
        <f>IF(H93=0,0,L93/H93)</f>
        <v>0.38694673657221079</v>
      </c>
      <c r="O93" s="28"/>
      <c r="P93" s="36">
        <f>SUM(P90:P92)</f>
        <v>-76832.239999999976</v>
      </c>
      <c r="Q93" s="14"/>
      <c r="R93" s="33">
        <f>IF(P$12=0,0,P93/P$12)</f>
        <v>-0.12870697485864713</v>
      </c>
      <c r="S93" s="14"/>
      <c r="T93" s="36">
        <f>SUM(T90:T92)</f>
        <v>-15250.83000000006</v>
      </c>
      <c r="U93" s="14"/>
      <c r="V93" s="33">
        <f>IF(T$12=0,0,T93/T$12)</f>
        <v>-2.1249125907302317E-2</v>
      </c>
      <c r="W93" s="16"/>
      <c r="X93" s="36">
        <f>+P93-T93</f>
        <v>-61581.409999999916</v>
      </c>
      <c r="Y93" s="16"/>
      <c r="Z93" s="33">
        <f>IF(T93=0,0,X93/T93)</f>
        <v>4.0379054779313437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>
        <v>43992.375749618055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2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1462.17</v>
      </c>
      <c r="I12" s="4"/>
      <c r="J12" s="12"/>
      <c r="K12" s="4"/>
      <c r="L12" s="4">
        <f t="shared" ref="L12:L13" si="0">+D12-H12</f>
        <v>-1462.17</v>
      </c>
      <c r="M12" s="4"/>
      <c r="N12" s="12">
        <f t="shared" ref="N12:N13" si="1">IF(H12=0,0,L12/H12)</f>
        <v>-1</v>
      </c>
      <c r="O12" s="10"/>
      <c r="P12" s="4">
        <f>SUM(OSRRefP13x_0)</f>
        <v>12812.5</v>
      </c>
      <c r="Q12" s="4"/>
      <c r="R12" s="12"/>
      <c r="S12" s="4"/>
      <c r="T12" s="4">
        <f>SUM(OSRRefT13x_0)</f>
        <v>14228.42</v>
      </c>
      <c r="U12" s="4"/>
      <c r="V12" s="12"/>
      <c r="W12" s="4"/>
      <c r="X12" s="4">
        <f t="shared" ref="X12:X13" si="2">+P12-T12</f>
        <v>-1415.92</v>
      </c>
      <c r="Y12" s="4"/>
      <c r="Z12" s="12">
        <f t="shared" ref="Z12:Z13" si="3">IF(T12=0,0,X12/T12)</f>
        <v>-9.9513508878708953E-2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--1462.17</f>
        <v>1462.17</v>
      </c>
      <c r="I13" s="2"/>
      <c r="J13" s="19"/>
      <c r="K13" s="2"/>
      <c r="L13" s="2">
        <f t="shared" si="0"/>
        <v>-1462.17</v>
      </c>
      <c r="M13" s="2"/>
      <c r="N13" s="19">
        <f t="shared" si="1"/>
        <v>-1</v>
      </c>
      <c r="O13" s="11"/>
      <c r="P13" s="2">
        <f>--12812.5</f>
        <v>12812.5</v>
      </c>
      <c r="Q13" s="2"/>
      <c r="R13" s="19"/>
      <c r="S13" s="2"/>
      <c r="T13" s="2">
        <f>--14228.42</f>
        <v>14228.42</v>
      </c>
      <c r="U13" s="2"/>
      <c r="V13" s="19"/>
      <c r="W13" s="2"/>
      <c r="X13" s="2">
        <f t="shared" si="2"/>
        <v>-1415.92</v>
      </c>
      <c r="Y13" s="2"/>
      <c r="Z13" s="19">
        <f t="shared" si="3"/>
        <v>-9.9513508878708953E-2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-482</v>
      </c>
      <c r="I15" s="4"/>
      <c r="J15" s="12">
        <f t="shared" ref="J15:J16" si="5">IF(H$12=0,0,H15/H$12)</f>
        <v>-0.32964703146692925</v>
      </c>
      <c r="K15" s="4"/>
      <c r="L15" s="4">
        <f t="shared" ref="L15:L16" si="6">+D15-H15</f>
        <v>482</v>
      </c>
      <c r="M15" s="4"/>
      <c r="N15" s="12">
        <f t="shared" ref="N15:N16" si="7">IF(H15=0,0,L15/H15)</f>
        <v>-1</v>
      </c>
      <c r="O15" s="10"/>
      <c r="P15" s="4">
        <f>SUM(OSRRefP16x_0)</f>
        <v>3256.12</v>
      </c>
      <c r="Q15" s="4"/>
      <c r="R15" s="12">
        <f t="shared" ref="R15:R16" si="8">IF(P$12=0,0,P15/P$12)</f>
        <v>0.25413619512195124</v>
      </c>
      <c r="S15" s="4"/>
      <c r="T15" s="4">
        <f>SUM(OSRRefT16x_0)</f>
        <v>2410.41</v>
      </c>
      <c r="U15" s="4"/>
      <c r="V15" s="12">
        <f t="shared" ref="V15:V16" si="9">IF(T$12=0,0,T15/T$12)</f>
        <v>0.16940812823911577</v>
      </c>
      <c r="W15" s="4"/>
      <c r="X15" s="4">
        <f t="shared" ref="X15:X16" si="10">+P15-T15</f>
        <v>845.71</v>
      </c>
      <c r="Y15" s="4"/>
      <c r="Z15" s="12">
        <f t="shared" ref="Z15:Z16" si="11">IF(T15=0,0,X15/T15)</f>
        <v>0.35085732302803263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-482</v>
      </c>
      <c r="I16" s="2"/>
      <c r="J16" s="19">
        <f t="shared" si="5"/>
        <v>-0.32964703146692925</v>
      </c>
      <c r="K16" s="2"/>
      <c r="L16" s="2">
        <f t="shared" si="6"/>
        <v>482</v>
      </c>
      <c r="M16" s="2"/>
      <c r="N16" s="19">
        <f t="shared" si="7"/>
        <v>-1</v>
      </c>
      <c r="O16" s="11"/>
      <c r="P16" s="2">
        <v>3256.12</v>
      </c>
      <c r="Q16" s="2"/>
      <c r="R16" s="19">
        <f t="shared" si="8"/>
        <v>0.25413619512195124</v>
      </c>
      <c r="S16" s="2"/>
      <c r="T16" s="2">
        <v>2410.41</v>
      </c>
      <c r="U16" s="2"/>
      <c r="V16" s="19">
        <f t="shared" si="9"/>
        <v>0.16940812823911577</v>
      </c>
      <c r="W16" s="2"/>
      <c r="X16" s="2">
        <f t="shared" si="10"/>
        <v>845.71</v>
      </c>
      <c r="Y16" s="2"/>
      <c r="Z16" s="19">
        <f t="shared" si="11"/>
        <v>0.35085732302803263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>
        <f>D12-D15</f>
        <v>0</v>
      </c>
      <c r="E18" s="14"/>
      <c r="F18" s="20">
        <f>IF(D$12=0,0,D18/D$12)</f>
        <v>0</v>
      </c>
      <c r="G18" s="14"/>
      <c r="H18" s="21">
        <f>H12-H15</f>
        <v>1944.17</v>
      </c>
      <c r="I18" s="14"/>
      <c r="J18" s="20">
        <f>IF(H$12=0,0,H18/H$12)</f>
        <v>1.3296470314669293</v>
      </c>
      <c r="K18" s="16"/>
      <c r="L18" s="21">
        <f>+D18-H18</f>
        <v>-1944.17</v>
      </c>
      <c r="M18" s="16"/>
      <c r="N18" s="20">
        <f>IF(H18=0,0,L18/H18)</f>
        <v>-1</v>
      </c>
      <c r="O18" s="28"/>
      <c r="P18" s="21">
        <f>P12-P15</f>
        <v>9556.380000000001</v>
      </c>
      <c r="Q18" s="14"/>
      <c r="R18" s="20">
        <f>IF(P$12=0,0,P18/P$12)</f>
        <v>0.74586380487804882</v>
      </c>
      <c r="S18" s="14"/>
      <c r="T18" s="21">
        <f>T12-T15</f>
        <v>11818.01</v>
      </c>
      <c r="U18" s="14"/>
      <c r="V18" s="20">
        <f>IF(T$12=0,0,T18/T$12)</f>
        <v>0.83059187176088423</v>
      </c>
      <c r="W18" s="16"/>
      <c r="X18" s="21">
        <f>+P18-T18</f>
        <v>-2261.6299999999992</v>
      </c>
      <c r="Y18" s="16"/>
      <c r="Z18" s="20">
        <f>IF(T18=0,0,X18/T18)</f>
        <v>-0.19137147455451461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>
        <f>SUM(OSRRefD22x_0)</f>
        <v>0</v>
      </c>
      <c r="E20" s="22"/>
      <c r="F20" s="31">
        <f t="shared" ref="F20:F26" si="12">IF(D$12=0,0,D20/D$12)</f>
        <v>0</v>
      </c>
      <c r="G20" s="22"/>
      <c r="H20" s="22">
        <f>SUM(OSRRefH22x_0)</f>
        <v>215.62</v>
      </c>
      <c r="I20" s="22"/>
      <c r="J20" s="31">
        <f t="shared" ref="J20:J26" si="13">IF(H$12=0,0,H20/H$12)</f>
        <v>0.14746575295622261</v>
      </c>
      <c r="K20" s="4"/>
      <c r="L20" s="22">
        <f t="shared" ref="L20:L26" si="14">+D20-H20</f>
        <v>-215.62</v>
      </c>
      <c r="M20" s="4"/>
      <c r="N20" s="31">
        <f t="shared" ref="N20:N26" si="15">IF(H20=0,0,L20/H20)</f>
        <v>-1</v>
      </c>
      <c r="O20" s="10"/>
      <c r="P20" s="22">
        <f>SUM(OSRRefP22x_0)</f>
        <v>1569.51</v>
      </c>
      <c r="Q20" s="22"/>
      <c r="R20" s="31">
        <f t="shared" ref="R20:R26" si="16">IF(P$12=0,0,P20/P$12)</f>
        <v>0.12249834146341464</v>
      </c>
      <c r="S20" s="22"/>
      <c r="T20" s="22">
        <f>SUM(OSRRefT22x_0)</f>
        <v>7443.41</v>
      </c>
      <c r="U20" s="22"/>
      <c r="V20" s="31">
        <f t="shared" ref="V20:V26" si="17">IF(T$12=0,0,T20/T$12)</f>
        <v>0.52313679241967836</v>
      </c>
      <c r="W20" s="4"/>
      <c r="X20" s="22">
        <f t="shared" ref="X20:X26" si="18">+P20-T20</f>
        <v>-5873.9</v>
      </c>
      <c r="Y20" s="4"/>
      <c r="Z20" s="31">
        <f t="shared" ref="Z20:Z26" si="19">IF(T20=0,0,X20/T20)</f>
        <v>-0.78914099854770858</v>
      </c>
    </row>
    <row r="21" spans="1:26" s="27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148.41999999999999</v>
      </c>
      <c r="I21" s="1"/>
      <c r="J21" s="5">
        <f t="shared" si="13"/>
        <v>0.10150666475170464</v>
      </c>
      <c r="K21" s="1"/>
      <c r="L21" s="1">
        <f t="shared" si="14"/>
        <v>-148.41999999999999</v>
      </c>
      <c r="M21" s="1"/>
      <c r="N21" s="5">
        <f t="shared" si="15"/>
        <v>-1</v>
      </c>
      <c r="O21" s="13"/>
      <c r="P21" s="1">
        <f>SUM(OSRRefP22_0x_0)</f>
        <v>1249.06</v>
      </c>
      <c r="Q21" s="1"/>
      <c r="R21" s="5">
        <f t="shared" si="16"/>
        <v>9.7487609756097562E-2</v>
      </c>
      <c r="S21" s="1"/>
      <c r="T21" s="1">
        <f>SUM(OSRRefT22_0x_0)</f>
        <v>1236.99</v>
      </c>
      <c r="U21" s="1"/>
      <c r="V21" s="5">
        <f t="shared" si="17"/>
        <v>8.6937973436263485E-2</v>
      </c>
      <c r="W21" s="1"/>
      <c r="X21" s="1">
        <f t="shared" si="18"/>
        <v>12.069999999999936</v>
      </c>
      <c r="Y21" s="1"/>
      <c r="Z21" s="5">
        <f t="shared" si="19"/>
        <v>9.7575566496090806E-3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/>
      <c r="E22" s="2"/>
      <c r="F22" s="7">
        <f t="shared" si="12"/>
        <v>0</v>
      </c>
      <c r="G22" s="2"/>
      <c r="H22" s="6">
        <v>148.41999999999999</v>
      </c>
      <c r="I22" s="2"/>
      <c r="J22" s="7">
        <f t="shared" si="13"/>
        <v>0.10150666475170464</v>
      </c>
      <c r="K22" s="2"/>
      <c r="L22" s="6">
        <f t="shared" si="14"/>
        <v>-148.41999999999999</v>
      </c>
      <c r="M22" s="2"/>
      <c r="N22" s="7">
        <f t="shared" si="15"/>
        <v>-1</v>
      </c>
      <c r="O22" s="11"/>
      <c r="P22" s="6">
        <v>1249.06</v>
      </c>
      <c r="Q22" s="2"/>
      <c r="R22" s="7">
        <f t="shared" si="16"/>
        <v>9.7487609756097562E-2</v>
      </c>
      <c r="S22" s="2"/>
      <c r="T22" s="6">
        <v>1236.99</v>
      </c>
      <c r="U22" s="2"/>
      <c r="V22" s="7">
        <f t="shared" si="17"/>
        <v>8.6937973436263485E-2</v>
      </c>
      <c r="W22" s="2"/>
      <c r="X22" s="6">
        <f t="shared" si="18"/>
        <v>12.069999999999936</v>
      </c>
      <c r="Y22" s="2"/>
      <c r="Z22" s="7">
        <f t="shared" si="19"/>
        <v>9.7575566496090806E-3</v>
      </c>
    </row>
    <row r="23" spans="1:26" s="27" customFormat="1" outlineLevel="1" collapsed="1" x14ac:dyDescent="0.25">
      <c r="A23" s="25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1.5</v>
      </c>
      <c r="I23" s="1"/>
      <c r="J23" s="5">
        <f t="shared" si="13"/>
        <v>1.0258725045651327E-3</v>
      </c>
      <c r="K23" s="1"/>
      <c r="L23" s="1">
        <f t="shared" si="14"/>
        <v>-1.5</v>
      </c>
      <c r="M23" s="1"/>
      <c r="N23" s="5">
        <f t="shared" si="15"/>
        <v>-1</v>
      </c>
      <c r="O23" s="13"/>
      <c r="P23" s="1">
        <f>SUM(OSRRefP22_1x_0)</f>
        <v>23.45</v>
      </c>
      <c r="Q23" s="1"/>
      <c r="R23" s="5">
        <f t="shared" si="16"/>
        <v>1.8302439024390244E-3</v>
      </c>
      <c r="S23" s="1"/>
      <c r="T23" s="1">
        <f>SUM(OSRRefT22_1x_0)</f>
        <v>1.5</v>
      </c>
      <c r="U23" s="1"/>
      <c r="V23" s="5">
        <f t="shared" si="17"/>
        <v>1.0542280871663895E-4</v>
      </c>
      <c r="W23" s="1"/>
      <c r="X23" s="1">
        <f t="shared" si="18"/>
        <v>21.95</v>
      </c>
      <c r="Y23" s="1"/>
      <c r="Z23" s="5">
        <f t="shared" si="19"/>
        <v>14.633333333333333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>
        <v>1.5</v>
      </c>
      <c r="I24" s="2"/>
      <c r="J24" s="7">
        <f t="shared" si="13"/>
        <v>1.0258725045651327E-3</v>
      </c>
      <c r="K24" s="2"/>
      <c r="L24" s="6">
        <f t="shared" si="14"/>
        <v>-1.5</v>
      </c>
      <c r="M24" s="2"/>
      <c r="N24" s="7">
        <f t="shared" si="15"/>
        <v>-1</v>
      </c>
      <c r="O24" s="11"/>
      <c r="P24" s="6">
        <v>23.45</v>
      </c>
      <c r="Q24" s="2"/>
      <c r="R24" s="7">
        <f t="shared" si="16"/>
        <v>1.8302439024390244E-3</v>
      </c>
      <c r="S24" s="2"/>
      <c r="T24" s="6">
        <v>1.5</v>
      </c>
      <c r="U24" s="2"/>
      <c r="V24" s="7">
        <f t="shared" si="17"/>
        <v>1.0542280871663895E-4</v>
      </c>
      <c r="W24" s="2"/>
      <c r="X24" s="6">
        <f t="shared" si="18"/>
        <v>21.95</v>
      </c>
      <c r="Y24" s="2"/>
      <c r="Z24" s="7">
        <f t="shared" si="19"/>
        <v>14.633333333333333</v>
      </c>
    </row>
    <row r="25" spans="1:26" s="27" customFormat="1" outlineLevel="1" collapsed="1" x14ac:dyDescent="0.25">
      <c r="A25" s="25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65.7</v>
      </c>
      <c r="I25" s="1"/>
      <c r="J25" s="5">
        <f t="shared" si="13"/>
        <v>4.493321569995281E-2</v>
      </c>
      <c r="K25" s="1"/>
      <c r="L25" s="1">
        <f t="shared" si="14"/>
        <v>-65.7</v>
      </c>
      <c r="M25" s="1"/>
      <c r="N25" s="5">
        <f t="shared" si="15"/>
        <v>-1</v>
      </c>
      <c r="O25" s="13"/>
      <c r="P25" s="1">
        <f>SUM(OSRRefP22_2x_0)</f>
        <v>297</v>
      </c>
      <c r="Q25" s="1"/>
      <c r="R25" s="5">
        <f t="shared" si="16"/>
        <v>2.3180487804878049E-2</v>
      </c>
      <c r="S25" s="1"/>
      <c r="T25" s="1">
        <f>SUM(OSRRefT22_2x_0)</f>
        <v>6204.92</v>
      </c>
      <c r="U25" s="1"/>
      <c r="V25" s="5">
        <f t="shared" si="17"/>
        <v>0.43609339617469822</v>
      </c>
      <c r="W25" s="1"/>
      <c r="X25" s="1">
        <f t="shared" si="18"/>
        <v>-5907.92</v>
      </c>
      <c r="Y25" s="1"/>
      <c r="Z25" s="5">
        <f t="shared" si="19"/>
        <v>-0.95213475757946919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>
        <v>65.7</v>
      </c>
      <c r="I26" s="2"/>
      <c r="J26" s="7">
        <f t="shared" si="13"/>
        <v>4.493321569995281E-2</v>
      </c>
      <c r="K26" s="2"/>
      <c r="L26" s="6">
        <f t="shared" si="14"/>
        <v>-65.7</v>
      </c>
      <c r="M26" s="2"/>
      <c r="N26" s="7">
        <f t="shared" si="15"/>
        <v>-1</v>
      </c>
      <c r="O26" s="11"/>
      <c r="P26" s="6">
        <v>297</v>
      </c>
      <c r="Q26" s="2"/>
      <c r="R26" s="7">
        <f t="shared" si="16"/>
        <v>2.3180487804878049E-2</v>
      </c>
      <c r="S26" s="2"/>
      <c r="T26" s="6">
        <v>6204.92</v>
      </c>
      <c r="U26" s="2"/>
      <c r="V26" s="7">
        <f t="shared" si="17"/>
        <v>0.43609339617469822</v>
      </c>
      <c r="W26" s="2"/>
      <c r="X26" s="6">
        <f t="shared" si="18"/>
        <v>-5907.92</v>
      </c>
      <c r="Y26" s="2"/>
      <c r="Z26" s="7">
        <f t="shared" si="19"/>
        <v>-0.95213475757946919</v>
      </c>
    </row>
    <row r="27" spans="1:26" s="58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1">
        <f>+D18-D20+D28</f>
        <v>0</v>
      </c>
      <c r="E30" s="14"/>
      <c r="F30" s="20">
        <f>IF(D$12=0,0,D30/D$12)</f>
        <v>0</v>
      </c>
      <c r="G30" s="14"/>
      <c r="H30" s="21">
        <f>+H18-H20+H28</f>
        <v>1728.5500000000002</v>
      </c>
      <c r="I30" s="14"/>
      <c r="J30" s="20">
        <f>IF(H$12=0,0,H30/H$12)</f>
        <v>1.1821812785107066</v>
      </c>
      <c r="K30" s="16"/>
      <c r="L30" s="21">
        <f>+D30-H30</f>
        <v>-1728.5500000000002</v>
      </c>
      <c r="M30" s="16"/>
      <c r="N30" s="20">
        <f>IF(H30=0,0,L30/H30)</f>
        <v>-1</v>
      </c>
      <c r="O30" s="28"/>
      <c r="P30" s="21">
        <f>+P18-P20+P28</f>
        <v>7986.8700000000008</v>
      </c>
      <c r="Q30" s="14"/>
      <c r="R30" s="20">
        <f>IF(P$12=0,0,P30/P$12)</f>
        <v>0.62336546341463417</v>
      </c>
      <c r="S30" s="14"/>
      <c r="T30" s="21">
        <f>+T18-T20+T28</f>
        <v>4374.6000000000004</v>
      </c>
      <c r="U30" s="14"/>
      <c r="V30" s="20">
        <f>IF(T$12=0,0,T30/T$12)</f>
        <v>0.30745507934120586</v>
      </c>
      <c r="W30" s="16"/>
      <c r="X30" s="21">
        <f>+P30-T30</f>
        <v>3612.2700000000004</v>
      </c>
      <c r="Y30" s="16"/>
      <c r="Z30" s="20">
        <f>IF(T30=0,0,X30/T30)</f>
        <v>0.82573721025922375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62.43</v>
      </c>
      <c r="E32" s="4"/>
      <c r="F32" s="12">
        <f>IF(D$12=0,0,D32/D$12)</f>
        <v>0</v>
      </c>
      <c r="G32" s="4"/>
      <c r="H32" s="4">
        <v>152.80000000000001</v>
      </c>
      <c r="I32" s="4"/>
      <c r="J32" s="12">
        <f>IF(H$12=0,0,H32/H$12)</f>
        <v>0.10450221246503485</v>
      </c>
      <c r="K32" s="4"/>
      <c r="L32" s="4">
        <f>+D32-H32</f>
        <v>-90.37</v>
      </c>
      <c r="M32" s="4"/>
      <c r="N32" s="12">
        <f>IF(H32=0,0,L32/H32)</f>
        <v>-0.59142670157068067</v>
      </c>
      <c r="O32" s="10"/>
      <c r="P32" s="4">
        <v>1517.2</v>
      </c>
      <c r="Q32" s="4"/>
      <c r="R32" s="12">
        <f>IF(P$12=0,0,P32/P$12)</f>
        <v>0.11841560975609756</v>
      </c>
      <c r="S32" s="4"/>
      <c r="T32" s="4">
        <v>1479.96</v>
      </c>
      <c r="U32" s="4"/>
      <c r="V32" s="12">
        <f>IF(T$12=0,0,T32/T$12)</f>
        <v>0.10401435999218465</v>
      </c>
      <c r="W32" s="4"/>
      <c r="X32" s="4">
        <f>+P32-T32</f>
        <v>37.240000000000009</v>
      </c>
      <c r="Y32" s="4"/>
      <c r="Z32" s="12">
        <f>IF(T32=0,0,X32/T32)</f>
        <v>2.5162842238979438E-2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5">
        <f>+D30-D32</f>
        <v>-62.43</v>
      </c>
      <c r="E34" s="14"/>
      <c r="F34" s="32">
        <f>IF(D$12=0,0,D34/D$12)</f>
        <v>0</v>
      </c>
      <c r="G34" s="14"/>
      <c r="H34" s="35">
        <f>+H30-H32</f>
        <v>1575.7500000000002</v>
      </c>
      <c r="I34" s="14"/>
      <c r="J34" s="32">
        <f>IF(H$12=0,0,H34/H$12)</f>
        <v>1.0776790660456719</v>
      </c>
      <c r="K34" s="16"/>
      <c r="L34" s="35">
        <f>D34-H34</f>
        <v>-1638.1800000000003</v>
      </c>
      <c r="M34" s="16"/>
      <c r="N34" s="32">
        <f>IF(H34=0,0,L34/H34)</f>
        <v>-1.0396192289386006</v>
      </c>
      <c r="O34" s="28"/>
      <c r="P34" s="35">
        <f>+P30-P32</f>
        <v>6469.670000000001</v>
      </c>
      <c r="Q34" s="14"/>
      <c r="R34" s="32">
        <f>IF(P$12=0,0,P34/P$12)</f>
        <v>0.50494985365853662</v>
      </c>
      <c r="S34" s="14"/>
      <c r="T34" s="35">
        <f>+T30-T32</f>
        <v>2894.6400000000003</v>
      </c>
      <c r="U34" s="14"/>
      <c r="V34" s="32">
        <f>IF(T$12=0,0,T34/T$12)</f>
        <v>0.20344071934902119</v>
      </c>
      <c r="W34" s="16"/>
      <c r="X34" s="35">
        <f>P34-T34</f>
        <v>3575.0300000000007</v>
      </c>
      <c r="Y34" s="16"/>
      <c r="Z34" s="32">
        <f>IF(T34=0,0,X34/T34)</f>
        <v>1.2350516817289889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6">
        <f>SUM(D34:D36)</f>
        <v>-62.43</v>
      </c>
      <c r="E37" s="14"/>
      <c r="F37" s="33">
        <f>IF(D$12=0,0,D37/D$12)</f>
        <v>0</v>
      </c>
      <c r="G37" s="14"/>
      <c r="H37" s="36">
        <f>SUM(H34:H36)</f>
        <v>1575.7500000000002</v>
      </c>
      <c r="I37" s="14"/>
      <c r="J37" s="33">
        <f>IF(H$12=0,0,H37/H$12)</f>
        <v>1.0776790660456719</v>
      </c>
      <c r="K37" s="16"/>
      <c r="L37" s="36">
        <f>+D37-H37</f>
        <v>-1638.1800000000003</v>
      </c>
      <c r="M37" s="16"/>
      <c r="N37" s="33">
        <f>IF(H37=0,0,L37/H37)</f>
        <v>-1.0396192289386006</v>
      </c>
      <c r="O37" s="28"/>
      <c r="P37" s="36">
        <f>SUM(P34:P36)</f>
        <v>6469.670000000001</v>
      </c>
      <c r="Q37" s="14"/>
      <c r="R37" s="33">
        <f>IF(P$12=0,0,P37/P$12)</f>
        <v>0.50494985365853662</v>
      </c>
      <c r="S37" s="14"/>
      <c r="T37" s="36">
        <f>SUM(T34:T36)</f>
        <v>2894.6400000000003</v>
      </c>
      <c r="U37" s="14"/>
      <c r="V37" s="33">
        <f>IF(T$12=0,0,T37/T$12)</f>
        <v>0.20344071934902119</v>
      </c>
      <c r="W37" s="16"/>
      <c r="X37" s="36">
        <f>+P37-T37</f>
        <v>3575.0300000000007</v>
      </c>
      <c r="Y37" s="16"/>
      <c r="Z37" s="33">
        <f>IF(T37=0,0,X37/T37)</f>
        <v>1.2350516817289889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5">
        <v>43992.375788078702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62" t="s">
        <v>313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3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1"/>
  <sheetViews>
    <sheetView zoomScale="80" workbookViewId="0">
      <pane xSplit="3" ySplit="10" topLeftCell="D12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2"/>
      <c r="G12" s="4"/>
      <c r="H12" s="4">
        <f>SUM(OSRRefH13x_0)</f>
        <v>1182034.32</v>
      </c>
      <c r="I12" s="4"/>
      <c r="J12" s="12"/>
      <c r="K12" s="4"/>
      <c r="L12" s="4">
        <f t="shared" ref="L12:L25" si="0">+D12-H12</f>
        <v>-1059468.1400000001</v>
      </c>
      <c r="M12" s="4"/>
      <c r="N12" s="12">
        <f t="shared" ref="N12:N25" si="1">IF(H12=0,0,L12/H12)</f>
        <v>-0.89630911901102839</v>
      </c>
      <c r="O12" s="10"/>
      <c r="P12" s="4">
        <f>SUM(OSRRefP13x_0)</f>
        <v>13791701.16</v>
      </c>
      <c r="Q12" s="4"/>
      <c r="R12" s="12"/>
      <c r="S12" s="4"/>
      <c r="T12" s="4">
        <f>SUM(OSRRefT13x_0)</f>
        <v>17471845.479999997</v>
      </c>
      <c r="U12" s="4"/>
      <c r="V12" s="12"/>
      <c r="W12" s="4"/>
      <c r="X12" s="4">
        <f t="shared" ref="X12:X25" si="2">+P12-T12</f>
        <v>-3680144.3199999966</v>
      </c>
      <c r="Y12" s="4"/>
      <c r="Z12" s="12">
        <f t="shared" ref="Z12:Z25" si="3">IF(T12=0,0,X12/T12)</f>
        <v>-0.21063283350420275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--72675.23</f>
        <v>72675.23</v>
      </c>
      <c r="I13" s="2"/>
      <c r="J13" s="19"/>
      <c r="K13" s="2"/>
      <c r="L13" s="2">
        <f t="shared" si="0"/>
        <v>-72675.23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--670554.85</f>
        <v>670554.85</v>
      </c>
      <c r="U13" s="2"/>
      <c r="V13" s="19"/>
      <c r="W13" s="2"/>
      <c r="X13" s="2">
        <f t="shared" si="2"/>
        <v>-215816.16999999998</v>
      </c>
      <c r="Y13" s="2"/>
      <c r="Z13" s="19">
        <f t="shared" si="3"/>
        <v>-0.32184715389054303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--163430.84</f>
        <v>163430.84</v>
      </c>
      <c r="I14" s="2"/>
      <c r="J14" s="19"/>
      <c r="K14" s="2"/>
      <c r="L14" s="2">
        <f t="shared" si="0"/>
        <v>-163430.84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--1520771.04</f>
        <v>1520771.04</v>
      </c>
      <c r="U14" s="2"/>
      <c r="V14" s="19"/>
      <c r="W14" s="2"/>
      <c r="X14" s="2">
        <f t="shared" si="2"/>
        <v>-684283.75</v>
      </c>
      <c r="Y14" s="2"/>
      <c r="Z14" s="19">
        <f t="shared" si="3"/>
        <v>-0.44995843029730498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--59.42</f>
        <v>59.42</v>
      </c>
      <c r="E15" s="2"/>
      <c r="F15" s="19"/>
      <c r="G15" s="2"/>
      <c r="H15" s="2">
        <f>--26058.2</f>
        <v>26058.2</v>
      </c>
      <c r="I15" s="2"/>
      <c r="J15" s="19"/>
      <c r="K15" s="2"/>
      <c r="L15" s="2">
        <f t="shared" si="0"/>
        <v>-25998.780000000002</v>
      </c>
      <c r="M15" s="2"/>
      <c r="N15" s="19">
        <f t="shared" si="1"/>
        <v>-0.99771971970435414</v>
      </c>
      <c r="O15" s="11"/>
      <c r="P15" s="2">
        <f>--279986.09</f>
        <v>279986.09000000003</v>
      </c>
      <c r="Q15" s="2"/>
      <c r="R15" s="19"/>
      <c r="S15" s="2"/>
      <c r="T15" s="2">
        <f>--334046.9</f>
        <v>334046.90000000002</v>
      </c>
      <c r="U15" s="2"/>
      <c r="V15" s="19"/>
      <c r="W15" s="2"/>
      <c r="X15" s="2">
        <f t="shared" si="2"/>
        <v>-54060.81</v>
      </c>
      <c r="Y15" s="2"/>
      <c r="Z15" s="19">
        <f t="shared" si="3"/>
        <v>-0.16183598770112817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8" si="5">0</f>
        <v>0</v>
      </c>
      <c r="E16" s="2"/>
      <c r="F16" s="19"/>
      <c r="G16" s="2"/>
      <c r="H16" s="2">
        <f>--44537.34</f>
        <v>44537.34</v>
      </c>
      <c r="I16" s="2"/>
      <c r="J16" s="19"/>
      <c r="K16" s="2"/>
      <c r="L16" s="2">
        <f t="shared" si="0"/>
        <v>-44537.34</v>
      </c>
      <c r="M16" s="2"/>
      <c r="N16" s="19">
        <f t="shared" si="1"/>
        <v>-1</v>
      </c>
      <c r="O16" s="11"/>
      <c r="P16" s="2">
        <f>--382379.53</f>
        <v>382379.53</v>
      </c>
      <c r="Q16" s="2"/>
      <c r="R16" s="19"/>
      <c r="S16" s="2"/>
      <c r="T16" s="2">
        <f>--611471</f>
        <v>611471</v>
      </c>
      <c r="U16" s="2"/>
      <c r="V16" s="19"/>
      <c r="W16" s="2"/>
      <c r="X16" s="2">
        <f t="shared" si="2"/>
        <v>-229091.46999999997</v>
      </c>
      <c r="Y16" s="2"/>
      <c r="Z16" s="19">
        <f t="shared" si="3"/>
        <v>-0.37465631240075159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5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>
        <f>--5581.94</f>
        <v>5581.94</v>
      </c>
      <c r="I18" s="2"/>
      <c r="J18" s="19"/>
      <c r="K18" s="2"/>
      <c r="L18" s="2">
        <f t="shared" si="0"/>
        <v>-5581.94</v>
      </c>
      <c r="M18" s="2"/>
      <c r="N18" s="19">
        <f t="shared" si="1"/>
        <v>-1</v>
      </c>
      <c r="O18" s="11"/>
      <c r="P18" s="2">
        <f>--117077.57</f>
        <v>117077.57</v>
      </c>
      <c r="Q18" s="2"/>
      <c r="R18" s="19"/>
      <c r="S18" s="2"/>
      <c r="T18" s="2">
        <f>--200045.36</f>
        <v>200045.36</v>
      </c>
      <c r="U18" s="2"/>
      <c r="V18" s="19"/>
      <c r="W18" s="2"/>
      <c r="X18" s="2">
        <f t="shared" si="2"/>
        <v>-82967.789999999979</v>
      </c>
      <c r="Y18" s="2"/>
      <c r="Z18" s="19">
        <f t="shared" si="3"/>
        <v>-0.41474488585988689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--126289.52</f>
        <v>126289.52</v>
      </c>
      <c r="E19" s="2"/>
      <c r="F19" s="19"/>
      <c r="G19" s="2"/>
      <c r="H19" s="2">
        <f>--760956.15</f>
        <v>760956.15</v>
      </c>
      <c r="I19" s="2"/>
      <c r="J19" s="19"/>
      <c r="K19" s="2"/>
      <c r="L19" s="2">
        <f t="shared" si="0"/>
        <v>-634666.63</v>
      </c>
      <c r="M19" s="2"/>
      <c r="N19" s="19">
        <f t="shared" si="1"/>
        <v>-0.83403837395886737</v>
      </c>
      <c r="O19" s="11"/>
      <c r="P19" s="2">
        <f>--10203802.01</f>
        <v>10203802.01</v>
      </c>
      <c r="Q19" s="2"/>
      <c r="R19" s="19"/>
      <c r="S19" s="2"/>
      <c r="T19" s="2">
        <f>--12232165.02</f>
        <v>12232165.02</v>
      </c>
      <c r="U19" s="2"/>
      <c r="V19" s="19"/>
      <c r="W19" s="2"/>
      <c r="X19" s="2">
        <f t="shared" si="2"/>
        <v>-2028363.0099999998</v>
      </c>
      <c r="Y19" s="2"/>
      <c r="Z19" s="19">
        <f t="shared" si="3"/>
        <v>-0.16582207701445806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0</f>
        <v>0</v>
      </c>
      <c r="E20" s="2"/>
      <c r="F20" s="19"/>
      <c r="G20" s="2"/>
      <c r="H20" s="2">
        <f>--5712.79</f>
        <v>5712.79</v>
      </c>
      <c r="I20" s="2"/>
      <c r="J20" s="19"/>
      <c r="K20" s="2"/>
      <c r="L20" s="2">
        <f t="shared" si="0"/>
        <v>-5712.79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--76276.34</f>
        <v>76276.34</v>
      </c>
      <c r="U20" s="2"/>
      <c r="V20" s="19"/>
      <c r="W20" s="2"/>
      <c r="X20" s="2">
        <f t="shared" si="2"/>
        <v>-24861.07</v>
      </c>
      <c r="Y20" s="2"/>
      <c r="Z20" s="19">
        <f t="shared" si="3"/>
        <v>-0.32593422809746769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-4166.46</f>
        <v>-4166.46</v>
      </c>
      <c r="E21" s="2"/>
      <c r="F21" s="19"/>
      <c r="G21" s="2"/>
      <c r="H21" s="2">
        <f>--10340.02</f>
        <v>10340.02</v>
      </c>
      <c r="I21" s="2"/>
      <c r="J21" s="19"/>
      <c r="K21" s="2"/>
      <c r="L21" s="2">
        <f t="shared" si="0"/>
        <v>-14506.48</v>
      </c>
      <c r="M21" s="2"/>
      <c r="N21" s="19">
        <f t="shared" si="1"/>
        <v>-1.4029450620018142</v>
      </c>
      <c r="O21" s="11"/>
      <c r="P21" s="2">
        <f>--299453.72</f>
        <v>299453.71999999997</v>
      </c>
      <c r="Q21" s="2"/>
      <c r="R21" s="19"/>
      <c r="S21" s="2"/>
      <c r="T21" s="2">
        <f>--316949.57</f>
        <v>316949.57</v>
      </c>
      <c r="U21" s="2"/>
      <c r="V21" s="19"/>
      <c r="W21" s="2"/>
      <c r="X21" s="2">
        <f t="shared" si="2"/>
        <v>-17495.850000000035</v>
      </c>
      <c r="Y21" s="2"/>
      <c r="Z21" s="19">
        <f t="shared" si="3"/>
        <v>-5.5200737454857672E-2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ref="D22:D24" si="6">0</f>
        <v>0</v>
      </c>
      <c r="E22" s="2"/>
      <c r="F22" s="19"/>
      <c r="G22" s="2"/>
      <c r="H22" s="2">
        <f>--64787.94</f>
        <v>64787.94</v>
      </c>
      <c r="I22" s="2"/>
      <c r="J22" s="19"/>
      <c r="K22" s="2"/>
      <c r="L22" s="2">
        <f t="shared" si="0"/>
        <v>-64787.94</v>
      </c>
      <c r="M22" s="2"/>
      <c r="N22" s="19">
        <f t="shared" si="1"/>
        <v>-1</v>
      </c>
      <c r="O22" s="11"/>
      <c r="P22" s="2">
        <f>--691123.63</f>
        <v>691123.63</v>
      </c>
      <c r="Q22" s="2"/>
      <c r="R22" s="19"/>
      <c r="S22" s="2"/>
      <c r="T22" s="2">
        <f>--898995.24</f>
        <v>898995.24</v>
      </c>
      <c r="U22" s="2"/>
      <c r="V22" s="19"/>
      <c r="W22" s="2"/>
      <c r="X22" s="2">
        <f t="shared" si="2"/>
        <v>-207871.61</v>
      </c>
      <c r="Y22" s="2"/>
      <c r="Z22" s="19">
        <f t="shared" si="3"/>
        <v>-0.23122659692836636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6"/>
        <v>0</v>
      </c>
      <c r="E24" s="2"/>
      <c r="F24" s="19"/>
      <c r="G24" s="2"/>
      <c r="H24" s="2">
        <f>--27953.87</f>
        <v>27953.87</v>
      </c>
      <c r="I24" s="2"/>
      <c r="J24" s="19"/>
      <c r="K24" s="2"/>
      <c r="L24" s="2">
        <f t="shared" si="0"/>
        <v>-27953.87</v>
      </c>
      <c r="M24" s="2"/>
      <c r="N24" s="19">
        <f t="shared" si="1"/>
        <v>-1</v>
      </c>
      <c r="O24" s="11"/>
      <c r="P24" s="2">
        <f>--474853.67</f>
        <v>474853.67</v>
      </c>
      <c r="Q24" s="2"/>
      <c r="R24" s="19"/>
      <c r="S24" s="2"/>
      <c r="T24" s="2">
        <f>--597801.18</f>
        <v>597801.18000000005</v>
      </c>
      <c r="U24" s="2"/>
      <c r="V24" s="19"/>
      <c r="W24" s="2"/>
      <c r="X24" s="2">
        <f t="shared" si="2"/>
        <v>-122947.51000000007</v>
      </c>
      <c r="Y24" s="2"/>
      <c r="Z24" s="19">
        <f t="shared" si="3"/>
        <v>-0.20566622166921794</v>
      </c>
    </row>
    <row r="25" spans="1:26" s="24" customFormat="1" hidden="1" outlineLevel="1" x14ac:dyDescent="0.2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>--383.7</f>
        <v>383.7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383.7</v>
      </c>
      <c r="M25" s="2"/>
      <c r="N25" s="19">
        <f t="shared" si="1"/>
        <v>0</v>
      </c>
      <c r="O25" s="11"/>
      <c r="P25" s="2">
        <f>--383.7</f>
        <v>383.7</v>
      </c>
      <c r="Q25" s="2"/>
      <c r="R25" s="19"/>
      <c r="S25" s="2"/>
      <c r="T25" s="2">
        <f>--1054.9</f>
        <v>1054.9000000000001</v>
      </c>
      <c r="U25" s="2"/>
      <c r="V25" s="19"/>
      <c r="W25" s="2"/>
      <c r="X25" s="2">
        <f t="shared" si="2"/>
        <v>-671.2</v>
      </c>
      <c r="Y25" s="2"/>
      <c r="Z25" s="19">
        <f t="shared" si="3"/>
        <v>-0.63626884064840272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8" t="s">
        <v>8</v>
      </c>
      <c r="C27" s="10"/>
      <c r="D27" s="4">
        <f>SUM(OSRRefD16x_0)</f>
        <v>43795.15</v>
      </c>
      <c r="E27" s="4"/>
      <c r="F27" s="12">
        <f t="shared" ref="F27:F29" si="7">IF(D$12=0,0,D27/D$12)</f>
        <v>0.35731838913475156</v>
      </c>
      <c r="G27" s="4"/>
      <c r="H27" s="4">
        <f>SUM(OSRRefH16x_0)</f>
        <v>307527.55</v>
      </c>
      <c r="I27" s="4"/>
      <c r="J27" s="12">
        <f t="shared" ref="J27:J29" si="8">IF(H$12=0,0,H27/H$12)</f>
        <v>0.26016803809892758</v>
      </c>
      <c r="K27" s="4"/>
      <c r="L27" s="4">
        <f t="shared" ref="L27:L29" si="9">+D27-H27</f>
        <v>-263732.39999999997</v>
      </c>
      <c r="M27" s="4"/>
      <c r="N27" s="12">
        <f t="shared" ref="N27:N29" si="10">IF(H27=0,0,L27/H27)</f>
        <v>-0.85758950702140335</v>
      </c>
      <c r="O27" s="10"/>
      <c r="P27" s="4">
        <f>SUM(OSRRefP16x_0)</f>
        <v>3839974.4</v>
      </c>
      <c r="Q27" s="4"/>
      <c r="R27" s="12">
        <f t="shared" ref="R27:R29" si="11">IF(P$12=0,0,P27/P$12)</f>
        <v>0.27842645047567138</v>
      </c>
      <c r="S27" s="4"/>
      <c r="T27" s="4">
        <f>SUM(OSRRefT16x_0)</f>
        <v>4732316.41</v>
      </c>
      <c r="U27" s="4"/>
      <c r="V27" s="12">
        <f t="shared" ref="V27:V29" si="12">IF(T$12=0,0,T27/T$12)</f>
        <v>0.27085383827467324</v>
      </c>
      <c r="W27" s="4"/>
      <c r="X27" s="4">
        <f t="shared" ref="X27:X29" si="13">+P27-T27</f>
        <v>-892342.01000000024</v>
      </c>
      <c r="Y27" s="4"/>
      <c r="Z27" s="12">
        <f t="shared" ref="Z27:Z29" si="14">IF(T27=0,0,X27/T27)</f>
        <v>-0.188563471393072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18227.150000000001</v>
      </c>
      <c r="E28" s="2"/>
      <c r="F28" s="19">
        <f t="shared" si="7"/>
        <v>0.1487127199362826</v>
      </c>
      <c r="G28" s="2"/>
      <c r="H28" s="2">
        <v>281474.75</v>
      </c>
      <c r="I28" s="2"/>
      <c r="J28" s="19">
        <f t="shared" si="8"/>
        <v>0.23812739210482484</v>
      </c>
      <c r="K28" s="2"/>
      <c r="L28" s="2">
        <f t="shared" si="9"/>
        <v>-263247.59999999998</v>
      </c>
      <c r="M28" s="2"/>
      <c r="N28" s="19">
        <f t="shared" si="10"/>
        <v>-0.93524410271258784</v>
      </c>
      <c r="O28" s="11"/>
      <c r="P28" s="2">
        <v>3773599.67</v>
      </c>
      <c r="Q28" s="2"/>
      <c r="R28" s="19">
        <f t="shared" si="11"/>
        <v>0.27361379326754492</v>
      </c>
      <c r="S28" s="2"/>
      <c r="T28" s="2">
        <v>4775278.0200000005</v>
      </c>
      <c r="U28" s="2"/>
      <c r="V28" s="19">
        <f t="shared" si="12"/>
        <v>0.27331274337712386</v>
      </c>
      <c r="W28" s="2"/>
      <c r="X28" s="2">
        <f t="shared" si="13"/>
        <v>-1001678.3500000006</v>
      </c>
      <c r="Y28" s="2"/>
      <c r="Z28" s="19">
        <f t="shared" si="14"/>
        <v>-0.20976335740133523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25568</v>
      </c>
      <c r="E29" s="2"/>
      <c r="F29" s="19">
        <f t="shared" si="7"/>
        <v>0.20860566919846896</v>
      </c>
      <c r="G29" s="2"/>
      <c r="H29" s="2">
        <v>26052.799999999999</v>
      </c>
      <c r="I29" s="2"/>
      <c r="J29" s="19">
        <f t="shared" si="8"/>
        <v>2.2040645994102777E-2</v>
      </c>
      <c r="K29" s="2"/>
      <c r="L29" s="2">
        <f t="shared" si="9"/>
        <v>-484.79999999999927</v>
      </c>
      <c r="M29" s="2"/>
      <c r="N29" s="19">
        <f t="shared" si="10"/>
        <v>-1.8608364551986709E-2</v>
      </c>
      <c r="O29" s="11"/>
      <c r="P29" s="2">
        <v>66374.73</v>
      </c>
      <c r="Q29" s="2"/>
      <c r="R29" s="19">
        <f t="shared" si="11"/>
        <v>4.812657208126455E-3</v>
      </c>
      <c r="S29" s="2"/>
      <c r="T29" s="2">
        <v>-42961.61</v>
      </c>
      <c r="U29" s="2"/>
      <c r="V29" s="19">
        <f t="shared" si="12"/>
        <v>-2.4589051024505744E-3</v>
      </c>
      <c r="W29" s="2"/>
      <c r="X29" s="2">
        <f t="shared" si="13"/>
        <v>109336.34</v>
      </c>
      <c r="Y29" s="2"/>
      <c r="Z29" s="19">
        <f t="shared" si="14"/>
        <v>-2.5449777138240397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1">
        <f>D12-D27</f>
        <v>78771.03</v>
      </c>
      <c r="E31" s="14"/>
      <c r="F31" s="20">
        <f>IF(D$12=0,0,D31/D$12)</f>
        <v>0.64268161086524855</v>
      </c>
      <c r="G31" s="14"/>
      <c r="H31" s="21">
        <f>H12-H27</f>
        <v>874506.77</v>
      </c>
      <c r="I31" s="14"/>
      <c r="J31" s="20">
        <f>IF(H$12=0,0,H31/H$12)</f>
        <v>0.73983196190107237</v>
      </c>
      <c r="K31" s="16"/>
      <c r="L31" s="21">
        <f>+D31-H31</f>
        <v>-795735.74</v>
      </c>
      <c r="M31" s="16"/>
      <c r="N31" s="20">
        <f>IF(H31=0,0,L31/H31)</f>
        <v>-0.90992519131670069</v>
      </c>
      <c r="O31" s="28"/>
      <c r="P31" s="21">
        <f>P12-P27</f>
        <v>9951726.7599999998</v>
      </c>
      <c r="Q31" s="14"/>
      <c r="R31" s="20">
        <f>IF(P$12=0,0,P31/P$12)</f>
        <v>0.72157354952432862</v>
      </c>
      <c r="S31" s="14"/>
      <c r="T31" s="21">
        <f>T12-T27</f>
        <v>12739529.069999997</v>
      </c>
      <c r="U31" s="14"/>
      <c r="V31" s="20">
        <f>IF(T$12=0,0,T31/T$12)</f>
        <v>0.72914616172532676</v>
      </c>
      <c r="W31" s="16"/>
      <c r="X31" s="21">
        <f>+P31-T31</f>
        <v>-2787802.3099999968</v>
      </c>
      <c r="Y31" s="16"/>
      <c r="Z31" s="20">
        <f>IF(T31=0,0,X31/T31)</f>
        <v>-0.21883087629706219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2">
        <f>SUM(OSRRefD22x_0)</f>
        <v>312909.76000000007</v>
      </c>
      <c r="E33" s="22"/>
      <c r="F33" s="31">
        <f t="shared" ref="F33:F43" si="15">IF(D$12=0,0,D33/D$12)</f>
        <v>2.5529861500129978</v>
      </c>
      <c r="G33" s="22"/>
      <c r="H33" s="22">
        <f>SUM(OSRRefH22x_0)</f>
        <v>1097978.6999999997</v>
      </c>
      <c r="I33" s="22"/>
      <c r="J33" s="31">
        <f t="shared" ref="J33:J43" si="16">IF(H$12=0,0,H33/H$12)</f>
        <v>0.92888901905995391</v>
      </c>
      <c r="K33" s="4"/>
      <c r="L33" s="22">
        <f t="shared" ref="L33:L43" si="17">+D33-H33</f>
        <v>-785068.93999999971</v>
      </c>
      <c r="M33" s="4"/>
      <c r="N33" s="31">
        <f t="shared" ref="N33:N43" si="18">IF(H33=0,0,L33/H33)</f>
        <v>-0.71501290507730242</v>
      </c>
      <c r="O33" s="10"/>
      <c r="P33" s="22">
        <f>SUM(OSRRefP22x_0)</f>
        <v>9508728.860000005</v>
      </c>
      <c r="Q33" s="22"/>
      <c r="R33" s="31">
        <f t="shared" ref="R33:R43" si="19">IF(P$12=0,0,P33/P$12)</f>
        <v>0.68945293620326709</v>
      </c>
      <c r="S33" s="22"/>
      <c r="T33" s="22">
        <f>SUM(OSRRefT22x_0)</f>
        <v>10294147.780000007</v>
      </c>
      <c r="U33" s="22"/>
      <c r="V33" s="31">
        <f t="shared" ref="V33:V43" si="20">IF(T$12=0,0,T33/T$12)</f>
        <v>0.58918491419716978</v>
      </c>
      <c r="W33" s="4"/>
      <c r="X33" s="22">
        <f t="shared" ref="X33:X43" si="21">+P33-T33</f>
        <v>-785418.92000000179</v>
      </c>
      <c r="Y33" s="4"/>
      <c r="Z33" s="31">
        <f t="shared" ref="Z33:Z43" si="22">IF(T33=0,0,X33/T33)</f>
        <v>-7.6297614604479799E-2</v>
      </c>
    </row>
    <row r="34" spans="1:26" s="27" customFormat="1" outlineLevel="1" collapsed="1" x14ac:dyDescent="0.25">
      <c r="A34" s="25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97175.2</v>
      </c>
      <c r="E34" s="1"/>
      <c r="F34" s="5">
        <f t="shared" si="15"/>
        <v>0.79283861176060155</v>
      </c>
      <c r="G34" s="1"/>
      <c r="H34" s="1">
        <f>SUM(OSRRefH22_0x_0)</f>
        <v>172365.62999999998</v>
      </c>
      <c r="I34" s="1"/>
      <c r="J34" s="5">
        <f t="shared" si="16"/>
        <v>0.14582117209591677</v>
      </c>
      <c r="K34" s="1"/>
      <c r="L34" s="1">
        <f t="shared" si="17"/>
        <v>-75190.429999999978</v>
      </c>
      <c r="M34" s="1"/>
      <c r="N34" s="5">
        <f t="shared" si="18"/>
        <v>-0.43622635208654992</v>
      </c>
      <c r="O34" s="13"/>
      <c r="P34" s="1">
        <f>SUM(OSRRefP22_0x_0)</f>
        <v>1561576.1499999997</v>
      </c>
      <c r="Q34" s="1"/>
      <c r="R34" s="5">
        <f t="shared" si="19"/>
        <v>0.11322578207603794</v>
      </c>
      <c r="S34" s="1"/>
      <c r="T34" s="1">
        <f>SUM(OSRRefT22_0x_0)</f>
        <v>1659396.2399999998</v>
      </c>
      <c r="U34" s="1"/>
      <c r="V34" s="5">
        <f t="shared" si="20"/>
        <v>9.4975441598285013E-2</v>
      </c>
      <c r="W34" s="1"/>
      <c r="X34" s="1">
        <f t="shared" si="21"/>
        <v>-97820.090000000084</v>
      </c>
      <c r="Y34" s="1"/>
      <c r="Z34" s="5">
        <f t="shared" si="22"/>
        <v>-5.8949205525498899E-2</v>
      </c>
    </row>
    <row r="35" spans="1:26" s="24" customFormat="1" hidden="1" outlineLevel="2" x14ac:dyDescent="0.25">
      <c r="A35" s="26"/>
      <c r="B35" s="11" t="str">
        <f>CONCATENATE("          ", "6111", " - ", "F.I.C.A.")</f>
        <v xml:space="preserve">          6111 - F.I.C.A.</v>
      </c>
      <c r="C35" s="11"/>
      <c r="D35" s="6">
        <v>9534.4</v>
      </c>
      <c r="E35" s="2"/>
      <c r="F35" s="7">
        <f t="shared" si="15"/>
        <v>7.7789811186087382E-2</v>
      </c>
      <c r="G35" s="2"/>
      <c r="H35" s="6">
        <v>36023.689999999995</v>
      </c>
      <c r="I35" s="2"/>
      <c r="J35" s="7">
        <f t="shared" si="16"/>
        <v>3.0476010205862714E-2</v>
      </c>
      <c r="K35" s="2"/>
      <c r="L35" s="6">
        <f t="shared" si="17"/>
        <v>-26489.289999999994</v>
      </c>
      <c r="M35" s="2"/>
      <c r="N35" s="7">
        <f t="shared" si="18"/>
        <v>-0.73532972330152735</v>
      </c>
      <c r="O35" s="11"/>
      <c r="P35" s="6">
        <v>277996.88</v>
      </c>
      <c r="Q35" s="2"/>
      <c r="R35" s="7">
        <f t="shared" si="19"/>
        <v>2.0156823061557694E-2</v>
      </c>
      <c r="S35" s="2"/>
      <c r="T35" s="6">
        <v>268878.43</v>
      </c>
      <c r="U35" s="2"/>
      <c r="V35" s="7">
        <f t="shared" si="20"/>
        <v>1.5389240381491746E-2</v>
      </c>
      <c r="W35" s="2"/>
      <c r="X35" s="6">
        <f t="shared" si="21"/>
        <v>9118.4500000000116</v>
      </c>
      <c r="Y35" s="2"/>
      <c r="Z35" s="7">
        <f t="shared" si="22"/>
        <v>3.3912910009181514E-2</v>
      </c>
    </row>
    <row r="36" spans="1:26" s="24" customFormat="1" hidden="1" outlineLevel="2" x14ac:dyDescent="0.25">
      <c r="A36" s="26"/>
      <c r="B36" s="11" t="str">
        <f>CONCATENATE("          ", "6112", " - ", "COMPENSATION INSURANCE")</f>
        <v xml:space="preserve">          6112 - COMPENSATION INSURANCE</v>
      </c>
      <c r="C36" s="11"/>
      <c r="D36" s="6">
        <v>6752.68</v>
      </c>
      <c r="E36" s="2"/>
      <c r="F36" s="7">
        <f t="shared" si="15"/>
        <v>5.5094154031723928E-2</v>
      </c>
      <c r="G36" s="2"/>
      <c r="H36" s="6">
        <v>18444.740000000002</v>
      </c>
      <c r="I36" s="2"/>
      <c r="J36" s="7">
        <f t="shared" si="16"/>
        <v>1.5604233893987105E-2</v>
      </c>
      <c r="K36" s="2"/>
      <c r="L36" s="6">
        <f t="shared" si="17"/>
        <v>-11692.060000000001</v>
      </c>
      <c r="M36" s="2"/>
      <c r="N36" s="7">
        <f t="shared" si="18"/>
        <v>-0.63389670984790247</v>
      </c>
      <c r="O36" s="11"/>
      <c r="P36" s="6">
        <v>162665.26</v>
      </c>
      <c r="Q36" s="2"/>
      <c r="R36" s="7">
        <f t="shared" si="19"/>
        <v>1.1794430441385811E-2</v>
      </c>
      <c r="S36" s="2"/>
      <c r="T36" s="6">
        <v>159753.47999999998</v>
      </c>
      <c r="U36" s="2"/>
      <c r="V36" s="7">
        <f t="shared" si="20"/>
        <v>9.143480588977829E-3</v>
      </c>
      <c r="W36" s="2"/>
      <c r="X36" s="6">
        <f t="shared" si="21"/>
        <v>2911.7800000000279</v>
      </c>
      <c r="Y36" s="2"/>
      <c r="Z36" s="7">
        <f t="shared" si="22"/>
        <v>1.8226707800043093E-2</v>
      </c>
    </row>
    <row r="37" spans="1:26" s="24" customFormat="1" hidden="1" outlineLevel="2" x14ac:dyDescent="0.25">
      <c r="A37" s="26"/>
      <c r="B37" s="11" t="str">
        <f>CONCATENATE("          ", "6113", " - ", "GROUP INSURANCE")</f>
        <v xml:space="preserve">          6113 - GROUP INSURANCE</v>
      </c>
      <c r="C37" s="11"/>
      <c r="D37" s="6">
        <v>55309.57</v>
      </c>
      <c r="E37" s="2"/>
      <c r="F37" s="7">
        <f t="shared" si="15"/>
        <v>0.4512629013974328</v>
      </c>
      <c r="G37" s="2"/>
      <c r="H37" s="6">
        <v>66670.819999999992</v>
      </c>
      <c r="I37" s="2"/>
      <c r="J37" s="7">
        <f t="shared" si="16"/>
        <v>5.6403455358216663E-2</v>
      </c>
      <c r="K37" s="2"/>
      <c r="L37" s="6">
        <f t="shared" si="17"/>
        <v>-11361.249999999993</v>
      </c>
      <c r="M37" s="2"/>
      <c r="N37" s="7">
        <f t="shared" si="18"/>
        <v>-0.1704081335732783</v>
      </c>
      <c r="O37" s="11"/>
      <c r="P37" s="6">
        <v>751961.92999999993</v>
      </c>
      <c r="Q37" s="2"/>
      <c r="R37" s="7">
        <f t="shared" si="19"/>
        <v>5.4522783032807533E-2</v>
      </c>
      <c r="S37" s="2"/>
      <c r="T37" s="6">
        <v>732177.98</v>
      </c>
      <c r="U37" s="2"/>
      <c r="V37" s="7">
        <f t="shared" si="20"/>
        <v>4.1906161592267017E-2</v>
      </c>
      <c r="W37" s="2"/>
      <c r="X37" s="6">
        <f t="shared" si="21"/>
        <v>19783.949999999953</v>
      </c>
      <c r="Y37" s="2"/>
      <c r="Z37" s="7">
        <f t="shared" si="22"/>
        <v>2.7020684233087636E-2</v>
      </c>
    </row>
    <row r="38" spans="1:26" s="24" customFormat="1" hidden="1" outlineLevel="2" x14ac:dyDescent="0.25">
      <c r="A38" s="26"/>
      <c r="B38" s="11" t="str">
        <f>CONCATENATE("          ", "6114", " - ", "STATE UNEMPLOYMENT INSURANCE")</f>
        <v xml:space="preserve">          6114 - STATE UNEMPLOYMENT INSURANCE</v>
      </c>
      <c r="C38" s="11"/>
      <c r="D38" s="6">
        <v>519.17999999999995</v>
      </c>
      <c r="E38" s="2"/>
      <c r="F38" s="7">
        <f t="shared" si="15"/>
        <v>4.235915649814655E-3</v>
      </c>
      <c r="G38" s="2"/>
      <c r="H38" s="6">
        <v>1382.55</v>
      </c>
      <c r="I38" s="2"/>
      <c r="J38" s="7">
        <f t="shared" si="16"/>
        <v>1.169636089754145E-3</v>
      </c>
      <c r="K38" s="2"/>
      <c r="L38" s="6">
        <f t="shared" si="17"/>
        <v>-863.37</v>
      </c>
      <c r="M38" s="2"/>
      <c r="N38" s="7">
        <f t="shared" si="18"/>
        <v>-0.62447651079526967</v>
      </c>
      <c r="O38" s="11"/>
      <c r="P38" s="6">
        <v>13299.63</v>
      </c>
      <c r="Q38" s="2"/>
      <c r="R38" s="7">
        <f t="shared" si="19"/>
        <v>9.6432121358406805E-4</v>
      </c>
      <c r="S38" s="2"/>
      <c r="T38" s="6">
        <v>13462.36</v>
      </c>
      <c r="U38" s="2"/>
      <c r="V38" s="7">
        <f t="shared" si="20"/>
        <v>7.7051734548650569E-4</v>
      </c>
      <c r="W38" s="2"/>
      <c r="X38" s="6">
        <f t="shared" si="21"/>
        <v>-162.73000000000138</v>
      </c>
      <c r="Y38" s="2"/>
      <c r="Z38" s="7">
        <f t="shared" si="22"/>
        <v>-1.2087776585977598E-2</v>
      </c>
    </row>
    <row r="39" spans="1:26" s="24" customFormat="1" hidden="1" outlineLevel="2" x14ac:dyDescent="0.25">
      <c r="A39" s="26"/>
      <c r="B39" s="11" t="str">
        <f>CONCATENATE("          ", "6115", " - ", "P.E.R.S.")</f>
        <v xml:space="preserve">          6115 - P.E.R.S.</v>
      </c>
      <c r="C39" s="11"/>
      <c r="D39" s="6">
        <v>6347.38</v>
      </c>
      <c r="E39" s="2"/>
      <c r="F39" s="7">
        <f t="shared" si="15"/>
        <v>5.1787369076853017E-2</v>
      </c>
      <c r="G39" s="2"/>
      <c r="H39" s="6">
        <v>10844.61</v>
      </c>
      <c r="I39" s="2"/>
      <c r="J39" s="7">
        <f t="shared" si="16"/>
        <v>9.1745305669297325E-3</v>
      </c>
      <c r="K39" s="2"/>
      <c r="L39" s="6">
        <f t="shared" si="17"/>
        <v>-4497.2300000000005</v>
      </c>
      <c r="M39" s="2"/>
      <c r="N39" s="7">
        <f t="shared" si="18"/>
        <v>-0.41469725513411732</v>
      </c>
      <c r="O39" s="11"/>
      <c r="P39" s="6">
        <v>124338.89000000001</v>
      </c>
      <c r="Q39" s="2"/>
      <c r="R39" s="7">
        <f t="shared" si="19"/>
        <v>9.0154860925075325E-3</v>
      </c>
      <c r="S39" s="2"/>
      <c r="T39" s="6">
        <v>121140.51000000001</v>
      </c>
      <c r="U39" s="2"/>
      <c r="V39" s="7">
        <f t="shared" si="20"/>
        <v>6.9334696291052612E-3</v>
      </c>
      <c r="W39" s="2"/>
      <c r="X39" s="6">
        <f t="shared" si="21"/>
        <v>3198.3800000000047</v>
      </c>
      <c r="Y39" s="2"/>
      <c r="Z39" s="7">
        <f t="shared" si="22"/>
        <v>2.6402233241382297E-2</v>
      </c>
    </row>
    <row r="40" spans="1:26" s="24" customFormat="1" hidden="1" outlineLevel="2" x14ac:dyDescent="0.25">
      <c r="A40" s="26"/>
      <c r="B40" s="11" t="str">
        <f>CONCATENATE("          ", "6117", " - ", "RETIREMENT STAFF HOURLY")</f>
        <v xml:space="preserve">          6117 - RETIREMENT STAFF HOURLY</v>
      </c>
      <c r="C40" s="11"/>
      <c r="D40" s="6">
        <v>1448.63</v>
      </c>
      <c r="E40" s="2"/>
      <c r="F40" s="7">
        <f t="shared" si="15"/>
        <v>1.1819165776399332E-2</v>
      </c>
      <c r="G40" s="2"/>
      <c r="H40" s="6">
        <v>1494.2</v>
      </c>
      <c r="I40" s="2"/>
      <c r="J40" s="7">
        <f t="shared" si="16"/>
        <v>1.2640918920188374E-3</v>
      </c>
      <c r="K40" s="2"/>
      <c r="L40" s="6">
        <f t="shared" si="17"/>
        <v>-45.569999999999936</v>
      </c>
      <c r="M40" s="2"/>
      <c r="N40" s="7">
        <f t="shared" si="18"/>
        <v>-3.0497925311203277E-2</v>
      </c>
      <c r="O40" s="11"/>
      <c r="P40" s="6">
        <v>20776.14</v>
      </c>
      <c r="Q40" s="2"/>
      <c r="R40" s="7">
        <f t="shared" si="19"/>
        <v>1.5064233018807667E-3</v>
      </c>
      <c r="S40" s="2"/>
      <c r="T40" s="6">
        <v>17730.38</v>
      </c>
      <c r="U40" s="2"/>
      <c r="V40" s="7">
        <f t="shared" si="20"/>
        <v>1.0147972073296979E-3</v>
      </c>
      <c r="W40" s="2"/>
      <c r="X40" s="6">
        <f t="shared" si="21"/>
        <v>3045.7599999999984</v>
      </c>
      <c r="Y40" s="2"/>
      <c r="Z40" s="7">
        <f t="shared" si="22"/>
        <v>0.17178199226412508</v>
      </c>
    </row>
    <row r="41" spans="1:26" s="24" customFormat="1" hidden="1" outlineLevel="2" x14ac:dyDescent="0.25">
      <c r="A41" s="26"/>
      <c r="B41" s="11" t="str">
        <f>CONCATENATE("          ", "6118", " - ", "VACATION")</f>
        <v xml:space="preserve">          6118 - VACATION</v>
      </c>
      <c r="C41" s="11"/>
      <c r="D41" s="6">
        <v>8467.23</v>
      </c>
      <c r="E41" s="2"/>
      <c r="F41" s="7">
        <f t="shared" si="15"/>
        <v>6.9082923201163646E-2</v>
      </c>
      <c r="G41" s="2"/>
      <c r="H41" s="6">
        <v>18604.150000000001</v>
      </c>
      <c r="I41" s="2"/>
      <c r="J41" s="7">
        <f t="shared" si="16"/>
        <v>1.5739094614444022E-2</v>
      </c>
      <c r="K41" s="2"/>
      <c r="L41" s="6">
        <f t="shared" si="17"/>
        <v>-10136.920000000002</v>
      </c>
      <c r="M41" s="2"/>
      <c r="N41" s="7">
        <f t="shared" si="18"/>
        <v>-0.54487412754681086</v>
      </c>
      <c r="O41" s="11"/>
      <c r="P41" s="6">
        <v>168189.90999999997</v>
      </c>
      <c r="Q41" s="2"/>
      <c r="R41" s="7">
        <f t="shared" si="19"/>
        <v>1.219500829149346E-2</v>
      </c>
      <c r="S41" s="2"/>
      <c r="T41" s="6">
        <v>158799.34</v>
      </c>
      <c r="U41" s="2"/>
      <c r="V41" s="7">
        <f t="shared" si="20"/>
        <v>9.0888704448409546E-3</v>
      </c>
      <c r="W41" s="2"/>
      <c r="X41" s="6">
        <f t="shared" si="21"/>
        <v>9390.5699999999779</v>
      </c>
      <c r="Y41" s="2"/>
      <c r="Z41" s="7">
        <f t="shared" si="22"/>
        <v>5.9134817562843639E-2</v>
      </c>
    </row>
    <row r="42" spans="1:26" s="24" customFormat="1" hidden="1" outlineLevel="2" x14ac:dyDescent="0.25">
      <c r="A42" s="26"/>
      <c r="B42" s="11" t="str">
        <f>CONCATENATE("          ", "6119", " - ", "SICK LEAVE")</f>
        <v xml:space="preserve">          6119 - SICK LEAVE</v>
      </c>
      <c r="C42" s="11"/>
      <c r="D42" s="6">
        <v>6128.13</v>
      </c>
      <c r="E42" s="2"/>
      <c r="F42" s="7">
        <f t="shared" si="15"/>
        <v>4.9998539564503036E-2</v>
      </c>
      <c r="G42" s="2"/>
      <c r="H42" s="6">
        <v>13097.1</v>
      </c>
      <c r="I42" s="2"/>
      <c r="J42" s="7">
        <f t="shared" si="16"/>
        <v>1.1080135135162573E-2</v>
      </c>
      <c r="K42" s="2"/>
      <c r="L42" s="6">
        <f t="shared" si="17"/>
        <v>-6968.97</v>
      </c>
      <c r="M42" s="2"/>
      <c r="N42" s="7">
        <f t="shared" si="18"/>
        <v>-0.53210023593009137</v>
      </c>
      <c r="O42" s="11"/>
      <c r="P42" s="6">
        <v>-22256.85</v>
      </c>
      <c r="Q42" s="2"/>
      <c r="R42" s="7">
        <f t="shared" si="19"/>
        <v>-1.6137856919747817E-3</v>
      </c>
      <c r="S42" s="2"/>
      <c r="T42" s="6">
        <v>120273.88999999998</v>
      </c>
      <c r="U42" s="2"/>
      <c r="V42" s="7">
        <f t="shared" si="20"/>
        <v>6.8838686867782441E-3</v>
      </c>
      <c r="W42" s="2"/>
      <c r="X42" s="6">
        <f t="shared" si="21"/>
        <v>-142530.74</v>
      </c>
      <c r="Y42" s="2"/>
      <c r="Z42" s="7">
        <f t="shared" si="22"/>
        <v>-1.185051385633241</v>
      </c>
    </row>
    <row r="43" spans="1:26" s="24" customFormat="1" hidden="1" outlineLevel="2" x14ac:dyDescent="0.25">
      <c r="A43" s="26"/>
      <c r="B43" s="11" t="str">
        <f>CONCATENATE("          ", "6156", " - ", "EMPLOYEE MEALS")</f>
        <v xml:space="preserve">          6156 - EMPLOYEE MEALS</v>
      </c>
      <c r="C43" s="11"/>
      <c r="D43" s="6">
        <v>2668</v>
      </c>
      <c r="E43" s="2"/>
      <c r="F43" s="7">
        <f t="shared" si="15"/>
        <v>2.1767831876623716E-2</v>
      </c>
      <c r="G43" s="2"/>
      <c r="H43" s="6">
        <v>5803.77</v>
      </c>
      <c r="I43" s="2"/>
      <c r="J43" s="7">
        <f t="shared" si="16"/>
        <v>4.9099843395410039E-3</v>
      </c>
      <c r="K43" s="2"/>
      <c r="L43" s="6">
        <f t="shared" si="17"/>
        <v>-3135.7700000000004</v>
      </c>
      <c r="M43" s="2"/>
      <c r="N43" s="7">
        <f t="shared" si="18"/>
        <v>-0.54029880577624545</v>
      </c>
      <c r="O43" s="11"/>
      <c r="P43" s="6">
        <v>64604.359999999993</v>
      </c>
      <c r="Q43" s="2"/>
      <c r="R43" s="7">
        <f t="shared" si="19"/>
        <v>4.6842923327958764E-3</v>
      </c>
      <c r="S43" s="2"/>
      <c r="T43" s="6">
        <v>67179.87</v>
      </c>
      <c r="U43" s="2"/>
      <c r="V43" s="7">
        <f t="shared" si="20"/>
        <v>3.845035722007771E-3</v>
      </c>
      <c r="W43" s="2"/>
      <c r="X43" s="6">
        <f t="shared" si="21"/>
        <v>-2575.510000000002</v>
      </c>
      <c r="Y43" s="2"/>
      <c r="Z43" s="7">
        <f t="shared" si="22"/>
        <v>-3.8337525809442656E-2</v>
      </c>
    </row>
    <row r="44" spans="1:26" s="27" customFormat="1" outlineLevel="1" collapsed="1" x14ac:dyDescent="0.25">
      <c r="A44" s="25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94591.54</v>
      </c>
      <c r="E44" s="1"/>
      <c r="F44" s="5">
        <f t="shared" ref="F44:F51" si="23">IF(D$12=0,0,D44/D$12)</f>
        <v>0.77175889792763386</v>
      </c>
      <c r="G44" s="1"/>
      <c r="H44" s="1">
        <f>SUM(OSRRefH22_1x_0)</f>
        <v>495931.38999999996</v>
      </c>
      <c r="I44" s="1"/>
      <c r="J44" s="5">
        <f t="shared" ref="J44:J51" si="24">IF(H$12=0,0,H44/H$12)</f>
        <v>0.41955752181544098</v>
      </c>
      <c r="K44" s="1"/>
      <c r="L44" s="1">
        <f t="shared" ref="L44:L51" si="25">+D44-H44</f>
        <v>-401339.85</v>
      </c>
      <c r="M44" s="1"/>
      <c r="N44" s="5">
        <f t="shared" ref="N44:N51" si="26">IF(H44=0,0,L44/H44)</f>
        <v>-0.80926486625498739</v>
      </c>
      <c r="O44" s="13"/>
      <c r="P44" s="1">
        <f>SUM(OSRRefP22_1x_0)</f>
        <v>4667758.17</v>
      </c>
      <c r="Q44" s="1"/>
      <c r="R44" s="5">
        <f t="shared" ref="R44:R51" si="27">IF(P$12=0,0,P44/P$12)</f>
        <v>0.33844687583123356</v>
      </c>
      <c r="S44" s="1"/>
      <c r="T44" s="1">
        <f>SUM(OSRRefT22_1x_0)</f>
        <v>4877108.1899999995</v>
      </c>
      <c r="U44" s="1"/>
      <c r="V44" s="5">
        <f t="shared" ref="V44:V51" si="28">IF(T$12=0,0,T44/T$12)</f>
        <v>0.27914098688560518</v>
      </c>
      <c r="W44" s="1"/>
      <c r="X44" s="1">
        <f t="shared" ref="X44:X51" si="29">+P44-T44</f>
        <v>-209350.01999999955</v>
      </c>
      <c r="Y44" s="1"/>
      <c r="Z44" s="5">
        <f t="shared" ref="Z44:Z51" si="30">IF(T44=0,0,X44/T44)</f>
        <v>-4.2925030949538888E-2</v>
      </c>
    </row>
    <row r="45" spans="1:26" s="24" customFormat="1" hidden="1" outlineLevel="2" x14ac:dyDescent="0.25">
      <c r="A45" s="26"/>
      <c r="B45" s="11" t="str">
        <f>CONCATENATE("          ", "6001", " - ", "ADMINISTRATIVE SALARIES")</f>
        <v xml:space="preserve">          6001 - ADMINISTRATIVE SALARIES</v>
      </c>
      <c r="C45" s="11"/>
      <c r="D45" s="6">
        <v>18921.89</v>
      </c>
      <c r="E45" s="2"/>
      <c r="F45" s="7">
        <f t="shared" si="23"/>
        <v>0.15438100461318122</v>
      </c>
      <c r="G45" s="2"/>
      <c r="H45" s="6">
        <v>30638.720000000001</v>
      </c>
      <c r="I45" s="2"/>
      <c r="J45" s="7">
        <f t="shared" si="24"/>
        <v>2.592033029971583E-2</v>
      </c>
      <c r="K45" s="2"/>
      <c r="L45" s="6">
        <f t="shared" si="25"/>
        <v>-11716.830000000002</v>
      </c>
      <c r="M45" s="2"/>
      <c r="N45" s="7">
        <f t="shared" si="26"/>
        <v>-0.38241904361539913</v>
      </c>
      <c r="O45" s="11"/>
      <c r="P45" s="6">
        <v>271069.45</v>
      </c>
      <c r="Q45" s="2"/>
      <c r="R45" s="7">
        <f t="shared" si="27"/>
        <v>1.965453332081914E-2</v>
      </c>
      <c r="S45" s="2"/>
      <c r="T45" s="6">
        <v>272996.84999999998</v>
      </c>
      <c r="U45" s="2"/>
      <c r="V45" s="7">
        <f t="shared" si="28"/>
        <v>1.5624957896548431E-2</v>
      </c>
      <c r="W45" s="2"/>
      <c r="X45" s="6">
        <f t="shared" si="29"/>
        <v>-1927.3999999999651</v>
      </c>
      <c r="Y45" s="2"/>
      <c r="Z45" s="7">
        <f t="shared" si="30"/>
        <v>-7.060154723396864E-3</v>
      </c>
    </row>
    <row r="46" spans="1:26" s="24" customFormat="1" hidden="1" outlineLevel="2" x14ac:dyDescent="0.25">
      <c r="A46" s="26"/>
      <c r="B46" s="11" t="str">
        <f>CONCATENATE("          ", "6002", " - ", "STAFF SALARIES")</f>
        <v xml:space="preserve">          6002 - STAFF SALARIES</v>
      </c>
      <c r="C46" s="11"/>
      <c r="D46" s="6">
        <v>33289.56</v>
      </c>
      <c r="E46" s="2"/>
      <c r="F46" s="7">
        <f t="shared" si="23"/>
        <v>0.27160477710898717</v>
      </c>
      <c r="G46" s="2"/>
      <c r="H46" s="6">
        <v>106321.94</v>
      </c>
      <c r="I46" s="2"/>
      <c r="J46" s="7">
        <f t="shared" si="24"/>
        <v>8.994826816872796E-2</v>
      </c>
      <c r="K46" s="2"/>
      <c r="L46" s="6">
        <f t="shared" si="25"/>
        <v>-73032.38</v>
      </c>
      <c r="M46" s="2"/>
      <c r="N46" s="7">
        <f t="shared" si="26"/>
        <v>-0.68689848962500122</v>
      </c>
      <c r="O46" s="11"/>
      <c r="P46" s="6">
        <v>1013772.53</v>
      </c>
      <c r="Q46" s="2"/>
      <c r="R46" s="7">
        <f t="shared" si="27"/>
        <v>7.3505981476762225E-2</v>
      </c>
      <c r="S46" s="2"/>
      <c r="T46" s="6">
        <v>1058110.6100000001</v>
      </c>
      <c r="U46" s="2"/>
      <c r="V46" s="7">
        <f t="shared" si="28"/>
        <v>6.0560895596931542E-2</v>
      </c>
      <c r="W46" s="2"/>
      <c r="X46" s="6">
        <f t="shared" si="29"/>
        <v>-44338.080000000075</v>
      </c>
      <c r="Y46" s="2"/>
      <c r="Z46" s="7">
        <f t="shared" si="30"/>
        <v>-4.190306720390987E-2</v>
      </c>
    </row>
    <row r="47" spans="1:26" s="24" customFormat="1" hidden="1" outlineLevel="2" x14ac:dyDescent="0.25">
      <c r="A47" s="26"/>
      <c r="B47" s="11" t="str">
        <f>CONCATENATE("          ", "6004", " - ", "STAFF HOURLY")</f>
        <v xml:space="preserve">          6004 - STAFF HOURLY</v>
      </c>
      <c r="C47" s="11"/>
      <c r="D47" s="6">
        <v>42380.09</v>
      </c>
      <c r="E47" s="2"/>
      <c r="F47" s="7">
        <f t="shared" si="23"/>
        <v>0.34577311620546547</v>
      </c>
      <c r="G47" s="2"/>
      <c r="H47" s="6">
        <v>89253.34</v>
      </c>
      <c r="I47" s="2"/>
      <c r="J47" s="7">
        <f t="shared" si="24"/>
        <v>7.5508247510106125E-2</v>
      </c>
      <c r="K47" s="2"/>
      <c r="L47" s="6">
        <f t="shared" si="25"/>
        <v>-46873.25</v>
      </c>
      <c r="M47" s="2"/>
      <c r="N47" s="7">
        <f t="shared" si="26"/>
        <v>-0.52517082273895854</v>
      </c>
      <c r="O47" s="11"/>
      <c r="P47" s="6">
        <v>886316.12</v>
      </c>
      <c r="Q47" s="2"/>
      <c r="R47" s="7">
        <f t="shared" si="27"/>
        <v>6.4264452203371264E-2</v>
      </c>
      <c r="S47" s="2"/>
      <c r="T47" s="6">
        <v>779665.46000000008</v>
      </c>
      <c r="U47" s="2"/>
      <c r="V47" s="7">
        <f t="shared" si="28"/>
        <v>4.4624104585430445E-2</v>
      </c>
      <c r="W47" s="2"/>
      <c r="X47" s="6">
        <f t="shared" si="29"/>
        <v>106650.65999999992</v>
      </c>
      <c r="Y47" s="2"/>
      <c r="Z47" s="7">
        <f t="shared" si="30"/>
        <v>0.13679028438684446</v>
      </c>
    </row>
    <row r="48" spans="1:26" s="24" customFormat="1" hidden="1" outlineLevel="2" x14ac:dyDescent="0.25">
      <c r="A48" s="26"/>
      <c r="B48" s="11" t="str">
        <f>CONCATENATE("          ", "6005", " - ", "TEMPORARY WAGES-HOURLY")</f>
        <v xml:space="preserve">          6005 - TEMPORARY WAGES-HOURLY</v>
      </c>
      <c r="C48" s="11"/>
      <c r="D48" s="6"/>
      <c r="E48" s="2"/>
      <c r="F48" s="7">
        <f t="shared" si="23"/>
        <v>0</v>
      </c>
      <c r="G48" s="2"/>
      <c r="H48" s="6">
        <v>132343.93</v>
      </c>
      <c r="I48" s="2"/>
      <c r="J48" s="7">
        <f t="shared" si="24"/>
        <v>0.11196284892980095</v>
      </c>
      <c r="K48" s="2"/>
      <c r="L48" s="6">
        <f t="shared" si="25"/>
        <v>-132343.93</v>
      </c>
      <c r="M48" s="2"/>
      <c r="N48" s="7">
        <f t="shared" si="26"/>
        <v>-1</v>
      </c>
      <c r="O48" s="11"/>
      <c r="P48" s="6">
        <v>831285.8</v>
      </c>
      <c r="Q48" s="2"/>
      <c r="R48" s="7">
        <f t="shared" si="27"/>
        <v>6.0274348345871497E-2</v>
      </c>
      <c r="S48" s="2"/>
      <c r="T48" s="6">
        <v>895803.86</v>
      </c>
      <c r="U48" s="2"/>
      <c r="V48" s="7">
        <f t="shared" si="28"/>
        <v>5.1271278756753302E-2</v>
      </c>
      <c r="W48" s="2"/>
      <c r="X48" s="6">
        <f t="shared" si="29"/>
        <v>-64518.059999999939</v>
      </c>
      <c r="Y48" s="2"/>
      <c r="Z48" s="7">
        <f t="shared" si="30"/>
        <v>-7.20225295747218E-2</v>
      </c>
    </row>
    <row r="49" spans="1:26" s="24" customFormat="1" hidden="1" outlineLevel="2" x14ac:dyDescent="0.25">
      <c r="A49" s="26"/>
      <c r="B49" s="11" t="str">
        <f>CONCATENATE("          ", "6006", " - ", "TEMPORARY PART TIME")</f>
        <v xml:space="preserve">          6006 - TEMPORARY PART TIME</v>
      </c>
      <c r="C49" s="11"/>
      <c r="D49" s="6"/>
      <c r="E49" s="2"/>
      <c r="F49" s="7">
        <f t="shared" si="23"/>
        <v>0</v>
      </c>
      <c r="G49" s="2"/>
      <c r="H49" s="6">
        <v>11582.97</v>
      </c>
      <c r="I49" s="2"/>
      <c r="J49" s="7">
        <f t="shared" si="24"/>
        <v>9.799182480589903E-3</v>
      </c>
      <c r="K49" s="2"/>
      <c r="L49" s="6">
        <f t="shared" si="25"/>
        <v>-11582.97</v>
      </c>
      <c r="M49" s="2"/>
      <c r="N49" s="7">
        <f t="shared" si="26"/>
        <v>-1</v>
      </c>
      <c r="O49" s="11"/>
      <c r="P49" s="6">
        <v>45957.26</v>
      </c>
      <c r="Q49" s="2"/>
      <c r="R49" s="7">
        <f t="shared" si="27"/>
        <v>3.3322401251913436E-3</v>
      </c>
      <c r="S49" s="2"/>
      <c r="T49" s="6">
        <v>49560.54</v>
      </c>
      <c r="U49" s="2"/>
      <c r="V49" s="7">
        <f t="shared" si="28"/>
        <v>2.8365944545887781E-3</v>
      </c>
      <c r="W49" s="2"/>
      <c r="X49" s="6">
        <f t="shared" si="29"/>
        <v>-3603.2799999999988</v>
      </c>
      <c r="Y49" s="2"/>
      <c r="Z49" s="7">
        <f t="shared" si="30"/>
        <v>-7.2704615405723969E-2</v>
      </c>
    </row>
    <row r="50" spans="1:26" s="24" customFormat="1" hidden="1" outlineLevel="2" x14ac:dyDescent="0.25">
      <c r="A50" s="26"/>
      <c r="B50" s="11" t="str">
        <f>CONCATENATE("          ", "6007", " - ", "STUDENT HOURLY")</f>
        <v xml:space="preserve">          6007 - STUDENT HOURLY</v>
      </c>
      <c r="C50" s="11"/>
      <c r="D50" s="6"/>
      <c r="E50" s="2"/>
      <c r="F50" s="7">
        <f t="shared" si="23"/>
        <v>0</v>
      </c>
      <c r="G50" s="2"/>
      <c r="H50" s="6">
        <v>92006.53</v>
      </c>
      <c r="I50" s="2"/>
      <c r="J50" s="7">
        <f t="shared" si="24"/>
        <v>7.7837443840040099E-2</v>
      </c>
      <c r="K50" s="2"/>
      <c r="L50" s="6">
        <f t="shared" si="25"/>
        <v>-92006.53</v>
      </c>
      <c r="M50" s="2"/>
      <c r="N50" s="7">
        <f t="shared" si="26"/>
        <v>-1</v>
      </c>
      <c r="O50" s="11"/>
      <c r="P50" s="6">
        <v>1410448.02</v>
      </c>
      <c r="Q50" s="2"/>
      <c r="R50" s="7">
        <f t="shared" si="27"/>
        <v>0.10226787860591956</v>
      </c>
      <c r="S50" s="2"/>
      <c r="T50" s="6">
        <v>1537319.36</v>
      </c>
      <c r="U50" s="2"/>
      <c r="V50" s="7">
        <f t="shared" si="28"/>
        <v>8.7988378889898494E-2</v>
      </c>
      <c r="W50" s="2"/>
      <c r="X50" s="6">
        <f t="shared" si="29"/>
        <v>-126871.34000000008</v>
      </c>
      <c r="Y50" s="2"/>
      <c r="Z50" s="7">
        <f t="shared" si="30"/>
        <v>-8.252764084100267E-2</v>
      </c>
    </row>
    <row r="51" spans="1:26" s="24" customFormat="1" hidden="1" outlineLevel="2" x14ac:dyDescent="0.25">
      <c r="A51" s="26"/>
      <c r="B51" s="11" t="str">
        <f>CONCATENATE("          ", "6008", " - ", "STUDENT HOURLY-FICA EXEMPT")</f>
        <v xml:space="preserve">          6008 - STUDENT HOURLY-FICA EXEMPT</v>
      </c>
      <c r="C51" s="11"/>
      <c r="D51" s="6"/>
      <c r="E51" s="2"/>
      <c r="F51" s="7">
        <f t="shared" si="23"/>
        <v>0</v>
      </c>
      <c r="G51" s="2"/>
      <c r="H51" s="6">
        <v>33783.96</v>
      </c>
      <c r="I51" s="2"/>
      <c r="J51" s="7">
        <f t="shared" si="24"/>
        <v>2.8581200586460128E-2</v>
      </c>
      <c r="K51" s="2"/>
      <c r="L51" s="6">
        <f t="shared" si="25"/>
        <v>-33783.96</v>
      </c>
      <c r="M51" s="2"/>
      <c r="N51" s="7">
        <f t="shared" si="26"/>
        <v>-1</v>
      </c>
      <c r="O51" s="11"/>
      <c r="P51" s="6">
        <v>208908.99000000002</v>
      </c>
      <c r="Q51" s="2"/>
      <c r="R51" s="7">
        <f t="shared" si="27"/>
        <v>1.5147441753298548E-2</v>
      </c>
      <c r="S51" s="2"/>
      <c r="T51" s="6">
        <v>283651.51</v>
      </c>
      <c r="U51" s="2"/>
      <c r="V51" s="7">
        <f t="shared" si="28"/>
        <v>1.6234776705454246E-2</v>
      </c>
      <c r="W51" s="2"/>
      <c r="X51" s="6">
        <f t="shared" si="29"/>
        <v>-74742.51999999999</v>
      </c>
      <c r="Y51" s="2"/>
      <c r="Z51" s="7">
        <f t="shared" si="30"/>
        <v>-0.26350122373753621</v>
      </c>
    </row>
    <row r="52" spans="1:26" s="27" customFormat="1" outlineLevel="1" collapsed="1" x14ac:dyDescent="0.25">
      <c r="A52" s="25"/>
      <c r="B52" s="13" t="str">
        <f>CONCATENATE("     ","Advertising/Promo                                 ")</f>
        <v xml:space="preserve">     Advertising/Promo                                 </v>
      </c>
      <c r="C52" s="13"/>
      <c r="D52" s="1">
        <f>SUM(OSRRefD22_2x_0)</f>
        <v>109.76</v>
      </c>
      <c r="E52" s="1"/>
      <c r="F52" s="5">
        <f t="shared" ref="F52:F61" si="31">IF(D$12=0,0,D52/D$12)</f>
        <v>8.9551620194086177E-4</v>
      </c>
      <c r="G52" s="1"/>
      <c r="H52" s="1">
        <f>SUM(OSRRefH22_2x_0)</f>
        <v>3438.09</v>
      </c>
      <c r="I52" s="1"/>
      <c r="J52" s="5">
        <f t="shared" ref="J52:J61" si="32">IF(H$12=0,0,H52/H$12)</f>
        <v>2.908621130391544E-3</v>
      </c>
      <c r="K52" s="1"/>
      <c r="L52" s="1">
        <f t="shared" ref="L52:L61" si="33">+D52-H52</f>
        <v>-3328.33</v>
      </c>
      <c r="M52" s="1"/>
      <c r="N52" s="5">
        <f t="shared" ref="N52:N61" si="34">IF(H52=0,0,L52/H52)</f>
        <v>-0.96807529762164446</v>
      </c>
      <c r="O52" s="13"/>
      <c r="P52" s="1">
        <f>SUM(OSRRefP22_2x_0)</f>
        <v>36981.440000000002</v>
      </c>
      <c r="Q52" s="1"/>
      <c r="R52" s="5">
        <f t="shared" ref="R52:R61" si="35">IF(P$12=0,0,P52/P$12)</f>
        <v>2.6814270096902244E-3</v>
      </c>
      <c r="S52" s="1"/>
      <c r="T52" s="1">
        <f>SUM(OSRRefT22_2x_0)</f>
        <v>47732.23</v>
      </c>
      <c r="U52" s="1"/>
      <c r="V52" s="5">
        <f t="shared" ref="V52:V61" si="36">IF(T$12=0,0,T52/T$12)</f>
        <v>2.7319512443398745E-3</v>
      </c>
      <c r="W52" s="1"/>
      <c r="X52" s="1">
        <f t="shared" ref="X52:X61" si="37">+P52-T52</f>
        <v>-10750.79</v>
      </c>
      <c r="Y52" s="1"/>
      <c r="Z52" s="5">
        <f t="shared" ref="Z52:Z61" si="38">IF(T52=0,0,X52/T52)</f>
        <v>-0.22523125359950708</v>
      </c>
    </row>
    <row r="53" spans="1:26" s="24" customFormat="1" hidden="1" outlineLevel="2" x14ac:dyDescent="0.25">
      <c r="A53" s="26"/>
      <c r="B53" s="11" t="str">
        <f>CONCATENATE("          ", "6362", " - ", "ADVERTISING EXPENSE")</f>
        <v xml:space="preserve">          6362 - ADVERTISING EXPENSE</v>
      </c>
      <c r="C53" s="11"/>
      <c r="D53" s="6">
        <v>109.76</v>
      </c>
      <c r="E53" s="2"/>
      <c r="F53" s="7">
        <f t="shared" si="31"/>
        <v>8.9551620194086177E-4</v>
      </c>
      <c r="G53" s="2"/>
      <c r="H53" s="6">
        <v>3438.09</v>
      </c>
      <c r="I53" s="2"/>
      <c r="J53" s="7">
        <f t="shared" si="32"/>
        <v>2.908621130391544E-3</v>
      </c>
      <c r="K53" s="2"/>
      <c r="L53" s="6">
        <f t="shared" si="33"/>
        <v>-3328.33</v>
      </c>
      <c r="M53" s="2"/>
      <c r="N53" s="7">
        <f t="shared" si="34"/>
        <v>-0.96807529762164446</v>
      </c>
      <c r="O53" s="11"/>
      <c r="P53" s="6">
        <v>36981.440000000002</v>
      </c>
      <c r="Q53" s="2"/>
      <c r="R53" s="7">
        <f t="shared" si="35"/>
        <v>2.6814270096902244E-3</v>
      </c>
      <c r="S53" s="2"/>
      <c r="T53" s="6">
        <v>47732.23</v>
      </c>
      <c r="U53" s="2"/>
      <c r="V53" s="7">
        <f t="shared" si="36"/>
        <v>2.7319512443398745E-3</v>
      </c>
      <c r="W53" s="2"/>
      <c r="X53" s="6">
        <f t="shared" si="37"/>
        <v>-10750.79</v>
      </c>
      <c r="Y53" s="2"/>
      <c r="Z53" s="7">
        <f t="shared" si="38"/>
        <v>-0.22523125359950708</v>
      </c>
    </row>
    <row r="54" spans="1:26" s="27" customFormat="1" outlineLevel="1" collapsed="1" x14ac:dyDescent="0.25">
      <c r="A54" s="25"/>
      <c r="B54" s="13" t="str">
        <f>CONCATENATE("     ","Bad Debts/Over/Short                              ")</f>
        <v xml:space="preserve">     Bad Debts/Over/Short                              </v>
      </c>
      <c r="C54" s="13"/>
      <c r="D54" s="1">
        <f>SUM(OSRRefD22_3x_0)</f>
        <v>0</v>
      </c>
      <c r="E54" s="1"/>
      <c r="F54" s="5">
        <f t="shared" si="31"/>
        <v>0</v>
      </c>
      <c r="G54" s="1"/>
      <c r="H54" s="1">
        <f>SUM(OSRRefH22_3x_0)</f>
        <v>24.52</v>
      </c>
      <c r="I54" s="1"/>
      <c r="J54" s="5">
        <f t="shared" si="32"/>
        <v>2.0743898535873305E-5</v>
      </c>
      <c r="K54" s="1"/>
      <c r="L54" s="1">
        <f t="shared" si="33"/>
        <v>-24.52</v>
      </c>
      <c r="M54" s="1"/>
      <c r="N54" s="5">
        <f t="shared" si="34"/>
        <v>-1</v>
      </c>
      <c r="O54" s="13"/>
      <c r="P54" s="1">
        <f>SUM(OSRRefP22_3x_0)</f>
        <v>-197.1</v>
      </c>
      <c r="Q54" s="1"/>
      <c r="R54" s="5">
        <f t="shared" si="35"/>
        <v>-1.4291202928007757E-5</v>
      </c>
      <c r="S54" s="1"/>
      <c r="T54" s="1">
        <f>SUM(OSRRefT22_3x_0)</f>
        <v>1352</v>
      </c>
      <c r="U54" s="1"/>
      <c r="V54" s="5">
        <f t="shared" si="36"/>
        <v>7.7381636733660043E-5</v>
      </c>
      <c r="W54" s="1"/>
      <c r="X54" s="1">
        <f t="shared" si="37"/>
        <v>-1549.1</v>
      </c>
      <c r="Y54" s="1"/>
      <c r="Z54" s="5">
        <f t="shared" si="38"/>
        <v>-1.145784023668639</v>
      </c>
    </row>
    <row r="55" spans="1:26" s="24" customFormat="1" hidden="1" outlineLevel="2" x14ac:dyDescent="0.25">
      <c r="A55" s="26"/>
      <c r="B55" s="11" t="str">
        <f>CONCATENATE("          ", "6272", " - ", "CASH (OVER/SHORT)")</f>
        <v xml:space="preserve">          6272 - CASH (OVER/SHORT)</v>
      </c>
      <c r="C55" s="11"/>
      <c r="D55" s="6"/>
      <c r="E55" s="2"/>
      <c r="F55" s="7">
        <f t="shared" si="31"/>
        <v>0</v>
      </c>
      <c r="G55" s="2"/>
      <c r="H55" s="6">
        <v>24.52</v>
      </c>
      <c r="I55" s="2"/>
      <c r="J55" s="7">
        <f t="shared" si="32"/>
        <v>2.0743898535873305E-5</v>
      </c>
      <c r="K55" s="2"/>
      <c r="L55" s="6">
        <f t="shared" si="33"/>
        <v>-24.52</v>
      </c>
      <c r="M55" s="2"/>
      <c r="N55" s="7">
        <f t="shared" si="34"/>
        <v>-1</v>
      </c>
      <c r="O55" s="11"/>
      <c r="P55" s="6">
        <v>-197.1</v>
      </c>
      <c r="Q55" s="2"/>
      <c r="R55" s="7">
        <f t="shared" si="35"/>
        <v>-1.4291202928007757E-5</v>
      </c>
      <c r="S55" s="2"/>
      <c r="T55" s="6">
        <v>1352</v>
      </c>
      <c r="U55" s="2"/>
      <c r="V55" s="7">
        <f t="shared" si="36"/>
        <v>7.7381636733660043E-5</v>
      </c>
      <c r="W55" s="2"/>
      <c r="X55" s="6">
        <f t="shared" si="37"/>
        <v>-1549.1</v>
      </c>
      <c r="Y55" s="2"/>
      <c r="Z55" s="7">
        <f t="shared" si="38"/>
        <v>-1.145784023668639</v>
      </c>
    </row>
    <row r="56" spans="1:26" s="27" customFormat="1" outlineLevel="1" collapsed="1" x14ac:dyDescent="0.25">
      <c r="A56" s="25"/>
      <c r="B56" s="13" t="str">
        <f>CONCATENATE("     ","Bank/card Fees                                    ")</f>
        <v xml:space="preserve">     Bank/card Fees                                    </v>
      </c>
      <c r="C56" s="13"/>
      <c r="D56" s="1">
        <f>SUM(OSRRefD22_4x_0)</f>
        <v>282</v>
      </c>
      <c r="E56" s="1"/>
      <c r="F56" s="5">
        <f t="shared" si="31"/>
        <v>2.3007978220419369E-3</v>
      </c>
      <c r="G56" s="1"/>
      <c r="H56" s="1">
        <f>SUM(OSRRefH22_4x_0)</f>
        <v>24489.37</v>
      </c>
      <c r="I56" s="1"/>
      <c r="J56" s="5">
        <f t="shared" si="32"/>
        <v>2.0717985582685956E-2</v>
      </c>
      <c r="K56" s="1"/>
      <c r="L56" s="1">
        <f t="shared" si="33"/>
        <v>-24207.37</v>
      </c>
      <c r="M56" s="1"/>
      <c r="N56" s="5">
        <f t="shared" si="34"/>
        <v>-0.98848479973147529</v>
      </c>
      <c r="O56" s="13"/>
      <c r="P56" s="1">
        <f>SUM(OSRRefP22_4x_0)</f>
        <v>152526.37</v>
      </c>
      <c r="Q56" s="1"/>
      <c r="R56" s="5">
        <f t="shared" si="35"/>
        <v>1.105928617728257E-2</v>
      </c>
      <c r="S56" s="1"/>
      <c r="T56" s="1">
        <f>SUM(OSRRefT22_4x_0)</f>
        <v>218205.88</v>
      </c>
      <c r="U56" s="1"/>
      <c r="V56" s="5">
        <f t="shared" si="36"/>
        <v>1.2489000103038918E-2</v>
      </c>
      <c r="W56" s="1"/>
      <c r="X56" s="1">
        <f t="shared" si="37"/>
        <v>-65679.510000000009</v>
      </c>
      <c r="Y56" s="1"/>
      <c r="Z56" s="5">
        <f t="shared" si="38"/>
        <v>-0.30099789244909442</v>
      </c>
    </row>
    <row r="57" spans="1:26" s="24" customFormat="1" hidden="1" outlineLevel="2" x14ac:dyDescent="0.25">
      <c r="A57" s="26"/>
      <c r="B57" s="11" t="str">
        <f>CONCATENATE("          ", "6381", " - ", "BANK/CREDIT CARD FEES")</f>
        <v xml:space="preserve">          6381 - BANK/CREDIT CARD FEES</v>
      </c>
      <c r="C57" s="11"/>
      <c r="D57" s="6">
        <v>282</v>
      </c>
      <c r="E57" s="2"/>
      <c r="F57" s="7">
        <f t="shared" si="31"/>
        <v>2.3007978220419369E-3</v>
      </c>
      <c r="G57" s="2"/>
      <c r="H57" s="6">
        <v>24489.37</v>
      </c>
      <c r="I57" s="2"/>
      <c r="J57" s="7">
        <f t="shared" si="32"/>
        <v>2.0717985582685956E-2</v>
      </c>
      <c r="K57" s="2"/>
      <c r="L57" s="6">
        <f t="shared" si="33"/>
        <v>-24207.37</v>
      </c>
      <c r="M57" s="2"/>
      <c r="N57" s="7">
        <f t="shared" si="34"/>
        <v>-0.98848479973147529</v>
      </c>
      <c r="O57" s="11"/>
      <c r="P57" s="6">
        <v>152526.37</v>
      </c>
      <c r="Q57" s="2"/>
      <c r="R57" s="7">
        <f t="shared" si="35"/>
        <v>1.105928617728257E-2</v>
      </c>
      <c r="S57" s="2"/>
      <c r="T57" s="6">
        <v>218205.88</v>
      </c>
      <c r="U57" s="2"/>
      <c r="V57" s="7">
        <f t="shared" si="36"/>
        <v>1.2489000103038918E-2</v>
      </c>
      <c r="W57" s="2"/>
      <c r="X57" s="6">
        <f t="shared" si="37"/>
        <v>-65679.510000000009</v>
      </c>
      <c r="Y57" s="2"/>
      <c r="Z57" s="7">
        <f t="shared" si="38"/>
        <v>-0.30099789244909442</v>
      </c>
    </row>
    <row r="58" spans="1:26" s="27" customFormat="1" outlineLevel="1" collapsed="1" x14ac:dyDescent="0.25">
      <c r="A58" s="25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SUM(OSRRefD22_5x_0)</f>
        <v>37930.21</v>
      </c>
      <c r="E58" s="1"/>
      <c r="F58" s="5">
        <f t="shared" si="31"/>
        <v>0.30946717928224571</v>
      </c>
      <c r="G58" s="1"/>
      <c r="H58" s="1">
        <f>SUM(OSRRefH22_5x_0)</f>
        <v>41842.33</v>
      </c>
      <c r="I58" s="1"/>
      <c r="J58" s="5">
        <f t="shared" si="32"/>
        <v>3.5398574552386937E-2</v>
      </c>
      <c r="K58" s="1"/>
      <c r="L58" s="1">
        <f t="shared" si="33"/>
        <v>-3912.1200000000026</v>
      </c>
      <c r="M58" s="1"/>
      <c r="N58" s="5">
        <f t="shared" si="34"/>
        <v>-9.3496705369897001E-2</v>
      </c>
      <c r="O58" s="13"/>
      <c r="P58" s="1">
        <f>SUM(OSRRefP22_5x_0)</f>
        <v>440249.36</v>
      </c>
      <c r="Q58" s="1"/>
      <c r="R58" s="5">
        <f t="shared" si="35"/>
        <v>3.1921323910124512E-2</v>
      </c>
      <c r="S58" s="1"/>
      <c r="T58" s="1">
        <f>SUM(OSRRefT22_5x_0)</f>
        <v>433123.61</v>
      </c>
      <c r="U58" s="1"/>
      <c r="V58" s="5">
        <f t="shared" si="36"/>
        <v>2.4789803143336869E-2</v>
      </c>
      <c r="W58" s="1"/>
      <c r="X58" s="1">
        <f t="shared" si="37"/>
        <v>7125.75</v>
      </c>
      <c r="Y58" s="1"/>
      <c r="Z58" s="5">
        <f t="shared" si="38"/>
        <v>1.6452000850288445E-2</v>
      </c>
    </row>
    <row r="59" spans="1:26" s="24" customFormat="1" hidden="1" outlineLevel="2" x14ac:dyDescent="0.25">
      <c r="A59" s="26"/>
      <c r="B59" s="11" t="str">
        <f>CONCATENATE("          ", "6321", " - ", "BUILDING DEPRECIATION")</f>
        <v xml:space="preserve">          6321 - BUILDING DEPRECIATION</v>
      </c>
      <c r="C59" s="11"/>
      <c r="D59" s="6">
        <v>24042.959999999999</v>
      </c>
      <c r="E59" s="2"/>
      <c r="F59" s="7">
        <f t="shared" si="31"/>
        <v>0.19616308511858654</v>
      </c>
      <c r="G59" s="2"/>
      <c r="H59" s="6">
        <v>26899.85</v>
      </c>
      <c r="I59" s="2"/>
      <c r="J59" s="7">
        <f t="shared" si="32"/>
        <v>2.2757249552618739E-2</v>
      </c>
      <c r="K59" s="2"/>
      <c r="L59" s="6">
        <f t="shared" si="33"/>
        <v>-2856.8899999999994</v>
      </c>
      <c r="M59" s="2"/>
      <c r="N59" s="7">
        <f t="shared" si="34"/>
        <v>-0.10620468143874406</v>
      </c>
      <c r="O59" s="11"/>
      <c r="P59" s="6">
        <v>264472.56</v>
      </c>
      <c r="Q59" s="2"/>
      <c r="R59" s="7">
        <f t="shared" si="35"/>
        <v>1.9176210166665184E-2</v>
      </c>
      <c r="S59" s="2"/>
      <c r="T59" s="6">
        <v>276799.15000000002</v>
      </c>
      <c r="U59" s="2"/>
      <c r="V59" s="7">
        <f t="shared" si="36"/>
        <v>1.5842582302874171E-2</v>
      </c>
      <c r="W59" s="2"/>
      <c r="X59" s="6">
        <f t="shared" si="37"/>
        <v>-12326.590000000026</v>
      </c>
      <c r="Y59" s="2"/>
      <c r="Z59" s="7">
        <f t="shared" si="38"/>
        <v>-4.4532615074865743E-2</v>
      </c>
    </row>
    <row r="60" spans="1:26" s="24" customFormat="1" hidden="1" outlineLevel="2" x14ac:dyDescent="0.25">
      <c r="A60" s="26"/>
      <c r="B60" s="11" t="str">
        <f>CONCATENATE("          ", "6322", " - ", "EQUIPMENT DEPRECIATION EXPENSE")</f>
        <v xml:space="preserve">          6322 - EQUIPMENT DEPRECIATION EXPENSE</v>
      </c>
      <c r="C60" s="11"/>
      <c r="D60" s="6">
        <v>13887.25</v>
      </c>
      <c r="E60" s="2"/>
      <c r="F60" s="7">
        <f t="shared" si="31"/>
        <v>0.11330409416365918</v>
      </c>
      <c r="G60" s="2"/>
      <c r="H60" s="6">
        <v>14518.23</v>
      </c>
      <c r="I60" s="2"/>
      <c r="J60" s="7">
        <f t="shared" si="32"/>
        <v>1.2282409871144857E-2</v>
      </c>
      <c r="K60" s="2"/>
      <c r="L60" s="6">
        <f t="shared" si="33"/>
        <v>-630.97999999999956</v>
      </c>
      <c r="M60" s="2"/>
      <c r="N60" s="7">
        <f t="shared" si="34"/>
        <v>-4.3461220823750528E-2</v>
      </c>
      <c r="O60" s="11"/>
      <c r="P60" s="6">
        <v>171534.32</v>
      </c>
      <c r="Q60" s="2"/>
      <c r="R60" s="7">
        <f t="shared" si="35"/>
        <v>1.2437502669902688E-2</v>
      </c>
      <c r="S60" s="2"/>
      <c r="T60" s="6">
        <v>151657.71</v>
      </c>
      <c r="U60" s="2"/>
      <c r="V60" s="7">
        <f t="shared" si="36"/>
        <v>8.6801196916263031E-3</v>
      </c>
      <c r="W60" s="2"/>
      <c r="X60" s="6">
        <f t="shared" si="37"/>
        <v>19876.610000000015</v>
      </c>
      <c r="Y60" s="2"/>
      <c r="Z60" s="7">
        <f t="shared" si="38"/>
        <v>0.1310623113061645</v>
      </c>
    </row>
    <row r="61" spans="1:26" s="24" customFormat="1" hidden="1" outlineLevel="2" x14ac:dyDescent="0.25">
      <c r="A61" s="26"/>
      <c r="B61" s="11" t="str">
        <f>CONCATENATE("          ", "6326", " - ", "VEHICLES DEPRECIATION EXPENSE")</f>
        <v xml:space="preserve">          6326 - VEHICLES DEPRECIATION EXPENSE</v>
      </c>
      <c r="C61" s="11"/>
      <c r="D61" s="6"/>
      <c r="E61" s="2"/>
      <c r="F61" s="7">
        <f t="shared" si="31"/>
        <v>0</v>
      </c>
      <c r="G61" s="2"/>
      <c r="H61" s="6">
        <v>424.25</v>
      </c>
      <c r="I61" s="2"/>
      <c r="J61" s="7">
        <f t="shared" si="32"/>
        <v>3.5891512862333807E-4</v>
      </c>
      <c r="K61" s="2"/>
      <c r="L61" s="6">
        <f t="shared" si="33"/>
        <v>-424.25</v>
      </c>
      <c r="M61" s="2"/>
      <c r="N61" s="7">
        <f t="shared" si="34"/>
        <v>-1</v>
      </c>
      <c r="O61" s="11"/>
      <c r="P61" s="6">
        <v>4242.4799999999996</v>
      </c>
      <c r="Q61" s="2"/>
      <c r="R61" s="7">
        <f t="shared" si="35"/>
        <v>3.0761107355664304E-4</v>
      </c>
      <c r="S61" s="2"/>
      <c r="T61" s="6">
        <v>4666.75</v>
      </c>
      <c r="U61" s="2"/>
      <c r="V61" s="7">
        <f t="shared" si="36"/>
        <v>2.6710114883639644E-4</v>
      </c>
      <c r="W61" s="2"/>
      <c r="X61" s="6">
        <f t="shared" si="37"/>
        <v>-424.27000000000044</v>
      </c>
      <c r="Y61" s="2"/>
      <c r="Z61" s="7">
        <f t="shared" si="38"/>
        <v>-9.0913376546847474E-2</v>
      </c>
    </row>
    <row r="62" spans="1:26" s="27" customFormat="1" outlineLevel="1" collapsed="1" x14ac:dyDescent="0.25">
      <c r="A62" s="25"/>
      <c r="B62" s="13" t="str">
        <f>CONCATENATE("     ","Discounts and Markdowns                           ")</f>
        <v xml:space="preserve">     Discounts and Markdowns                           </v>
      </c>
      <c r="C62" s="13"/>
      <c r="D62" s="1">
        <f>SUM(OSRRefD22_6x_0)</f>
        <v>0</v>
      </c>
      <c r="E62" s="1"/>
      <c r="F62" s="5">
        <f t="shared" ref="F62:F74" si="39">IF(D$12=0,0,D62/D$12)</f>
        <v>0</v>
      </c>
      <c r="G62" s="1"/>
      <c r="H62" s="1">
        <f>SUM(OSRRefH22_6x_0)</f>
        <v>0</v>
      </c>
      <c r="I62" s="1"/>
      <c r="J62" s="5">
        <f t="shared" ref="J62:J74" si="40">IF(H$12=0,0,H62/H$12)</f>
        <v>0</v>
      </c>
      <c r="K62" s="1"/>
      <c r="L62" s="1">
        <f t="shared" ref="L62:L74" si="41">+D62-H62</f>
        <v>0</v>
      </c>
      <c r="M62" s="1"/>
      <c r="N62" s="5">
        <f t="shared" ref="N62:N74" si="42">IF(H62=0,0,L62/H62)</f>
        <v>0</v>
      </c>
      <c r="O62" s="13"/>
      <c r="P62" s="1">
        <f>SUM(OSRRefP22_6x_0)</f>
        <v>0.09</v>
      </c>
      <c r="Q62" s="1"/>
      <c r="R62" s="5">
        <f t="shared" ref="R62:R74" si="43">IF(P$12=0,0,P62/P$12)</f>
        <v>6.5256634374464649E-9</v>
      </c>
      <c r="S62" s="1"/>
      <c r="T62" s="1">
        <f>SUM(OSRRefT22_6x_0)</f>
        <v>0</v>
      </c>
      <c r="U62" s="1"/>
      <c r="V62" s="5">
        <f t="shared" ref="V62:V74" si="44">IF(T$12=0,0,T62/T$12)</f>
        <v>0</v>
      </c>
      <c r="W62" s="1"/>
      <c r="X62" s="1">
        <f t="shared" ref="X62:X74" si="45">+P62-T62</f>
        <v>0.09</v>
      </c>
      <c r="Y62" s="1"/>
      <c r="Z62" s="5">
        <f t="shared" ref="Z62:Z74" si="46">IF(T62=0,0,X62/T62)</f>
        <v>0</v>
      </c>
    </row>
    <row r="63" spans="1:26" s="24" customFormat="1" hidden="1" outlineLevel="2" x14ac:dyDescent="0.25">
      <c r="A63" s="26"/>
      <c r="B63" s="11" t="str">
        <f>CONCATENATE("          ", "6382", " - ", "DISCOUNTS/MARK DOWNS")</f>
        <v xml:space="preserve">          6382 - DISCOUNTS/MARK DOWNS</v>
      </c>
      <c r="C63" s="11"/>
      <c r="D63" s="6"/>
      <c r="E63" s="2"/>
      <c r="F63" s="7">
        <f t="shared" si="39"/>
        <v>0</v>
      </c>
      <c r="G63" s="2"/>
      <c r="H63" s="6"/>
      <c r="I63" s="2"/>
      <c r="J63" s="7">
        <f t="shared" si="40"/>
        <v>0</v>
      </c>
      <c r="K63" s="2"/>
      <c r="L63" s="6">
        <f t="shared" si="41"/>
        <v>0</v>
      </c>
      <c r="M63" s="2"/>
      <c r="N63" s="7">
        <f t="shared" si="42"/>
        <v>0</v>
      </c>
      <c r="O63" s="11"/>
      <c r="P63" s="6">
        <v>0.09</v>
      </c>
      <c r="Q63" s="2"/>
      <c r="R63" s="7">
        <f t="shared" si="43"/>
        <v>6.5256634374464649E-9</v>
      </c>
      <c r="S63" s="2"/>
      <c r="T63" s="6"/>
      <c r="U63" s="2"/>
      <c r="V63" s="7">
        <f t="shared" si="44"/>
        <v>0</v>
      </c>
      <c r="W63" s="2"/>
      <c r="X63" s="6">
        <f t="shared" si="45"/>
        <v>0.09</v>
      </c>
      <c r="Y63" s="2"/>
      <c r="Z63" s="7">
        <f t="shared" si="46"/>
        <v>0</v>
      </c>
    </row>
    <row r="64" spans="1:26" s="27" customFormat="1" outlineLevel="1" collapsed="1" x14ac:dyDescent="0.25">
      <c r="A64" s="25"/>
      <c r="B64" s="13" t="str">
        <f>CONCATENATE("     ","Donations                                         ")</f>
        <v xml:space="preserve">     Donations                                         </v>
      </c>
      <c r="C64" s="13"/>
      <c r="D64" s="1">
        <f>SUM(OSRRefD22_7x_0)</f>
        <v>17557.53</v>
      </c>
      <c r="E64" s="1"/>
      <c r="F64" s="5">
        <f t="shared" si="39"/>
        <v>0.14324938576041124</v>
      </c>
      <c r="G64" s="1"/>
      <c r="H64" s="1">
        <f>SUM(OSRRefH22_7x_0)</f>
        <v>9287.02</v>
      </c>
      <c r="I64" s="1"/>
      <c r="J64" s="5">
        <f t="shared" si="40"/>
        <v>7.8568107904007384E-3</v>
      </c>
      <c r="K64" s="1"/>
      <c r="L64" s="1">
        <f t="shared" si="41"/>
        <v>8270.5099999999984</v>
      </c>
      <c r="M64" s="1"/>
      <c r="N64" s="5">
        <f t="shared" si="42"/>
        <v>0.89054508335289451</v>
      </c>
      <c r="O64" s="13"/>
      <c r="P64" s="1">
        <f>SUM(OSRRefP22_7x_0)</f>
        <v>137938.06</v>
      </c>
      <c r="Q64" s="1"/>
      <c r="R64" s="5">
        <f t="shared" si="43"/>
        <v>1.0001526164158853E-2</v>
      </c>
      <c r="S64" s="1"/>
      <c r="T64" s="1">
        <f>SUM(OSRRefT22_7x_0)</f>
        <v>135087.18</v>
      </c>
      <c r="U64" s="1"/>
      <c r="V64" s="5">
        <f t="shared" si="44"/>
        <v>7.7317064276143091E-3</v>
      </c>
      <c r="W64" s="1"/>
      <c r="X64" s="1">
        <f t="shared" si="45"/>
        <v>2850.8800000000047</v>
      </c>
      <c r="Y64" s="1"/>
      <c r="Z64" s="5">
        <f t="shared" si="46"/>
        <v>2.1104001134674696E-2</v>
      </c>
    </row>
    <row r="65" spans="1:26" s="24" customFormat="1" hidden="1" outlineLevel="2" x14ac:dyDescent="0.25">
      <c r="A65" s="26"/>
      <c r="B65" s="11" t="str">
        <f>CONCATENATE("          ", "6399", " - ", "DONATION-ON CAMPUS")</f>
        <v xml:space="preserve">          6399 - DONATION-ON CAMPUS</v>
      </c>
      <c r="C65" s="11"/>
      <c r="D65" s="6">
        <v>17557.53</v>
      </c>
      <c r="E65" s="2"/>
      <c r="F65" s="7">
        <f t="shared" si="39"/>
        <v>0.14324938576041124</v>
      </c>
      <c r="G65" s="2"/>
      <c r="H65" s="6">
        <v>9287.02</v>
      </c>
      <c r="I65" s="2"/>
      <c r="J65" s="7">
        <f t="shared" si="40"/>
        <v>7.8568107904007384E-3</v>
      </c>
      <c r="K65" s="2"/>
      <c r="L65" s="6">
        <f t="shared" si="41"/>
        <v>8270.5099999999984</v>
      </c>
      <c r="M65" s="2"/>
      <c r="N65" s="7">
        <f t="shared" si="42"/>
        <v>0.89054508335289451</v>
      </c>
      <c r="O65" s="11"/>
      <c r="P65" s="6">
        <v>137938.06</v>
      </c>
      <c r="Q65" s="2"/>
      <c r="R65" s="7">
        <f t="shared" si="43"/>
        <v>1.0001526164158853E-2</v>
      </c>
      <c r="S65" s="2"/>
      <c r="T65" s="6">
        <v>135087.18</v>
      </c>
      <c r="U65" s="2"/>
      <c r="V65" s="7">
        <f t="shared" si="44"/>
        <v>7.7317064276143091E-3</v>
      </c>
      <c r="W65" s="2"/>
      <c r="X65" s="6">
        <f t="shared" si="45"/>
        <v>2850.8800000000047</v>
      </c>
      <c r="Y65" s="2"/>
      <c r="Z65" s="7">
        <f t="shared" si="46"/>
        <v>2.1104001134674696E-2</v>
      </c>
    </row>
    <row r="66" spans="1:26" s="27" customFormat="1" outlineLevel="1" collapsed="1" x14ac:dyDescent="0.25">
      <c r="A66" s="25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SUM(OSRRefD22_8x_0)</f>
        <v>0</v>
      </c>
      <c r="E66" s="1"/>
      <c r="F66" s="5">
        <f t="shared" si="39"/>
        <v>0</v>
      </c>
      <c r="G66" s="1"/>
      <c r="H66" s="1">
        <f>SUM(OSRRefH22_8x_0)</f>
        <v>1237.49</v>
      </c>
      <c r="I66" s="1"/>
      <c r="J66" s="5">
        <f t="shared" si="40"/>
        <v>1.0469154567356385E-3</v>
      </c>
      <c r="K66" s="1"/>
      <c r="L66" s="1">
        <f t="shared" si="41"/>
        <v>-1237.49</v>
      </c>
      <c r="M66" s="1"/>
      <c r="N66" s="5">
        <f t="shared" si="42"/>
        <v>-1</v>
      </c>
      <c r="O66" s="13"/>
      <c r="P66" s="1">
        <f>SUM(OSRRefP22_8x_0)</f>
        <v>3471.24</v>
      </c>
      <c r="Q66" s="1"/>
      <c r="R66" s="5">
        <f t="shared" si="43"/>
        <v>2.5169048834001849E-4</v>
      </c>
      <c r="S66" s="1"/>
      <c r="T66" s="1">
        <f>SUM(OSRRefT22_8x_0)</f>
        <v>6534.73</v>
      </c>
      <c r="U66" s="1"/>
      <c r="V66" s="5">
        <f t="shared" si="44"/>
        <v>3.7401486909212302E-4</v>
      </c>
      <c r="W66" s="1"/>
      <c r="X66" s="1">
        <f t="shared" si="45"/>
        <v>-3063.49</v>
      </c>
      <c r="Y66" s="1"/>
      <c r="Z66" s="5">
        <f t="shared" si="46"/>
        <v>-0.46880131237250811</v>
      </c>
    </row>
    <row r="67" spans="1:26" s="24" customFormat="1" hidden="1" outlineLevel="2" x14ac:dyDescent="0.25">
      <c r="A67" s="26"/>
      <c r="B67" s="11" t="str">
        <f>CONCATENATE("          ", "6277", " - ", "EMPLOYEE APPRECIATION")</f>
        <v xml:space="preserve">          6277 - EMPLOYEE APPRECIATION</v>
      </c>
      <c r="C67" s="11"/>
      <c r="D67" s="6"/>
      <c r="E67" s="2"/>
      <c r="F67" s="7">
        <f t="shared" si="39"/>
        <v>0</v>
      </c>
      <c r="G67" s="2"/>
      <c r="H67" s="6">
        <v>1237.49</v>
      </c>
      <c r="I67" s="2"/>
      <c r="J67" s="7">
        <f t="shared" si="40"/>
        <v>1.0469154567356385E-3</v>
      </c>
      <c r="K67" s="2"/>
      <c r="L67" s="6">
        <f t="shared" si="41"/>
        <v>-1237.49</v>
      </c>
      <c r="M67" s="2"/>
      <c r="N67" s="7">
        <f t="shared" si="42"/>
        <v>-1</v>
      </c>
      <c r="O67" s="11"/>
      <c r="P67" s="6">
        <v>3471.24</v>
      </c>
      <c r="Q67" s="2"/>
      <c r="R67" s="7">
        <f t="shared" si="43"/>
        <v>2.5169048834001849E-4</v>
      </c>
      <c r="S67" s="2"/>
      <c r="T67" s="6">
        <v>6534.73</v>
      </c>
      <c r="U67" s="2"/>
      <c r="V67" s="7">
        <f t="shared" si="44"/>
        <v>3.7401486909212302E-4</v>
      </c>
      <c r="W67" s="2"/>
      <c r="X67" s="6">
        <f t="shared" si="45"/>
        <v>-3063.49</v>
      </c>
      <c r="Y67" s="2"/>
      <c r="Z67" s="7">
        <f t="shared" si="46"/>
        <v>-0.46880131237250811</v>
      </c>
    </row>
    <row r="68" spans="1:26" s="27" customFormat="1" outlineLevel="1" collapsed="1" x14ac:dyDescent="0.25">
      <c r="A68" s="25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SUM(OSRRefD22_9x_0)</f>
        <v>1540.1</v>
      </c>
      <c r="E68" s="1"/>
      <c r="F68" s="5">
        <f t="shared" si="39"/>
        <v>1.2565456474208465E-2</v>
      </c>
      <c r="G68" s="1"/>
      <c r="H68" s="1">
        <f>SUM(OSRRefH22_9x_0)</f>
        <v>4161.2</v>
      </c>
      <c r="I68" s="1"/>
      <c r="J68" s="5">
        <f t="shared" si="40"/>
        <v>3.5203715574011417E-3</v>
      </c>
      <c r="K68" s="1"/>
      <c r="L68" s="1">
        <f t="shared" si="41"/>
        <v>-2621.1</v>
      </c>
      <c r="M68" s="1"/>
      <c r="N68" s="5">
        <f t="shared" si="42"/>
        <v>-0.62989041622608866</v>
      </c>
      <c r="O68" s="13"/>
      <c r="P68" s="1">
        <f>SUM(OSRRefP22_9x_0)</f>
        <v>31495.420000000002</v>
      </c>
      <c r="Q68" s="1"/>
      <c r="R68" s="5">
        <f t="shared" si="43"/>
        <v>2.2836501193446686E-3</v>
      </c>
      <c r="S68" s="1"/>
      <c r="T68" s="1">
        <f>SUM(OSRRefT22_9x_0)</f>
        <v>25740.09</v>
      </c>
      <c r="U68" s="1"/>
      <c r="V68" s="5">
        <f t="shared" si="44"/>
        <v>1.4732324658814466E-3</v>
      </c>
      <c r="W68" s="1"/>
      <c r="X68" s="1">
        <f t="shared" si="45"/>
        <v>5755.3300000000017</v>
      </c>
      <c r="Y68" s="1"/>
      <c r="Z68" s="5">
        <f t="shared" si="46"/>
        <v>0.22359401229754836</v>
      </c>
    </row>
    <row r="69" spans="1:26" s="24" customFormat="1" hidden="1" outlineLevel="2" x14ac:dyDescent="0.25">
      <c r="A69" s="26"/>
      <c r="B69" s="11" t="str">
        <f>CONCATENATE("          ", "6351", " - ", "EQUIPMENT RENTAL")</f>
        <v xml:space="preserve">          6351 - EQUIPMENT RENTAL</v>
      </c>
      <c r="C69" s="11"/>
      <c r="D69" s="6">
        <v>1540.1</v>
      </c>
      <c r="E69" s="2"/>
      <c r="F69" s="7">
        <f t="shared" si="39"/>
        <v>1.2565456474208465E-2</v>
      </c>
      <c r="G69" s="2"/>
      <c r="H69" s="6">
        <v>4161.2</v>
      </c>
      <c r="I69" s="2"/>
      <c r="J69" s="7">
        <f t="shared" si="40"/>
        <v>3.5203715574011417E-3</v>
      </c>
      <c r="K69" s="2"/>
      <c r="L69" s="6">
        <f t="shared" si="41"/>
        <v>-2621.1</v>
      </c>
      <c r="M69" s="2"/>
      <c r="N69" s="7">
        <f t="shared" si="42"/>
        <v>-0.62989041622608866</v>
      </c>
      <c r="O69" s="11"/>
      <c r="P69" s="6">
        <v>31495.420000000002</v>
      </c>
      <c r="Q69" s="2"/>
      <c r="R69" s="7">
        <f t="shared" si="43"/>
        <v>2.2836501193446686E-3</v>
      </c>
      <c r="S69" s="2"/>
      <c r="T69" s="6">
        <v>25740.09</v>
      </c>
      <c r="U69" s="2"/>
      <c r="V69" s="7">
        <f t="shared" si="44"/>
        <v>1.4732324658814466E-3</v>
      </c>
      <c r="W69" s="2"/>
      <c r="X69" s="6">
        <f t="shared" si="45"/>
        <v>5755.3300000000017</v>
      </c>
      <c r="Y69" s="2"/>
      <c r="Z69" s="7">
        <f t="shared" si="46"/>
        <v>0.22359401229754836</v>
      </c>
    </row>
    <row r="70" spans="1:26" s="27" customFormat="1" outlineLevel="1" collapsed="1" x14ac:dyDescent="0.25">
      <c r="A70" s="25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SUM(OSRRefD22_10x_0)</f>
        <v>0.57999999999999996</v>
      </c>
      <c r="E70" s="1"/>
      <c r="F70" s="5">
        <f t="shared" si="39"/>
        <v>4.7321373644834165E-6</v>
      </c>
      <c r="G70" s="1"/>
      <c r="H70" s="1">
        <f>SUM(OSRRefH22_10x_0)</f>
        <v>0</v>
      </c>
      <c r="I70" s="1"/>
      <c r="J70" s="5">
        <f t="shared" si="40"/>
        <v>0</v>
      </c>
      <c r="K70" s="1"/>
      <c r="L70" s="1">
        <f t="shared" si="41"/>
        <v>0.57999999999999996</v>
      </c>
      <c r="M70" s="1"/>
      <c r="N70" s="5">
        <f t="shared" si="42"/>
        <v>0</v>
      </c>
      <c r="O70" s="13"/>
      <c r="P70" s="1">
        <f>SUM(OSRRefP22_10x_0)</f>
        <v>0.57999999999999996</v>
      </c>
      <c r="Q70" s="1"/>
      <c r="R70" s="5">
        <f t="shared" si="43"/>
        <v>4.2054275485766102E-8</v>
      </c>
      <c r="S70" s="1"/>
      <c r="T70" s="1">
        <f>SUM(OSRRefT22_10x_0)</f>
        <v>16.41</v>
      </c>
      <c r="U70" s="1"/>
      <c r="V70" s="5">
        <f t="shared" si="44"/>
        <v>9.3922533934864009E-7</v>
      </c>
      <c r="W70" s="1"/>
      <c r="X70" s="1">
        <f t="shared" si="45"/>
        <v>-15.83</v>
      </c>
      <c r="Y70" s="1"/>
      <c r="Z70" s="5">
        <f t="shared" si="46"/>
        <v>-0.96465569774527726</v>
      </c>
    </row>
    <row r="71" spans="1:26" s="24" customFormat="1" hidden="1" outlineLevel="2" x14ac:dyDescent="0.25">
      <c r="A71" s="26"/>
      <c r="B71" s="11" t="str">
        <f>CONCATENATE("          ", "6307", " - ", "POSTAGE")</f>
        <v xml:space="preserve">          6307 - POSTAGE</v>
      </c>
      <c r="C71" s="11"/>
      <c r="D71" s="6">
        <v>0.57999999999999996</v>
      </c>
      <c r="E71" s="2"/>
      <c r="F71" s="7">
        <f t="shared" si="39"/>
        <v>4.7321373644834165E-6</v>
      </c>
      <c r="G71" s="2"/>
      <c r="H71" s="6"/>
      <c r="I71" s="2"/>
      <c r="J71" s="7">
        <f t="shared" si="40"/>
        <v>0</v>
      </c>
      <c r="K71" s="2"/>
      <c r="L71" s="6">
        <f t="shared" si="41"/>
        <v>0.57999999999999996</v>
      </c>
      <c r="M71" s="2"/>
      <c r="N71" s="7">
        <f t="shared" si="42"/>
        <v>0</v>
      </c>
      <c r="O71" s="11"/>
      <c r="P71" s="6">
        <v>0.57999999999999996</v>
      </c>
      <c r="Q71" s="2"/>
      <c r="R71" s="7">
        <f t="shared" si="43"/>
        <v>4.2054275485766102E-8</v>
      </c>
      <c r="S71" s="2"/>
      <c r="T71" s="6">
        <v>16.41</v>
      </c>
      <c r="U71" s="2"/>
      <c r="V71" s="7">
        <f t="shared" si="44"/>
        <v>9.3922533934864009E-7</v>
      </c>
      <c r="W71" s="2"/>
      <c r="X71" s="6">
        <f t="shared" si="45"/>
        <v>-15.83</v>
      </c>
      <c r="Y71" s="2"/>
      <c r="Z71" s="7">
        <f t="shared" si="46"/>
        <v>-0.96465569774527726</v>
      </c>
    </row>
    <row r="72" spans="1:26" s="27" customFormat="1" outlineLevel="1" collapsed="1" x14ac:dyDescent="0.25">
      <c r="A72" s="25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SUM(OSRRefD22_11x_0)</f>
        <v>-1200</v>
      </c>
      <c r="E72" s="1"/>
      <c r="F72" s="5">
        <f t="shared" si="39"/>
        <v>-9.79062902996569E-3</v>
      </c>
      <c r="G72" s="1"/>
      <c r="H72" s="1">
        <f>SUM(OSRRefH22_11x_0)</f>
        <v>2663.59</v>
      </c>
      <c r="I72" s="1"/>
      <c r="J72" s="5">
        <f t="shared" si="40"/>
        <v>2.2533948083673237E-3</v>
      </c>
      <c r="K72" s="1"/>
      <c r="L72" s="1">
        <f t="shared" si="41"/>
        <v>-3863.59</v>
      </c>
      <c r="M72" s="1"/>
      <c r="N72" s="5">
        <f t="shared" si="42"/>
        <v>-1.450519787204487</v>
      </c>
      <c r="O72" s="13"/>
      <c r="P72" s="1">
        <f>SUM(OSRRefP22_11x_0)</f>
        <v>92601.459999999992</v>
      </c>
      <c r="Q72" s="1"/>
      <c r="R72" s="5">
        <f t="shared" si="43"/>
        <v>6.7142884641795695E-3</v>
      </c>
      <c r="S72" s="1"/>
      <c r="T72" s="1">
        <f>SUM(OSRRefT22_11x_0)</f>
        <v>70302.560000000012</v>
      </c>
      <c r="U72" s="1"/>
      <c r="V72" s="5">
        <f t="shared" si="44"/>
        <v>4.023762691839009E-3</v>
      </c>
      <c r="W72" s="1"/>
      <c r="X72" s="1">
        <f t="shared" si="45"/>
        <v>22298.89999999998</v>
      </c>
      <c r="Y72" s="1"/>
      <c r="Z72" s="5">
        <f t="shared" si="46"/>
        <v>0.31718475116695571</v>
      </c>
    </row>
    <row r="73" spans="1:26" s="24" customFormat="1" hidden="1" outlineLevel="2" x14ac:dyDescent="0.25">
      <c r="A73" s="26"/>
      <c r="B73" s="11" t="str">
        <f>CONCATENATE("          ", "6269", " - ", "ENTERTAINMENT")</f>
        <v xml:space="preserve">          6269 - ENTERTAINMENT</v>
      </c>
      <c r="C73" s="11"/>
      <c r="D73" s="6"/>
      <c r="E73" s="2"/>
      <c r="F73" s="7">
        <f t="shared" si="39"/>
        <v>0</v>
      </c>
      <c r="G73" s="2"/>
      <c r="H73" s="6">
        <v>164.27</v>
      </c>
      <c r="I73" s="2"/>
      <c r="J73" s="7">
        <f t="shared" si="40"/>
        <v>1.3897227620260637E-4</v>
      </c>
      <c r="K73" s="2"/>
      <c r="L73" s="6">
        <f t="shared" si="41"/>
        <v>-164.27</v>
      </c>
      <c r="M73" s="2"/>
      <c r="N73" s="7">
        <f t="shared" si="42"/>
        <v>-1</v>
      </c>
      <c r="O73" s="11"/>
      <c r="P73" s="6">
        <v>10050</v>
      </c>
      <c r="Q73" s="2"/>
      <c r="R73" s="7">
        <f t="shared" si="43"/>
        <v>7.2869908384818856E-4</v>
      </c>
      <c r="S73" s="2"/>
      <c r="T73" s="6">
        <v>10824.27</v>
      </c>
      <c r="U73" s="2"/>
      <c r="V73" s="7">
        <f t="shared" si="44"/>
        <v>6.1952642680995155E-4</v>
      </c>
      <c r="W73" s="2"/>
      <c r="X73" s="6">
        <f t="shared" si="45"/>
        <v>-774.27000000000044</v>
      </c>
      <c r="Y73" s="2"/>
      <c r="Z73" s="7">
        <f t="shared" si="46"/>
        <v>-7.1530920791887151E-2</v>
      </c>
    </row>
    <row r="74" spans="1:26" s="24" customFormat="1" hidden="1" outlineLevel="2" x14ac:dyDescent="0.25">
      <c r="A74" s="26"/>
      <c r="B74" s="11" t="str">
        <f>CONCATENATE("          ", "6279", " - ", "GENERAL EXPENSE")</f>
        <v xml:space="preserve">          6279 - GENERAL EXPENSE</v>
      </c>
      <c r="C74" s="11"/>
      <c r="D74" s="6">
        <v>-1200</v>
      </c>
      <c r="E74" s="2"/>
      <c r="F74" s="7">
        <f t="shared" si="39"/>
        <v>-9.79062902996569E-3</v>
      </c>
      <c r="G74" s="2"/>
      <c r="H74" s="6">
        <v>2499.3200000000002</v>
      </c>
      <c r="I74" s="2"/>
      <c r="J74" s="7">
        <f t="shared" si="40"/>
        <v>2.1144225321647176E-3</v>
      </c>
      <c r="K74" s="2"/>
      <c r="L74" s="6">
        <f t="shared" si="41"/>
        <v>-3699.32</v>
      </c>
      <c r="M74" s="2"/>
      <c r="N74" s="7">
        <f t="shared" si="42"/>
        <v>-1.4801305955219819</v>
      </c>
      <c r="O74" s="11"/>
      <c r="P74" s="6">
        <v>82551.459999999992</v>
      </c>
      <c r="Q74" s="2"/>
      <c r="R74" s="7">
        <f t="shared" si="43"/>
        <v>5.9855893803313813E-3</v>
      </c>
      <c r="S74" s="2"/>
      <c r="T74" s="6">
        <v>59478.290000000008</v>
      </c>
      <c r="U74" s="2"/>
      <c r="V74" s="7">
        <f t="shared" si="44"/>
        <v>3.4042362650290574E-3</v>
      </c>
      <c r="W74" s="2"/>
      <c r="X74" s="6">
        <f t="shared" si="45"/>
        <v>23073.169999999984</v>
      </c>
      <c r="Y74" s="2"/>
      <c r="Z74" s="7">
        <f t="shared" si="46"/>
        <v>0.3879259138082144</v>
      </c>
    </row>
    <row r="75" spans="1:26" s="27" customFormat="1" outlineLevel="1" collapsed="1" x14ac:dyDescent="0.25">
      <c r="A75" s="25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SUM(OSRRefD22_12x_0)</f>
        <v>4246.03</v>
      </c>
      <c r="E75" s="1"/>
      <c r="F75" s="5">
        <f t="shared" ref="F75:F89" si="47">IF(D$12=0,0,D75/D$12)</f>
        <v>3.4642753816754343E-2</v>
      </c>
      <c r="G75" s="1"/>
      <c r="H75" s="1">
        <f>SUM(OSRRefH22_12x_0)</f>
        <v>3998.11</v>
      </c>
      <c r="I75" s="1"/>
      <c r="J75" s="5">
        <f t="shared" ref="J75:J89" si="48">IF(H$12=0,0,H75/H$12)</f>
        <v>3.3823975601655963E-3</v>
      </c>
      <c r="K75" s="1"/>
      <c r="L75" s="1">
        <f t="shared" ref="L75:L89" si="49">+D75-H75</f>
        <v>247.91999999999962</v>
      </c>
      <c r="M75" s="1"/>
      <c r="N75" s="5">
        <f t="shared" ref="N75:N89" si="50">IF(H75=0,0,L75/H75)</f>
        <v>6.2009299393963553E-2</v>
      </c>
      <c r="O75" s="13"/>
      <c r="P75" s="1">
        <f>SUM(OSRRefP22_12x_0)</f>
        <v>52467.33</v>
      </c>
      <c r="Q75" s="1"/>
      <c r="R75" s="5">
        <f t="shared" ref="R75:R89" si="51">IF(P$12=0,0,P75/P$12)</f>
        <v>3.8042681893493118E-3</v>
      </c>
      <c r="S75" s="1"/>
      <c r="T75" s="1">
        <f>SUM(OSRRefT22_12x_0)</f>
        <v>41463.9</v>
      </c>
      <c r="U75" s="1"/>
      <c r="V75" s="5">
        <f t="shared" ref="V75:V89" si="52">IF(T$12=0,0,T75/T$12)</f>
        <v>2.3731837628408335E-3</v>
      </c>
      <c r="W75" s="1"/>
      <c r="X75" s="1">
        <f t="shared" ref="X75:X89" si="53">+P75-T75</f>
        <v>11003.43</v>
      </c>
      <c r="Y75" s="1"/>
      <c r="Z75" s="5">
        <f t="shared" ref="Z75:Z89" si="54">IF(T75=0,0,X75/T75)</f>
        <v>0.26537373474275211</v>
      </c>
    </row>
    <row r="76" spans="1:26" s="24" customFormat="1" hidden="1" outlineLevel="2" x14ac:dyDescent="0.25">
      <c r="A76" s="26"/>
      <c r="B76" s="11" t="str">
        <f>CONCATENATE("          ", "6314", " - ", "LIABILITY INSURANCE")</f>
        <v xml:space="preserve">          6314 - LIABILITY INSURANCE</v>
      </c>
      <c r="C76" s="11"/>
      <c r="D76" s="6">
        <v>4246.03</v>
      </c>
      <c r="E76" s="2"/>
      <c r="F76" s="7">
        <f t="shared" si="47"/>
        <v>3.4642753816754343E-2</v>
      </c>
      <c r="G76" s="2"/>
      <c r="H76" s="6">
        <v>3998.11</v>
      </c>
      <c r="I76" s="2"/>
      <c r="J76" s="7">
        <f t="shared" si="48"/>
        <v>3.3823975601655963E-3</v>
      </c>
      <c r="K76" s="2"/>
      <c r="L76" s="6">
        <f t="shared" si="49"/>
        <v>247.91999999999962</v>
      </c>
      <c r="M76" s="2"/>
      <c r="N76" s="7">
        <f t="shared" si="50"/>
        <v>6.2009299393963553E-2</v>
      </c>
      <c r="O76" s="11"/>
      <c r="P76" s="6">
        <v>52467.33</v>
      </c>
      <c r="Q76" s="2"/>
      <c r="R76" s="7">
        <f t="shared" si="51"/>
        <v>3.8042681893493118E-3</v>
      </c>
      <c r="S76" s="2"/>
      <c r="T76" s="6">
        <v>41463.9</v>
      </c>
      <c r="U76" s="2"/>
      <c r="V76" s="7">
        <f t="shared" si="52"/>
        <v>2.3731837628408335E-3</v>
      </c>
      <c r="W76" s="2"/>
      <c r="X76" s="6">
        <f t="shared" si="53"/>
        <v>11003.43</v>
      </c>
      <c r="Y76" s="2"/>
      <c r="Z76" s="7">
        <f t="shared" si="54"/>
        <v>0.26537373474275211</v>
      </c>
    </row>
    <row r="77" spans="1:26" s="27" customFormat="1" outlineLevel="1" collapsed="1" x14ac:dyDescent="0.25">
      <c r="A77" s="25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SUM(OSRRefD22_13x_0)</f>
        <v>7754</v>
      </c>
      <c r="E77" s="1"/>
      <c r="F77" s="5">
        <f t="shared" si="47"/>
        <v>6.326378124862829E-2</v>
      </c>
      <c r="G77" s="1"/>
      <c r="H77" s="1">
        <f>SUM(OSRRefH22_13x_0)</f>
        <v>7949</v>
      </c>
      <c r="I77" s="1"/>
      <c r="J77" s="5">
        <f t="shared" si="48"/>
        <v>6.7248470416662685E-3</v>
      </c>
      <c r="K77" s="1"/>
      <c r="L77" s="1">
        <f t="shared" si="49"/>
        <v>-195</v>
      </c>
      <c r="M77" s="1"/>
      <c r="N77" s="5">
        <f t="shared" si="50"/>
        <v>-2.4531387595924017E-2</v>
      </c>
      <c r="O77" s="13"/>
      <c r="P77" s="1">
        <f>SUM(OSRRefP22_13x_0)</f>
        <v>82950.28</v>
      </c>
      <c r="Q77" s="1"/>
      <c r="R77" s="5">
        <f t="shared" si="51"/>
        <v>6.0145067702438524E-3</v>
      </c>
      <c r="S77" s="1"/>
      <c r="T77" s="1">
        <f>SUM(OSRRefT22_13x_0)</f>
        <v>85869.6</v>
      </c>
      <c r="U77" s="1"/>
      <c r="V77" s="5">
        <f t="shared" si="52"/>
        <v>4.9147412675034727E-3</v>
      </c>
      <c r="W77" s="1"/>
      <c r="X77" s="1">
        <f t="shared" si="53"/>
        <v>-2919.320000000007</v>
      </c>
      <c r="Y77" s="1"/>
      <c r="Z77" s="5">
        <f t="shared" si="54"/>
        <v>-3.3997130532807965E-2</v>
      </c>
    </row>
    <row r="78" spans="1:26" s="24" customFormat="1" hidden="1" outlineLevel="2" x14ac:dyDescent="0.25">
      <c r="A78" s="26"/>
      <c r="B78" s="11" t="str">
        <f>CONCATENATE("          ", "6401", " - ", "INTEREST EXPENSE")</f>
        <v xml:space="preserve">          6401 - INTEREST EXPENSE</v>
      </c>
      <c r="C78" s="11"/>
      <c r="D78" s="6">
        <v>7754</v>
      </c>
      <c r="E78" s="2"/>
      <c r="F78" s="7">
        <f t="shared" si="47"/>
        <v>6.326378124862829E-2</v>
      </c>
      <c r="G78" s="2"/>
      <c r="H78" s="6">
        <v>7949</v>
      </c>
      <c r="I78" s="2"/>
      <c r="J78" s="7">
        <f t="shared" si="48"/>
        <v>6.7248470416662685E-3</v>
      </c>
      <c r="K78" s="2"/>
      <c r="L78" s="6">
        <f t="shared" si="49"/>
        <v>-195</v>
      </c>
      <c r="M78" s="2"/>
      <c r="N78" s="7">
        <f t="shared" si="50"/>
        <v>-2.4531387595924017E-2</v>
      </c>
      <c r="O78" s="11"/>
      <c r="P78" s="6">
        <v>82950.28</v>
      </c>
      <c r="Q78" s="2"/>
      <c r="R78" s="7">
        <f t="shared" si="51"/>
        <v>6.0145067702438524E-3</v>
      </c>
      <c r="S78" s="2"/>
      <c r="T78" s="6">
        <v>85869.6</v>
      </c>
      <c r="U78" s="2"/>
      <c r="V78" s="7">
        <f t="shared" si="52"/>
        <v>4.9147412675034727E-3</v>
      </c>
      <c r="W78" s="2"/>
      <c r="X78" s="6">
        <f t="shared" si="53"/>
        <v>-2919.320000000007</v>
      </c>
      <c r="Y78" s="2"/>
      <c r="Z78" s="7">
        <f t="shared" si="54"/>
        <v>-3.3997130532807965E-2</v>
      </c>
    </row>
    <row r="79" spans="1:26" s="27" customFormat="1" outlineLevel="1" collapsed="1" x14ac:dyDescent="0.25">
      <c r="A79" s="25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SUM(OSRRefD22_14x_0)</f>
        <v>0</v>
      </c>
      <c r="E79" s="1"/>
      <c r="F79" s="5">
        <f t="shared" si="47"/>
        <v>0</v>
      </c>
      <c r="G79" s="1"/>
      <c r="H79" s="1">
        <f>SUM(OSRRefH22_14x_0)</f>
        <v>0</v>
      </c>
      <c r="I79" s="1"/>
      <c r="J79" s="5">
        <f t="shared" si="48"/>
        <v>0</v>
      </c>
      <c r="K79" s="1"/>
      <c r="L79" s="1">
        <f t="shared" si="49"/>
        <v>0</v>
      </c>
      <c r="M79" s="1"/>
      <c r="N79" s="5">
        <f t="shared" si="50"/>
        <v>0</v>
      </c>
      <c r="O79" s="13"/>
      <c r="P79" s="1">
        <f>SUM(OSRRefP22_14x_0)</f>
        <v>125</v>
      </c>
      <c r="Q79" s="1"/>
      <c r="R79" s="5">
        <f t="shared" si="51"/>
        <v>9.0634214408978687E-6</v>
      </c>
      <c r="S79" s="1"/>
      <c r="T79" s="1">
        <f>SUM(OSRRefT22_14x_0)</f>
        <v>0</v>
      </c>
      <c r="U79" s="1"/>
      <c r="V79" s="5">
        <f t="shared" si="52"/>
        <v>0</v>
      </c>
      <c r="W79" s="1"/>
      <c r="X79" s="1">
        <f t="shared" si="53"/>
        <v>125</v>
      </c>
      <c r="Y79" s="1"/>
      <c r="Z79" s="5">
        <f t="shared" si="54"/>
        <v>0</v>
      </c>
    </row>
    <row r="80" spans="1:26" s="24" customFormat="1" hidden="1" outlineLevel="2" x14ac:dyDescent="0.25">
      <c r="A80" s="26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47"/>
        <v>0</v>
      </c>
      <c r="G80" s="2"/>
      <c r="H80" s="6"/>
      <c r="I80" s="2"/>
      <c r="J80" s="7">
        <f t="shared" si="48"/>
        <v>0</v>
      </c>
      <c r="K80" s="2"/>
      <c r="L80" s="6">
        <f t="shared" si="49"/>
        <v>0</v>
      </c>
      <c r="M80" s="2"/>
      <c r="N80" s="7">
        <f t="shared" si="50"/>
        <v>0</v>
      </c>
      <c r="O80" s="11"/>
      <c r="P80" s="6">
        <v>125</v>
      </c>
      <c r="Q80" s="2"/>
      <c r="R80" s="7">
        <f t="shared" si="51"/>
        <v>9.0634214408978687E-6</v>
      </c>
      <c r="S80" s="2"/>
      <c r="T80" s="6"/>
      <c r="U80" s="2"/>
      <c r="V80" s="7">
        <f t="shared" si="52"/>
        <v>0</v>
      </c>
      <c r="W80" s="2"/>
      <c r="X80" s="6">
        <f t="shared" si="53"/>
        <v>125</v>
      </c>
      <c r="Y80" s="2"/>
      <c r="Z80" s="7">
        <f t="shared" si="54"/>
        <v>0</v>
      </c>
    </row>
    <row r="81" spans="1:26" s="27" customFormat="1" outlineLevel="1" collapsed="1" x14ac:dyDescent="0.25">
      <c r="A81" s="25"/>
      <c r="B81" s="13" t="str">
        <f>CONCATENATE("     ","R/H Commissions                                   ")</f>
        <v xml:space="preserve">     R/H Commissions                                   </v>
      </c>
      <c r="C81" s="13"/>
      <c r="D81" s="1">
        <f>SUM(OSRRefD22_15x_0)</f>
        <v>8698.56</v>
      </c>
      <c r="E81" s="1"/>
      <c r="F81" s="5">
        <f t="shared" si="47"/>
        <v>7.0970311712415288E-2</v>
      </c>
      <c r="G81" s="1"/>
      <c r="H81" s="1">
        <f>SUM(OSRRefH22_15x_0)</f>
        <v>52274.400000000001</v>
      </c>
      <c r="I81" s="1"/>
      <c r="J81" s="5">
        <f t="shared" si="48"/>
        <v>4.4224096640442724E-2</v>
      </c>
      <c r="K81" s="1"/>
      <c r="L81" s="1">
        <f t="shared" si="49"/>
        <v>-43575.840000000004</v>
      </c>
      <c r="M81" s="1"/>
      <c r="N81" s="5">
        <f t="shared" si="50"/>
        <v>-0.83359809007850882</v>
      </c>
      <c r="O81" s="13"/>
      <c r="P81" s="1">
        <f>SUM(OSRRefP22_15x_0)</f>
        <v>714561.85000000009</v>
      </c>
      <c r="Q81" s="1"/>
      <c r="R81" s="5">
        <f t="shared" si="51"/>
        <v>5.1811001537101178E-2</v>
      </c>
      <c r="S81" s="1"/>
      <c r="T81" s="1">
        <f>SUM(OSRRefT22_15x_0)</f>
        <v>841273.8</v>
      </c>
      <c r="U81" s="1"/>
      <c r="V81" s="5">
        <f t="shared" si="52"/>
        <v>4.8150254131024986E-2</v>
      </c>
      <c r="W81" s="1"/>
      <c r="X81" s="1">
        <f t="shared" si="53"/>
        <v>-126711.94999999995</v>
      </c>
      <c r="Y81" s="1"/>
      <c r="Z81" s="5">
        <f t="shared" si="54"/>
        <v>-0.15061915633174353</v>
      </c>
    </row>
    <row r="82" spans="1:26" s="24" customFormat="1" hidden="1" outlineLevel="2" x14ac:dyDescent="0.25">
      <c r="A82" s="26"/>
      <c r="B82" s="11" t="str">
        <f>CONCATENATE("          ", "6387", " - ", "COMMISSION DUE HOUSING")</f>
        <v xml:space="preserve">          6387 - COMMISSION DUE HOUSING</v>
      </c>
      <c r="C82" s="11"/>
      <c r="D82" s="6">
        <v>8698.56</v>
      </c>
      <c r="E82" s="2"/>
      <c r="F82" s="7">
        <f t="shared" si="47"/>
        <v>7.0970311712415288E-2</v>
      </c>
      <c r="G82" s="2"/>
      <c r="H82" s="6">
        <v>52274.400000000001</v>
      </c>
      <c r="I82" s="2"/>
      <c r="J82" s="7">
        <f t="shared" si="48"/>
        <v>4.4224096640442724E-2</v>
      </c>
      <c r="K82" s="2"/>
      <c r="L82" s="6">
        <f t="shared" si="49"/>
        <v>-43575.840000000004</v>
      </c>
      <c r="M82" s="2"/>
      <c r="N82" s="7">
        <f t="shared" si="50"/>
        <v>-0.83359809007850882</v>
      </c>
      <c r="O82" s="11"/>
      <c r="P82" s="6">
        <v>714561.85000000009</v>
      </c>
      <c r="Q82" s="2"/>
      <c r="R82" s="7">
        <f t="shared" si="51"/>
        <v>5.1811001537101178E-2</v>
      </c>
      <c r="S82" s="2"/>
      <c r="T82" s="6">
        <v>841273.8</v>
      </c>
      <c r="U82" s="2"/>
      <c r="V82" s="7">
        <f t="shared" si="52"/>
        <v>4.8150254131024986E-2</v>
      </c>
      <c r="W82" s="2"/>
      <c r="X82" s="6">
        <f t="shared" si="53"/>
        <v>-126711.94999999995</v>
      </c>
      <c r="Y82" s="2"/>
      <c r="Z82" s="7">
        <f t="shared" si="54"/>
        <v>-0.15061915633174353</v>
      </c>
    </row>
    <row r="83" spans="1:26" s="27" customFormat="1" outlineLevel="1" collapsed="1" x14ac:dyDescent="0.25">
      <c r="A83" s="25"/>
      <c r="B83" s="13" t="str">
        <f>CONCATENATE("     ","Rent                                              ")</f>
        <v xml:space="preserve">     Rent                                              </v>
      </c>
      <c r="C83" s="13"/>
      <c r="D83" s="1">
        <f>SUM(OSRRefD22_16x_0)</f>
        <v>1850</v>
      </c>
      <c r="E83" s="1"/>
      <c r="F83" s="5">
        <f t="shared" si="47"/>
        <v>1.5093886421197104E-2</v>
      </c>
      <c r="G83" s="1"/>
      <c r="H83" s="1">
        <f>SUM(OSRRefH22_16x_0)</f>
        <v>1850</v>
      </c>
      <c r="I83" s="1"/>
      <c r="J83" s="5">
        <f t="shared" si="48"/>
        <v>1.5650983805614036E-3</v>
      </c>
      <c r="K83" s="1"/>
      <c r="L83" s="1">
        <f t="shared" si="49"/>
        <v>0</v>
      </c>
      <c r="M83" s="1"/>
      <c r="N83" s="5">
        <f t="shared" si="50"/>
        <v>0</v>
      </c>
      <c r="O83" s="13"/>
      <c r="P83" s="1">
        <f>SUM(OSRRefP22_16x_0)</f>
        <v>20350</v>
      </c>
      <c r="Q83" s="1"/>
      <c r="R83" s="5">
        <f t="shared" si="51"/>
        <v>1.475525010578173E-3</v>
      </c>
      <c r="S83" s="1"/>
      <c r="T83" s="1">
        <f>SUM(OSRRefT22_16x_0)</f>
        <v>20350</v>
      </c>
      <c r="U83" s="1"/>
      <c r="V83" s="5">
        <f t="shared" si="52"/>
        <v>1.1647309966937736E-3</v>
      </c>
      <c r="W83" s="1"/>
      <c r="X83" s="1">
        <f t="shared" si="53"/>
        <v>0</v>
      </c>
      <c r="Y83" s="1"/>
      <c r="Z83" s="5">
        <f t="shared" si="54"/>
        <v>0</v>
      </c>
    </row>
    <row r="84" spans="1:26" s="24" customFormat="1" hidden="1" outlineLevel="2" x14ac:dyDescent="0.25">
      <c r="A84" s="26"/>
      <c r="B84" s="11" t="str">
        <f>CONCATENATE("          ", "6273", " - ", "RENT")</f>
        <v xml:space="preserve">          6273 - RENT</v>
      </c>
      <c r="C84" s="11"/>
      <c r="D84" s="6">
        <v>1850</v>
      </c>
      <c r="E84" s="2"/>
      <c r="F84" s="7">
        <f t="shared" si="47"/>
        <v>1.5093886421197104E-2</v>
      </c>
      <c r="G84" s="2"/>
      <c r="H84" s="6">
        <v>1850</v>
      </c>
      <c r="I84" s="2"/>
      <c r="J84" s="7">
        <f t="shared" si="48"/>
        <v>1.5650983805614036E-3</v>
      </c>
      <c r="K84" s="2"/>
      <c r="L84" s="6">
        <f t="shared" si="49"/>
        <v>0</v>
      </c>
      <c r="M84" s="2"/>
      <c r="N84" s="7">
        <f t="shared" si="50"/>
        <v>0</v>
      </c>
      <c r="O84" s="11"/>
      <c r="P84" s="6">
        <v>20350</v>
      </c>
      <c r="Q84" s="2"/>
      <c r="R84" s="7">
        <f t="shared" si="51"/>
        <v>1.475525010578173E-3</v>
      </c>
      <c r="S84" s="2"/>
      <c r="T84" s="6">
        <v>20350</v>
      </c>
      <c r="U84" s="2"/>
      <c r="V84" s="7">
        <f t="shared" si="52"/>
        <v>1.1647309966937736E-3</v>
      </c>
      <c r="W84" s="2"/>
      <c r="X84" s="6">
        <f t="shared" si="53"/>
        <v>0</v>
      </c>
      <c r="Y84" s="2"/>
      <c r="Z84" s="7">
        <f t="shared" si="54"/>
        <v>0</v>
      </c>
    </row>
    <row r="85" spans="1:26" s="27" customFormat="1" outlineLevel="1" collapsed="1" x14ac:dyDescent="0.25">
      <c r="A85" s="25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SUM(OSRRefD22_17x_0)</f>
        <v>7798.68</v>
      </c>
      <c r="E85" s="1"/>
      <c r="F85" s="5">
        <f t="shared" si="47"/>
        <v>6.3628319002844019E-2</v>
      </c>
      <c r="G85" s="1"/>
      <c r="H85" s="1">
        <f>SUM(OSRRefH22_17x_0)</f>
        <v>60891.69</v>
      </c>
      <c r="I85" s="1"/>
      <c r="J85" s="5">
        <f t="shared" si="48"/>
        <v>5.1514316437106494E-2</v>
      </c>
      <c r="K85" s="1"/>
      <c r="L85" s="1">
        <f t="shared" si="49"/>
        <v>-53093.01</v>
      </c>
      <c r="M85" s="1"/>
      <c r="N85" s="5">
        <f t="shared" si="50"/>
        <v>-0.87192538095099681</v>
      </c>
      <c r="O85" s="13"/>
      <c r="P85" s="1">
        <f>SUM(OSRRefP22_17x_0)</f>
        <v>291216.81</v>
      </c>
      <c r="Q85" s="1"/>
      <c r="R85" s="5">
        <f t="shared" si="51"/>
        <v>2.1115365437631047E-2</v>
      </c>
      <c r="S85" s="1"/>
      <c r="T85" s="1">
        <f>SUM(OSRRefT22_17x_0)</f>
        <v>341446.56</v>
      </c>
      <c r="U85" s="1"/>
      <c r="V85" s="5">
        <f t="shared" si="52"/>
        <v>1.9542672832749897E-2</v>
      </c>
      <c r="W85" s="1"/>
      <c r="X85" s="1">
        <f t="shared" si="53"/>
        <v>-50229.75</v>
      </c>
      <c r="Y85" s="1"/>
      <c r="Z85" s="5">
        <f t="shared" si="54"/>
        <v>-0.14710867199833555</v>
      </c>
    </row>
    <row r="86" spans="1:26" s="24" customFormat="1" hidden="1" outlineLevel="2" x14ac:dyDescent="0.25">
      <c r="A86" s="26"/>
      <c r="B86" s="11" t="str">
        <f>CONCATENATE("          ", "6371", " - ", "COMPUTER SOFTWARE MAINTENANCE")</f>
        <v xml:space="preserve">          6371 - COMPUTER SOFTWARE MAINTENANCE</v>
      </c>
      <c r="C86" s="11"/>
      <c r="D86" s="6"/>
      <c r="E86" s="2"/>
      <c r="F86" s="7">
        <f t="shared" si="47"/>
        <v>0</v>
      </c>
      <c r="G86" s="2"/>
      <c r="H86" s="6">
        <v>41373</v>
      </c>
      <c r="I86" s="2"/>
      <c r="J86" s="7">
        <f t="shared" si="48"/>
        <v>3.5001521783225381E-2</v>
      </c>
      <c r="K86" s="2"/>
      <c r="L86" s="6">
        <f t="shared" si="49"/>
        <v>-41373</v>
      </c>
      <c r="M86" s="2"/>
      <c r="N86" s="7">
        <f t="shared" si="50"/>
        <v>-1</v>
      </c>
      <c r="O86" s="11"/>
      <c r="P86" s="6">
        <v>73995.62</v>
      </c>
      <c r="Q86" s="2"/>
      <c r="R86" s="7">
        <f t="shared" si="51"/>
        <v>5.3652279107242488E-3</v>
      </c>
      <c r="S86" s="2"/>
      <c r="T86" s="6">
        <v>69540.210000000006</v>
      </c>
      <c r="U86" s="2"/>
      <c r="V86" s="7">
        <f t="shared" si="52"/>
        <v>3.9801296365402621E-3</v>
      </c>
      <c r="W86" s="2"/>
      <c r="X86" s="6">
        <f t="shared" si="53"/>
        <v>4455.4099999999889</v>
      </c>
      <c r="Y86" s="2"/>
      <c r="Z86" s="7">
        <f t="shared" si="54"/>
        <v>6.4069550552119256E-2</v>
      </c>
    </row>
    <row r="87" spans="1:26" s="24" customFormat="1" hidden="1" outlineLevel="2" x14ac:dyDescent="0.25">
      <c r="A87" s="26"/>
      <c r="B87" s="11" t="str">
        <f>CONCATENATE("          ", "6372", " - ", "COMPUTER HARDWARE MAINTENANCE")</f>
        <v xml:space="preserve">          6372 - COMPUTER HARDWARE MAINTENANCE</v>
      </c>
      <c r="C87" s="11"/>
      <c r="D87" s="6"/>
      <c r="E87" s="2"/>
      <c r="F87" s="7">
        <f t="shared" si="47"/>
        <v>0</v>
      </c>
      <c r="G87" s="2"/>
      <c r="H87" s="6"/>
      <c r="I87" s="2"/>
      <c r="J87" s="7">
        <f t="shared" si="48"/>
        <v>0</v>
      </c>
      <c r="K87" s="2"/>
      <c r="L87" s="6">
        <f t="shared" si="49"/>
        <v>0</v>
      </c>
      <c r="M87" s="2"/>
      <c r="N87" s="7">
        <f t="shared" si="50"/>
        <v>0</v>
      </c>
      <c r="O87" s="11"/>
      <c r="P87" s="6">
        <v>8142.87</v>
      </c>
      <c r="Q87" s="2"/>
      <c r="R87" s="7">
        <f t="shared" si="51"/>
        <v>5.9041810038755222E-4</v>
      </c>
      <c r="S87" s="2"/>
      <c r="T87" s="6">
        <v>880.96</v>
      </c>
      <c r="U87" s="2"/>
      <c r="V87" s="7">
        <f t="shared" si="52"/>
        <v>5.042169134384997E-5</v>
      </c>
      <c r="W87" s="2"/>
      <c r="X87" s="6">
        <f t="shared" si="53"/>
        <v>7261.91</v>
      </c>
      <c r="Y87" s="2"/>
      <c r="Z87" s="7">
        <f t="shared" si="54"/>
        <v>8.2431778968398106</v>
      </c>
    </row>
    <row r="88" spans="1:26" s="24" customFormat="1" hidden="1" outlineLevel="2" x14ac:dyDescent="0.25">
      <c r="A88" s="26"/>
      <c r="B88" s="11" t="str">
        <f>CONCATENATE("          ", "6373", " - ", "MAINTENANCE CONTRACTS")</f>
        <v xml:space="preserve">          6373 - MAINTENANCE CONTRACTS</v>
      </c>
      <c r="C88" s="11"/>
      <c r="D88" s="6">
        <v>6801.84</v>
      </c>
      <c r="E88" s="2"/>
      <c r="F88" s="7">
        <f t="shared" si="47"/>
        <v>5.5495243467651521E-2</v>
      </c>
      <c r="G88" s="2"/>
      <c r="H88" s="6">
        <v>10460.91</v>
      </c>
      <c r="I88" s="2"/>
      <c r="J88" s="7">
        <f t="shared" si="48"/>
        <v>8.8499207028100504E-3</v>
      </c>
      <c r="K88" s="2"/>
      <c r="L88" s="6">
        <f t="shared" si="49"/>
        <v>-3659.0699999999997</v>
      </c>
      <c r="M88" s="2"/>
      <c r="N88" s="7">
        <f t="shared" si="50"/>
        <v>-0.34978505694055295</v>
      </c>
      <c r="O88" s="11"/>
      <c r="P88" s="6">
        <v>93980.66</v>
      </c>
      <c r="Q88" s="2"/>
      <c r="R88" s="7">
        <f t="shared" si="51"/>
        <v>6.8142906309898617E-3</v>
      </c>
      <c r="S88" s="2"/>
      <c r="T88" s="6">
        <v>119820.71</v>
      </c>
      <c r="U88" s="2"/>
      <c r="V88" s="7">
        <f t="shared" si="52"/>
        <v>6.8579309573884827E-3</v>
      </c>
      <c r="W88" s="2"/>
      <c r="X88" s="6">
        <f t="shared" si="53"/>
        <v>-25840.050000000003</v>
      </c>
      <c r="Y88" s="2"/>
      <c r="Z88" s="7">
        <f t="shared" si="54"/>
        <v>-0.21565595797254081</v>
      </c>
    </row>
    <row r="89" spans="1:26" s="24" customFormat="1" hidden="1" outlineLevel="2" x14ac:dyDescent="0.25">
      <c r="A89" s="26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996.84</v>
      </c>
      <c r="E89" s="2"/>
      <c r="F89" s="7">
        <f t="shared" si="47"/>
        <v>8.133075535192498E-3</v>
      </c>
      <c r="G89" s="2"/>
      <c r="H89" s="6">
        <v>9057.7800000000007</v>
      </c>
      <c r="I89" s="2"/>
      <c r="J89" s="7">
        <f t="shared" si="48"/>
        <v>7.6628739510710654E-3</v>
      </c>
      <c r="K89" s="2"/>
      <c r="L89" s="6">
        <f t="shared" si="49"/>
        <v>-8060.9400000000005</v>
      </c>
      <c r="M89" s="2"/>
      <c r="N89" s="7">
        <f t="shared" si="50"/>
        <v>-0.88994654319270283</v>
      </c>
      <c r="O89" s="11"/>
      <c r="P89" s="6">
        <v>115097.66</v>
      </c>
      <c r="Q89" s="2"/>
      <c r="R89" s="7">
        <f t="shared" si="51"/>
        <v>8.3454287955293839E-3</v>
      </c>
      <c r="S89" s="2"/>
      <c r="T89" s="6">
        <v>151204.68</v>
      </c>
      <c r="U89" s="2"/>
      <c r="V89" s="7">
        <f t="shared" si="52"/>
        <v>8.6541905474773022E-3</v>
      </c>
      <c r="W89" s="2"/>
      <c r="X89" s="6">
        <f t="shared" si="53"/>
        <v>-36107.01999999999</v>
      </c>
      <c r="Y89" s="2"/>
      <c r="Z89" s="7">
        <f t="shared" si="54"/>
        <v>-0.23879565103408168</v>
      </c>
    </row>
    <row r="90" spans="1:26" s="27" customFormat="1" outlineLevel="1" collapsed="1" x14ac:dyDescent="0.25">
      <c r="A90" s="25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SUM(OSRRefD22_18x_0)</f>
        <v>0</v>
      </c>
      <c r="E90" s="1"/>
      <c r="F90" s="5">
        <f t="shared" ref="F90:F92" si="55">IF(D$12=0,0,D90/D$12)</f>
        <v>0</v>
      </c>
      <c r="G90" s="1"/>
      <c r="H90" s="1">
        <f>SUM(OSRRefH22_18x_0)</f>
        <v>111046.37</v>
      </c>
      <c r="I90" s="1"/>
      <c r="J90" s="5">
        <f t="shared" ref="J90:J92" si="56">IF(H$12=0,0,H90/H$12)</f>
        <v>9.3945131813093205E-2</v>
      </c>
      <c r="K90" s="1"/>
      <c r="L90" s="1">
        <f t="shared" ref="L90:L92" si="57">+D90-H90</f>
        <v>-111046.37</v>
      </c>
      <c r="M90" s="1"/>
      <c r="N90" s="5">
        <f t="shared" ref="N90:N92" si="58">IF(H90=0,0,L90/H90)</f>
        <v>-1</v>
      </c>
      <c r="O90" s="13"/>
      <c r="P90" s="1">
        <f>SUM(OSRRefP22_18x_0)</f>
        <v>233763.46999999997</v>
      </c>
      <c r="Q90" s="1"/>
      <c r="R90" s="5">
        <f t="shared" ref="R90:R92" si="59">IF(P$12=0,0,P90/P$12)</f>
        <v>1.6949574768773481E-2</v>
      </c>
      <c r="S90" s="1"/>
      <c r="T90" s="1">
        <f>SUM(OSRRefT22_18x_0)</f>
        <v>436218.01</v>
      </c>
      <c r="U90" s="1"/>
      <c r="V90" s="5">
        <f t="shared" ref="V90:V92" si="60">IF(T$12=0,0,T90/T$12)</f>
        <v>2.4966910936760418E-2</v>
      </c>
      <c r="W90" s="1"/>
      <c r="X90" s="1">
        <f t="shared" ref="X90:X92" si="61">+P90-T90</f>
        <v>-202454.54000000004</v>
      </c>
      <c r="Y90" s="1"/>
      <c r="Z90" s="5">
        <f t="shared" ref="Z90:Z92" si="62">IF(T90=0,0,X90/T90)</f>
        <v>-0.46411320798056926</v>
      </c>
    </row>
    <row r="91" spans="1:26" s="24" customFormat="1" hidden="1" outlineLevel="2" x14ac:dyDescent="0.25">
      <c r="A91" s="26"/>
      <c r="B91" s="11" t="str">
        <f>CONCATENATE("          ", "6254", " - ", "ROYALTY &amp; COMMISSIONS")</f>
        <v xml:space="preserve">          6254 - ROYALTY &amp; COMMISSIONS</v>
      </c>
      <c r="C91" s="11"/>
      <c r="D91" s="6"/>
      <c r="E91" s="2"/>
      <c r="F91" s="7">
        <f t="shared" si="55"/>
        <v>0</v>
      </c>
      <c r="G91" s="2"/>
      <c r="H91" s="6">
        <v>102898.05</v>
      </c>
      <c r="I91" s="2"/>
      <c r="J91" s="7">
        <f t="shared" si="56"/>
        <v>8.705166022590613E-2</v>
      </c>
      <c r="K91" s="2"/>
      <c r="L91" s="6">
        <f t="shared" si="57"/>
        <v>-102898.05</v>
      </c>
      <c r="M91" s="2"/>
      <c r="N91" s="7">
        <f t="shared" si="58"/>
        <v>-1</v>
      </c>
      <c r="O91" s="11"/>
      <c r="P91" s="6">
        <v>129093.51</v>
      </c>
      <c r="Q91" s="2"/>
      <c r="R91" s="7">
        <f t="shared" si="59"/>
        <v>9.360231091318106E-3</v>
      </c>
      <c r="S91" s="2"/>
      <c r="T91" s="6">
        <v>296469.05</v>
      </c>
      <c r="U91" s="2"/>
      <c r="V91" s="7">
        <f t="shared" si="60"/>
        <v>1.6968387817953623E-2</v>
      </c>
      <c r="W91" s="2"/>
      <c r="X91" s="6">
        <f t="shared" si="61"/>
        <v>-167375.53999999998</v>
      </c>
      <c r="Y91" s="2"/>
      <c r="Z91" s="7">
        <f t="shared" si="62"/>
        <v>-0.56456328240671327</v>
      </c>
    </row>
    <row r="92" spans="1:26" s="24" customFormat="1" hidden="1" outlineLevel="2" x14ac:dyDescent="0.25">
      <c r="A92" s="26"/>
      <c r="B92" s="11" t="str">
        <f>CONCATENATE("          ", "6259", " - ", "ROYALTY &amp; COMMISSIONS")</f>
        <v xml:space="preserve">          6259 - ROYALTY &amp; COMMISSIONS</v>
      </c>
      <c r="C92" s="11"/>
      <c r="D92" s="6"/>
      <c r="E92" s="2"/>
      <c r="F92" s="7">
        <f t="shared" si="55"/>
        <v>0</v>
      </c>
      <c r="G92" s="2"/>
      <c r="H92" s="6">
        <v>8148.32</v>
      </c>
      <c r="I92" s="2"/>
      <c r="J92" s="7">
        <f t="shared" si="56"/>
        <v>6.8934715871870784E-3</v>
      </c>
      <c r="K92" s="2"/>
      <c r="L92" s="6">
        <f t="shared" si="57"/>
        <v>-8148.32</v>
      </c>
      <c r="M92" s="2"/>
      <c r="N92" s="7">
        <f t="shared" si="58"/>
        <v>-1</v>
      </c>
      <c r="O92" s="11"/>
      <c r="P92" s="6">
        <v>104669.95999999999</v>
      </c>
      <c r="Q92" s="2"/>
      <c r="R92" s="7">
        <f t="shared" si="59"/>
        <v>7.5893436774553775E-3</v>
      </c>
      <c r="S92" s="2"/>
      <c r="T92" s="6">
        <v>139748.96</v>
      </c>
      <c r="U92" s="2"/>
      <c r="V92" s="7">
        <f t="shared" si="60"/>
        <v>7.9985231188067964E-3</v>
      </c>
      <c r="W92" s="2"/>
      <c r="X92" s="6">
        <f t="shared" si="61"/>
        <v>-35079</v>
      </c>
      <c r="Y92" s="2"/>
      <c r="Z92" s="7">
        <f t="shared" si="62"/>
        <v>-0.2510143903754275</v>
      </c>
    </row>
    <row r="93" spans="1:26" s="27" customFormat="1" outlineLevel="1" collapsed="1" x14ac:dyDescent="0.25">
      <c r="A93" s="25"/>
      <c r="B93" s="13" t="str">
        <f>CONCATENATE("     ","Services                                          ")</f>
        <v xml:space="preserve">     Services                                          </v>
      </c>
      <c r="C93" s="13"/>
      <c r="D93" s="1">
        <f>SUM(OSRRefD22_19x_0)</f>
        <v>12298.58</v>
      </c>
      <c r="E93" s="1"/>
      <c r="F93" s="5">
        <f t="shared" ref="F93:F98" si="63">IF(D$12=0,0,D93/D$12)</f>
        <v>0.10034236197946285</v>
      </c>
      <c r="G93" s="1"/>
      <c r="H93" s="1">
        <f>SUM(OSRRefH22_19x_0)</f>
        <v>48820.229999999996</v>
      </c>
      <c r="I93" s="1"/>
      <c r="J93" s="5">
        <f t="shared" ref="J93:J98" si="64">IF(H$12=0,0,H93/H$12)</f>
        <v>4.1301871844127161E-2</v>
      </c>
      <c r="K93" s="1"/>
      <c r="L93" s="1">
        <f t="shared" ref="L93:L98" si="65">+D93-H93</f>
        <v>-36521.649999999994</v>
      </c>
      <c r="M93" s="1"/>
      <c r="N93" s="5">
        <f t="shared" ref="N93:N98" si="66">IF(H93=0,0,L93/H93)</f>
        <v>-0.7480843494592303</v>
      </c>
      <c r="O93" s="13"/>
      <c r="P93" s="1">
        <f>SUM(OSRRefP22_19x_0)</f>
        <v>400948.42999999993</v>
      </c>
      <c r="Q93" s="1"/>
      <c r="R93" s="5">
        <f t="shared" ref="R93:R98" si="67">IF(P$12=0,0,P93/P$12)</f>
        <v>2.9071716777250699E-2</v>
      </c>
      <c r="S93" s="1"/>
      <c r="T93" s="1">
        <f>SUM(OSRRefT22_19x_0)</f>
        <v>436825.9</v>
      </c>
      <c r="U93" s="1"/>
      <c r="V93" s="5">
        <f t="shared" ref="V93:V98" si="68">IF(T$12=0,0,T93/T$12)</f>
        <v>2.5001703483471978E-2</v>
      </c>
      <c r="W93" s="1"/>
      <c r="X93" s="1">
        <f t="shared" ref="X93:X98" si="69">+P93-T93</f>
        <v>-35877.470000000088</v>
      </c>
      <c r="Y93" s="1"/>
      <c r="Z93" s="5">
        <f t="shared" ref="Z93:Z98" si="70">IF(T93=0,0,X93/T93)</f>
        <v>-8.2132195000342439E-2</v>
      </c>
    </row>
    <row r="94" spans="1:26" s="24" customFormat="1" hidden="1" outlineLevel="2" x14ac:dyDescent="0.25">
      <c r="A94" s="26"/>
      <c r="B94" s="11" t="str">
        <f>CONCATENATE("          ", "6282", " - ", "JANITORIAL/EXTERMINATOR EXPENS")</f>
        <v xml:space="preserve">          6282 - JANITORIAL/EXTERMINATOR EXPENS</v>
      </c>
      <c r="C94" s="11"/>
      <c r="D94" s="6">
        <v>1436.53</v>
      </c>
      <c r="E94" s="2"/>
      <c r="F94" s="7">
        <f t="shared" si="63"/>
        <v>1.1720443600347177E-2</v>
      </c>
      <c r="G94" s="2"/>
      <c r="H94" s="6">
        <v>5571.74</v>
      </c>
      <c r="I94" s="2"/>
      <c r="J94" s="7">
        <f t="shared" si="64"/>
        <v>4.7136871626536183E-3</v>
      </c>
      <c r="K94" s="2"/>
      <c r="L94" s="6">
        <f t="shared" si="65"/>
        <v>-4135.21</v>
      </c>
      <c r="M94" s="2"/>
      <c r="N94" s="7">
        <f t="shared" si="66"/>
        <v>-0.74217569376891246</v>
      </c>
      <c r="O94" s="11"/>
      <c r="P94" s="6">
        <v>30976.57</v>
      </c>
      <c r="Q94" s="2"/>
      <c r="R94" s="7">
        <f t="shared" si="67"/>
        <v>2.2460296696277895E-3</v>
      </c>
      <c r="S94" s="2"/>
      <c r="T94" s="6">
        <v>30764.769999999997</v>
      </c>
      <c r="U94" s="2"/>
      <c r="V94" s="7">
        <f t="shared" si="68"/>
        <v>1.7608197162238184E-3</v>
      </c>
      <c r="W94" s="2"/>
      <c r="X94" s="6">
        <f t="shared" si="69"/>
        <v>211.80000000000291</v>
      </c>
      <c r="Y94" s="2"/>
      <c r="Z94" s="7">
        <f t="shared" si="70"/>
        <v>6.8844980801092588E-3</v>
      </c>
    </row>
    <row r="95" spans="1:26" s="24" customFormat="1" hidden="1" outlineLevel="2" x14ac:dyDescent="0.25">
      <c r="A95" s="26"/>
      <c r="B95" s="11" t="str">
        <f>CONCATENATE("          ", "6283", " - ", "PLANT SERVICE")</f>
        <v xml:space="preserve">          6283 - PLANT SERVICE</v>
      </c>
      <c r="C95" s="11"/>
      <c r="D95" s="6"/>
      <c r="E95" s="2"/>
      <c r="F95" s="7">
        <f t="shared" si="63"/>
        <v>0</v>
      </c>
      <c r="G95" s="2"/>
      <c r="H95" s="6">
        <v>176</v>
      </c>
      <c r="I95" s="2"/>
      <c r="J95" s="7">
        <f t="shared" si="64"/>
        <v>1.4889584593449028E-4</v>
      </c>
      <c r="K95" s="2"/>
      <c r="L95" s="6">
        <f t="shared" si="65"/>
        <v>-176</v>
      </c>
      <c r="M95" s="2"/>
      <c r="N95" s="7">
        <f t="shared" si="66"/>
        <v>-1</v>
      </c>
      <c r="O95" s="11"/>
      <c r="P95" s="6">
        <v>1798.02</v>
      </c>
      <c r="Q95" s="2"/>
      <c r="R95" s="7">
        <f t="shared" si="67"/>
        <v>1.3036970415330549E-4</v>
      </c>
      <c r="S95" s="2"/>
      <c r="T95" s="6">
        <v>1936</v>
      </c>
      <c r="U95" s="2"/>
      <c r="V95" s="7">
        <f t="shared" si="68"/>
        <v>1.1080684076654279E-4</v>
      </c>
      <c r="W95" s="2"/>
      <c r="X95" s="6">
        <f t="shared" si="69"/>
        <v>-137.98000000000002</v>
      </c>
      <c r="Y95" s="2"/>
      <c r="Z95" s="7">
        <f t="shared" si="70"/>
        <v>-7.1270661157024809E-2</v>
      </c>
    </row>
    <row r="96" spans="1:26" s="24" customFormat="1" hidden="1" outlineLevel="2" x14ac:dyDescent="0.25">
      <c r="A96" s="26"/>
      <c r="B96" s="11" t="str">
        <f>CONCATENATE("          ", "6284", " - ", "TRASH REMOVAL EXPENSE")</f>
        <v xml:space="preserve">          6284 - TRASH REMOVAL EXPENSE</v>
      </c>
      <c r="C96" s="11"/>
      <c r="D96" s="6">
        <v>5130</v>
      </c>
      <c r="E96" s="2"/>
      <c r="F96" s="7">
        <f t="shared" si="63"/>
        <v>4.1854939103103325E-2</v>
      </c>
      <c r="G96" s="2"/>
      <c r="H96" s="6">
        <v>4199</v>
      </c>
      <c r="I96" s="2"/>
      <c r="J96" s="7">
        <f t="shared" si="64"/>
        <v>3.5523503243120721E-3</v>
      </c>
      <c r="K96" s="2"/>
      <c r="L96" s="6">
        <f t="shared" si="65"/>
        <v>931</v>
      </c>
      <c r="M96" s="2"/>
      <c r="N96" s="7">
        <f t="shared" si="66"/>
        <v>0.22171945701357465</v>
      </c>
      <c r="O96" s="11"/>
      <c r="P96" s="6">
        <v>48541</v>
      </c>
      <c r="Q96" s="2"/>
      <c r="R96" s="7">
        <f t="shared" si="67"/>
        <v>3.5195803213009871E-3</v>
      </c>
      <c r="S96" s="2"/>
      <c r="T96" s="6">
        <v>54978.270000000004</v>
      </c>
      <c r="U96" s="2"/>
      <c r="V96" s="7">
        <f t="shared" si="68"/>
        <v>3.1466778974741719E-3</v>
      </c>
      <c r="W96" s="2"/>
      <c r="X96" s="6">
        <f t="shared" si="69"/>
        <v>-6437.2700000000041</v>
      </c>
      <c r="Y96" s="2"/>
      <c r="Z96" s="7">
        <f t="shared" si="70"/>
        <v>-0.11708753294710808</v>
      </c>
    </row>
    <row r="97" spans="1:26" s="24" customFormat="1" hidden="1" outlineLevel="2" x14ac:dyDescent="0.25">
      <c r="A97" s="26"/>
      <c r="B97" s="11" t="str">
        <f>CONCATENATE("          ", "6285", " - ", "JANITORIAL SERVICES")</f>
        <v xml:space="preserve">          6285 - JANITORIAL SERVICES</v>
      </c>
      <c r="C97" s="11"/>
      <c r="D97" s="6">
        <v>5732.05</v>
      </c>
      <c r="E97" s="2"/>
      <c r="F97" s="7">
        <f t="shared" si="63"/>
        <v>4.6766979276012359E-2</v>
      </c>
      <c r="G97" s="2"/>
      <c r="H97" s="6">
        <v>29587.47</v>
      </c>
      <c r="I97" s="2"/>
      <c r="J97" s="7">
        <f t="shared" si="64"/>
        <v>2.5030973719950871E-2</v>
      </c>
      <c r="K97" s="2"/>
      <c r="L97" s="6">
        <f t="shared" si="65"/>
        <v>-23855.420000000002</v>
      </c>
      <c r="M97" s="2"/>
      <c r="N97" s="7">
        <f t="shared" si="66"/>
        <v>-0.80626765316534332</v>
      </c>
      <c r="O97" s="11"/>
      <c r="P97" s="6">
        <v>251084.24</v>
      </c>
      <c r="Q97" s="2"/>
      <c r="R97" s="7">
        <f t="shared" si="67"/>
        <v>1.8205458274300368E-2</v>
      </c>
      <c r="S97" s="2"/>
      <c r="T97" s="6">
        <v>265056.77</v>
      </c>
      <c r="U97" s="2"/>
      <c r="V97" s="7">
        <f t="shared" si="68"/>
        <v>1.5170507906758345E-2</v>
      </c>
      <c r="W97" s="2"/>
      <c r="X97" s="6">
        <f t="shared" si="69"/>
        <v>-13972.530000000028</v>
      </c>
      <c r="Y97" s="2"/>
      <c r="Z97" s="7">
        <f t="shared" si="70"/>
        <v>-5.2715235306006435E-2</v>
      </c>
    </row>
    <row r="98" spans="1:26" s="24" customFormat="1" hidden="1" outlineLevel="2" x14ac:dyDescent="0.25">
      <c r="A98" s="26"/>
      <c r="B98" s="11" t="str">
        <f>CONCATENATE("          ", "6286", " - ", "LAUNDRY EXPENSE")</f>
        <v xml:space="preserve">          6286 - LAUNDRY EXPENSE</v>
      </c>
      <c r="C98" s="11"/>
      <c r="D98" s="6"/>
      <c r="E98" s="2"/>
      <c r="F98" s="7">
        <f t="shared" si="63"/>
        <v>0</v>
      </c>
      <c r="G98" s="2"/>
      <c r="H98" s="6">
        <v>9286.02</v>
      </c>
      <c r="I98" s="2"/>
      <c r="J98" s="7">
        <f t="shared" si="64"/>
        <v>7.8559647912761106E-3</v>
      </c>
      <c r="K98" s="2"/>
      <c r="L98" s="6">
        <f t="shared" si="65"/>
        <v>-9286.02</v>
      </c>
      <c r="M98" s="2"/>
      <c r="N98" s="7">
        <f t="shared" si="66"/>
        <v>-1</v>
      </c>
      <c r="O98" s="11"/>
      <c r="P98" s="6">
        <v>68548.600000000006</v>
      </c>
      <c r="Q98" s="2"/>
      <c r="R98" s="7">
        <f t="shared" si="67"/>
        <v>4.970278807868253E-3</v>
      </c>
      <c r="S98" s="2"/>
      <c r="T98" s="6">
        <v>84090.09</v>
      </c>
      <c r="U98" s="2"/>
      <c r="V98" s="7">
        <f t="shared" si="68"/>
        <v>4.8128911222490968E-3</v>
      </c>
      <c r="W98" s="2"/>
      <c r="X98" s="6">
        <f t="shared" si="69"/>
        <v>-15541.489999999991</v>
      </c>
      <c r="Y98" s="2"/>
      <c r="Z98" s="7">
        <f t="shared" si="70"/>
        <v>-0.18481951916093789</v>
      </c>
    </row>
    <row r="99" spans="1:26" s="27" customFormat="1" outlineLevel="1" collapsed="1" x14ac:dyDescent="0.25">
      <c r="A99" s="25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SUM(OSRRefD22_20x_0)</f>
        <v>0</v>
      </c>
      <c r="E99" s="1"/>
      <c r="F99" s="5">
        <f t="shared" ref="F99:F101" si="71">IF(D$12=0,0,D99/D$12)</f>
        <v>0</v>
      </c>
      <c r="G99" s="1"/>
      <c r="H99" s="1">
        <f>SUM(OSRRefH22_20x_0)</f>
        <v>393.42</v>
      </c>
      <c r="I99" s="1"/>
      <c r="J99" s="5">
        <f t="shared" ref="J99:J101" si="72">IF(H$12=0,0,H99/H$12)</f>
        <v>3.3283297561106348E-4</v>
      </c>
      <c r="K99" s="1"/>
      <c r="L99" s="1">
        <f t="shared" ref="L99:L101" si="73">+D99-H99</f>
        <v>-393.42</v>
      </c>
      <c r="M99" s="1"/>
      <c r="N99" s="5">
        <f t="shared" ref="N99:N101" si="74">IF(H99=0,0,L99/H99)</f>
        <v>-1</v>
      </c>
      <c r="O99" s="13"/>
      <c r="P99" s="1">
        <f>SUM(OSRRefP22_20x_0)</f>
        <v>7300.55</v>
      </c>
      <c r="Q99" s="1"/>
      <c r="R99" s="5">
        <f t="shared" ref="R99:R101" si="75">IF(P$12=0,0,P99/P$12)</f>
        <v>5.2934369120277551E-4</v>
      </c>
      <c r="S99" s="1"/>
      <c r="T99" s="1">
        <f>SUM(OSRRefT22_20x_0)</f>
        <v>5200.5600000000004</v>
      </c>
      <c r="U99" s="1"/>
      <c r="V99" s="5">
        <f t="shared" ref="V99:V101" si="76">IF(T$12=0,0,T99/T$12)</f>
        <v>2.9765373131035731E-4</v>
      </c>
      <c r="W99" s="1"/>
      <c r="X99" s="1">
        <f t="shared" ref="X99:X101" si="77">+P99-T99</f>
        <v>2099.9899999999998</v>
      </c>
      <c r="Y99" s="1"/>
      <c r="Z99" s="5">
        <f t="shared" ref="Z99:Z101" si="78">IF(T99=0,0,X99/T99)</f>
        <v>0.40380074453520381</v>
      </c>
    </row>
    <row r="100" spans="1:26" s="24" customFormat="1" hidden="1" outlineLevel="2" x14ac:dyDescent="0.25">
      <c r="A100" s="26"/>
      <c r="B100" s="11" t="str">
        <f>CONCATENATE("          ", "6258", " - ", "MEMBERSHIP DUES")</f>
        <v xml:space="preserve">          6258 - MEMBERSHIP DUES</v>
      </c>
      <c r="C100" s="11"/>
      <c r="D100" s="6"/>
      <c r="E100" s="2"/>
      <c r="F100" s="7">
        <f t="shared" si="71"/>
        <v>0</v>
      </c>
      <c r="G100" s="2"/>
      <c r="H100" s="6"/>
      <c r="I100" s="2"/>
      <c r="J100" s="7">
        <f t="shared" si="72"/>
        <v>0</v>
      </c>
      <c r="K100" s="2"/>
      <c r="L100" s="6">
        <f t="shared" si="73"/>
        <v>0</v>
      </c>
      <c r="M100" s="2"/>
      <c r="N100" s="7">
        <f t="shared" si="74"/>
        <v>0</v>
      </c>
      <c r="O100" s="11"/>
      <c r="P100" s="6">
        <v>3730</v>
      </c>
      <c r="Q100" s="2"/>
      <c r="R100" s="7">
        <f t="shared" si="75"/>
        <v>2.704524957963924E-4</v>
      </c>
      <c r="S100" s="2"/>
      <c r="T100" s="6"/>
      <c r="U100" s="2"/>
      <c r="V100" s="7">
        <f t="shared" si="76"/>
        <v>0</v>
      </c>
      <c r="W100" s="2"/>
      <c r="X100" s="6">
        <f t="shared" si="77"/>
        <v>3730</v>
      </c>
      <c r="Y100" s="2"/>
      <c r="Z100" s="7">
        <f t="shared" si="78"/>
        <v>0</v>
      </c>
    </row>
    <row r="101" spans="1:26" s="24" customFormat="1" hidden="1" outlineLevel="2" x14ac:dyDescent="0.25">
      <c r="A101" s="26"/>
      <c r="B101" s="11" t="str">
        <f>CONCATENATE("          ", "6275", " - ", "SUBSCRIPTIONS")</f>
        <v xml:space="preserve">          6275 - SUBSCRIPTIONS</v>
      </c>
      <c r="C101" s="11"/>
      <c r="D101" s="6"/>
      <c r="E101" s="2"/>
      <c r="F101" s="7">
        <f t="shared" si="71"/>
        <v>0</v>
      </c>
      <c r="G101" s="2"/>
      <c r="H101" s="6">
        <v>393.42</v>
      </c>
      <c r="I101" s="2"/>
      <c r="J101" s="7">
        <f t="shared" si="72"/>
        <v>3.3283297561106348E-4</v>
      </c>
      <c r="K101" s="2"/>
      <c r="L101" s="6">
        <f t="shared" si="73"/>
        <v>-393.42</v>
      </c>
      <c r="M101" s="2"/>
      <c r="N101" s="7">
        <f t="shared" si="74"/>
        <v>-1</v>
      </c>
      <c r="O101" s="11"/>
      <c r="P101" s="6">
        <v>3570.55</v>
      </c>
      <c r="Q101" s="2"/>
      <c r="R101" s="7">
        <f t="shared" si="75"/>
        <v>2.588911954063831E-4</v>
      </c>
      <c r="S101" s="2"/>
      <c r="T101" s="6">
        <v>5200.5600000000004</v>
      </c>
      <c r="U101" s="2"/>
      <c r="V101" s="7">
        <f t="shared" si="76"/>
        <v>2.9765373131035731E-4</v>
      </c>
      <c r="W101" s="2"/>
      <c r="X101" s="6">
        <f t="shared" si="77"/>
        <v>-1630.0100000000002</v>
      </c>
      <c r="Y101" s="2"/>
      <c r="Z101" s="7">
        <f t="shared" si="78"/>
        <v>-0.31342970756995403</v>
      </c>
    </row>
    <row r="102" spans="1:26" s="27" customFormat="1" outlineLevel="1" collapsed="1" x14ac:dyDescent="0.25">
      <c r="A102" s="25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SUM(OSRRefD22_21x_0)</f>
        <v>4563.84</v>
      </c>
      <c r="E102" s="1"/>
      <c r="F102" s="5">
        <f t="shared" ref="F102:F112" si="79">IF(D$12=0,0,D102/D$12)</f>
        <v>3.723572032676551E-2</v>
      </c>
      <c r="G102" s="1"/>
      <c r="H102" s="1">
        <f>SUM(OSRRefH22_21x_0)</f>
        <v>36250.089999999989</v>
      </c>
      <c r="I102" s="1"/>
      <c r="J102" s="5">
        <f t="shared" ref="J102:J112" si="80">IF(H$12=0,0,H102/H$12)</f>
        <v>3.0667544407678441E-2</v>
      </c>
      <c r="K102" s="1"/>
      <c r="L102" s="1">
        <f t="shared" ref="L102:L112" si="81">+D102-H102</f>
        <v>-31686.249999999989</v>
      </c>
      <c r="M102" s="1"/>
      <c r="N102" s="5">
        <f t="shared" ref="N102:N112" si="82">IF(H102=0,0,L102/H102)</f>
        <v>-0.87410127809337845</v>
      </c>
      <c r="O102" s="13"/>
      <c r="P102" s="1">
        <f>SUM(OSRRefP22_21x_0)</f>
        <v>361379.11000000004</v>
      </c>
      <c r="Q102" s="1"/>
      <c r="R102" s="5">
        <f t="shared" ref="R102:R112" si="83">IF(P$12=0,0,P102/P$12)</f>
        <v>2.6202649390932718E-2</v>
      </c>
      <c r="S102" s="1"/>
      <c r="T102" s="1">
        <f>SUM(OSRRefT22_21x_0)</f>
        <v>435843.49</v>
      </c>
      <c r="U102" s="1"/>
      <c r="V102" s="5">
        <f t="shared" ref="V102:V112" si="84">IF(T$12=0,0,T102/T$12)</f>
        <v>2.494547530762618E-2</v>
      </c>
      <c r="W102" s="1"/>
      <c r="X102" s="1">
        <f t="shared" ref="X102:X112" si="85">+P102-T102</f>
        <v>-74464.379999999946</v>
      </c>
      <c r="Y102" s="1"/>
      <c r="Z102" s="5">
        <f t="shared" ref="Z102:Z112" si="86">IF(T102=0,0,X102/T102)</f>
        <v>-0.1708511924773729</v>
      </c>
    </row>
    <row r="103" spans="1:26" s="24" customFormat="1" hidden="1" outlineLevel="2" x14ac:dyDescent="0.25">
      <c r="A103" s="26"/>
      <c r="B103" s="11" t="str">
        <f>CONCATENATE("          ", "6234", " - ", "EXPENDABLE SUPPLIES &amp; EQUIPMEN")</f>
        <v xml:space="preserve">          6234 - EXPENDABLE SUPPLIES &amp; EQUIPMEN</v>
      </c>
      <c r="C103" s="11"/>
      <c r="D103" s="6"/>
      <c r="E103" s="2"/>
      <c r="F103" s="7">
        <f t="shared" si="79"/>
        <v>0</v>
      </c>
      <c r="G103" s="2"/>
      <c r="H103" s="6">
        <v>206.32</v>
      </c>
      <c r="I103" s="2"/>
      <c r="J103" s="7">
        <f t="shared" si="80"/>
        <v>1.7454653939320475E-4</v>
      </c>
      <c r="K103" s="2"/>
      <c r="L103" s="6">
        <f t="shared" si="81"/>
        <v>-206.32</v>
      </c>
      <c r="M103" s="2"/>
      <c r="N103" s="7">
        <f t="shared" si="82"/>
        <v>-1</v>
      </c>
      <c r="O103" s="11"/>
      <c r="P103" s="6">
        <v>14804.830000000002</v>
      </c>
      <c r="Q103" s="2"/>
      <c r="R103" s="7">
        <f t="shared" si="83"/>
        <v>1.073459309206784E-3</v>
      </c>
      <c r="S103" s="2"/>
      <c r="T103" s="6">
        <v>7974.19</v>
      </c>
      <c r="U103" s="2"/>
      <c r="V103" s="7">
        <f t="shared" si="84"/>
        <v>4.5640227353933773E-4</v>
      </c>
      <c r="W103" s="2"/>
      <c r="X103" s="6">
        <f t="shared" si="85"/>
        <v>6830.6400000000021</v>
      </c>
      <c r="Y103" s="2"/>
      <c r="Z103" s="7">
        <f t="shared" si="86"/>
        <v>0.85659358505378003</v>
      </c>
    </row>
    <row r="104" spans="1:26" s="24" customFormat="1" hidden="1" outlineLevel="2" x14ac:dyDescent="0.25">
      <c r="A104" s="26"/>
      <c r="B104" s="11" t="str">
        <f>CONCATENATE("          ", "6235", " - ", "COVID-19 EXPENSES")</f>
        <v xml:space="preserve">          6235 - COVID-19 EXPENSES</v>
      </c>
      <c r="C104" s="11"/>
      <c r="D104" s="6">
        <v>1951.11</v>
      </c>
      <c r="E104" s="2"/>
      <c r="F104" s="7">
        <f t="shared" si="79"/>
        <v>1.5918828505546961E-2</v>
      </c>
      <c r="G104" s="2"/>
      <c r="H104" s="6"/>
      <c r="I104" s="2"/>
      <c r="J104" s="7">
        <f t="shared" si="80"/>
        <v>0</v>
      </c>
      <c r="K104" s="2"/>
      <c r="L104" s="6">
        <f t="shared" si="81"/>
        <v>1951.11</v>
      </c>
      <c r="M104" s="2"/>
      <c r="N104" s="7">
        <f t="shared" si="82"/>
        <v>0</v>
      </c>
      <c r="O104" s="11"/>
      <c r="P104" s="6">
        <v>1951.11</v>
      </c>
      <c r="Q104" s="2"/>
      <c r="R104" s="7">
        <f t="shared" si="83"/>
        <v>1.414698576604019E-4</v>
      </c>
      <c r="S104" s="2"/>
      <c r="T104" s="6"/>
      <c r="U104" s="2"/>
      <c r="V104" s="7">
        <f t="shared" si="84"/>
        <v>0</v>
      </c>
      <c r="W104" s="2"/>
      <c r="X104" s="6">
        <f t="shared" si="85"/>
        <v>1951.11</v>
      </c>
      <c r="Y104" s="2"/>
      <c r="Z104" s="7">
        <f t="shared" si="86"/>
        <v>0</v>
      </c>
    </row>
    <row r="105" spans="1:26" s="24" customFormat="1" hidden="1" outlineLevel="2" x14ac:dyDescent="0.25">
      <c r="A105" s="26"/>
      <c r="B105" s="11" t="str">
        <f>CONCATENATE("          ", "6237", " - ", "JANITORIAL SUPPLIES")</f>
        <v xml:space="preserve">          6237 - JANITORIAL SUPPLIES</v>
      </c>
      <c r="C105" s="11"/>
      <c r="D105" s="6">
        <v>1123.01</v>
      </c>
      <c r="E105" s="2"/>
      <c r="F105" s="7">
        <f t="shared" si="79"/>
        <v>9.1624785891181414E-3</v>
      </c>
      <c r="G105" s="2"/>
      <c r="H105" s="6">
        <v>6009.02</v>
      </c>
      <c r="I105" s="2"/>
      <c r="J105" s="7">
        <f t="shared" si="80"/>
        <v>5.0836256598708572E-3</v>
      </c>
      <c r="K105" s="2"/>
      <c r="L105" s="6">
        <f t="shared" si="81"/>
        <v>-4886.01</v>
      </c>
      <c r="M105" s="2"/>
      <c r="N105" s="7">
        <f t="shared" si="82"/>
        <v>-0.81311262069355728</v>
      </c>
      <c r="O105" s="11"/>
      <c r="P105" s="6">
        <v>122687.93</v>
      </c>
      <c r="Q105" s="2"/>
      <c r="R105" s="7">
        <f t="shared" si="83"/>
        <v>8.895779322411014E-3</v>
      </c>
      <c r="S105" s="2"/>
      <c r="T105" s="6">
        <v>149663.96000000002</v>
      </c>
      <c r="U105" s="2"/>
      <c r="V105" s="7">
        <f t="shared" si="84"/>
        <v>8.566007533166442E-3</v>
      </c>
      <c r="W105" s="2"/>
      <c r="X105" s="6">
        <f t="shared" si="85"/>
        <v>-26976.030000000028</v>
      </c>
      <c r="Y105" s="2"/>
      <c r="Z105" s="7">
        <f t="shared" si="86"/>
        <v>-0.1802439946129985</v>
      </c>
    </row>
    <row r="106" spans="1:26" s="24" customFormat="1" hidden="1" outlineLevel="2" x14ac:dyDescent="0.25">
      <c r="A106" s="26"/>
      <c r="B106" s="11" t="str">
        <f>CONCATENATE("          ", "6239", " - ", "KITCHEN SUPPLIES")</f>
        <v xml:space="preserve">          6239 - KITCHEN SUPPLIES</v>
      </c>
      <c r="C106" s="11"/>
      <c r="D106" s="6">
        <v>50</v>
      </c>
      <c r="E106" s="2"/>
      <c r="F106" s="7">
        <f t="shared" si="79"/>
        <v>4.079428762485704E-4</v>
      </c>
      <c r="G106" s="2"/>
      <c r="H106" s="6">
        <v>15751.289999999999</v>
      </c>
      <c r="I106" s="2"/>
      <c r="J106" s="7">
        <f t="shared" si="80"/>
        <v>1.3325577551758394E-2</v>
      </c>
      <c r="K106" s="2"/>
      <c r="L106" s="6">
        <f t="shared" si="81"/>
        <v>-15701.289999999999</v>
      </c>
      <c r="M106" s="2"/>
      <c r="N106" s="7">
        <f t="shared" si="82"/>
        <v>-0.9968256568192192</v>
      </c>
      <c r="O106" s="11"/>
      <c r="P106" s="6">
        <v>72374.13</v>
      </c>
      <c r="Q106" s="2"/>
      <c r="R106" s="7">
        <f t="shared" si="83"/>
        <v>5.2476579328666374E-3</v>
      </c>
      <c r="S106" s="2"/>
      <c r="T106" s="6">
        <v>86068.77</v>
      </c>
      <c r="U106" s="2"/>
      <c r="V106" s="7">
        <f t="shared" si="84"/>
        <v>4.9261407501870842E-3</v>
      </c>
      <c r="W106" s="2"/>
      <c r="X106" s="6">
        <f t="shared" si="85"/>
        <v>-13694.64</v>
      </c>
      <c r="Y106" s="2"/>
      <c r="Z106" s="7">
        <f t="shared" si="86"/>
        <v>-0.15911276529221921</v>
      </c>
    </row>
    <row r="107" spans="1:26" s="24" customFormat="1" hidden="1" outlineLevel="2" x14ac:dyDescent="0.25">
      <c r="A107" s="26"/>
      <c r="B107" s="11" t="str">
        <f>CONCATENATE("          ", "6241", " - ", "OFFICE EXPENSE")</f>
        <v xml:space="preserve">          6241 - OFFICE EXPENSE</v>
      </c>
      <c r="C107" s="11"/>
      <c r="D107" s="6">
        <v>177.61</v>
      </c>
      <c r="E107" s="2"/>
      <c r="F107" s="7">
        <f t="shared" si="79"/>
        <v>1.4490946850101718E-3</v>
      </c>
      <c r="G107" s="2"/>
      <c r="H107" s="6">
        <v>5518.53</v>
      </c>
      <c r="I107" s="2"/>
      <c r="J107" s="7">
        <f t="shared" si="80"/>
        <v>4.6686715492321737E-3</v>
      </c>
      <c r="K107" s="2"/>
      <c r="L107" s="6">
        <f t="shared" si="81"/>
        <v>-5340.92</v>
      </c>
      <c r="M107" s="2"/>
      <c r="N107" s="7">
        <f t="shared" si="82"/>
        <v>-0.96781570454450738</v>
      </c>
      <c r="O107" s="11"/>
      <c r="P107" s="6">
        <v>46317.13</v>
      </c>
      <c r="Q107" s="2"/>
      <c r="R107" s="7">
        <f t="shared" si="83"/>
        <v>3.3583333529828307E-3</v>
      </c>
      <c r="S107" s="2"/>
      <c r="T107" s="6">
        <v>40366.43</v>
      </c>
      <c r="U107" s="2"/>
      <c r="V107" s="7">
        <f t="shared" si="84"/>
        <v>2.3103701349812995E-3</v>
      </c>
      <c r="W107" s="2"/>
      <c r="X107" s="6">
        <f t="shared" si="85"/>
        <v>5950.6999999999971</v>
      </c>
      <c r="Y107" s="2"/>
      <c r="Z107" s="7">
        <f t="shared" si="86"/>
        <v>0.14741704926593699</v>
      </c>
    </row>
    <row r="108" spans="1:26" s="24" customFormat="1" hidden="1" outlineLevel="2" x14ac:dyDescent="0.25">
      <c r="A108" s="26"/>
      <c r="B108" s="11" t="str">
        <f>CONCATENATE("          ", "6243", " - ", "PAPER SUPPLIES")</f>
        <v xml:space="preserve">          6243 - PAPER SUPPLIES</v>
      </c>
      <c r="C108" s="11"/>
      <c r="D108" s="6">
        <v>1262.1099999999999</v>
      </c>
      <c r="E108" s="2"/>
      <c r="F108" s="7">
        <f t="shared" si="79"/>
        <v>1.0297375670841663E-2</v>
      </c>
      <c r="G108" s="2"/>
      <c r="H108" s="6">
        <v>7682.52</v>
      </c>
      <c r="I108" s="2"/>
      <c r="J108" s="7">
        <f t="shared" si="80"/>
        <v>6.4994051949354564E-3</v>
      </c>
      <c r="K108" s="2"/>
      <c r="L108" s="6">
        <f t="shared" si="81"/>
        <v>-6420.4100000000008</v>
      </c>
      <c r="M108" s="2"/>
      <c r="N108" s="7">
        <f t="shared" si="82"/>
        <v>-0.83571666588567295</v>
      </c>
      <c r="O108" s="11"/>
      <c r="P108" s="6">
        <v>89108.4</v>
      </c>
      <c r="Q108" s="2"/>
      <c r="R108" s="7">
        <f t="shared" si="83"/>
        <v>6.4610158649928279E-3</v>
      </c>
      <c r="S108" s="2"/>
      <c r="T108" s="6">
        <v>120777.90999999999</v>
      </c>
      <c r="U108" s="2"/>
      <c r="V108" s="7">
        <f t="shared" si="84"/>
        <v>6.912716240436898E-3</v>
      </c>
      <c r="W108" s="2"/>
      <c r="X108" s="6">
        <f t="shared" si="85"/>
        <v>-31669.509999999995</v>
      </c>
      <c r="Y108" s="2"/>
      <c r="Z108" s="7">
        <f t="shared" si="86"/>
        <v>-0.26221276721877368</v>
      </c>
    </row>
    <row r="109" spans="1:26" s="24" customFormat="1" hidden="1" outlineLevel="2" x14ac:dyDescent="0.25">
      <c r="A109" s="26"/>
      <c r="B109" s="11" t="str">
        <f>CONCATENATE("          ", "6245", " - ", "PRINTING")</f>
        <v xml:space="preserve">          6245 - PRINTING</v>
      </c>
      <c r="C109" s="11"/>
      <c r="D109" s="6"/>
      <c r="E109" s="2"/>
      <c r="F109" s="7">
        <f t="shared" si="79"/>
        <v>0</v>
      </c>
      <c r="G109" s="2"/>
      <c r="H109" s="6">
        <v>157.68</v>
      </c>
      <c r="I109" s="2"/>
      <c r="J109" s="7">
        <f t="shared" si="80"/>
        <v>1.3339714197130924E-4</v>
      </c>
      <c r="K109" s="2"/>
      <c r="L109" s="6">
        <f t="shared" si="81"/>
        <v>-157.68</v>
      </c>
      <c r="M109" s="2"/>
      <c r="N109" s="7">
        <f t="shared" si="82"/>
        <v>-1</v>
      </c>
      <c r="O109" s="11"/>
      <c r="P109" s="6">
        <v>1882.72</v>
      </c>
      <c r="Q109" s="2"/>
      <c r="R109" s="7">
        <f t="shared" si="83"/>
        <v>1.3651107852165787E-4</v>
      </c>
      <c r="S109" s="2"/>
      <c r="T109" s="6">
        <v>2299.67</v>
      </c>
      <c r="U109" s="2"/>
      <c r="V109" s="7">
        <f t="shared" si="84"/>
        <v>1.3162147081900591E-4</v>
      </c>
      <c r="W109" s="2"/>
      <c r="X109" s="6">
        <f t="shared" si="85"/>
        <v>-416.95000000000005</v>
      </c>
      <c r="Y109" s="2"/>
      <c r="Z109" s="7">
        <f t="shared" si="86"/>
        <v>-0.1813086225414951</v>
      </c>
    </row>
    <row r="110" spans="1:26" s="24" customFormat="1" hidden="1" outlineLevel="2" x14ac:dyDescent="0.25">
      <c r="A110" s="26"/>
      <c r="B110" s="11" t="str">
        <f>CONCATENATE("          ", "6246", " - ", "REPLACEMENTS")</f>
        <v xml:space="preserve">          6246 - REPLACEMENTS</v>
      </c>
      <c r="C110" s="11"/>
      <c r="D110" s="6"/>
      <c r="E110" s="2"/>
      <c r="F110" s="7">
        <f t="shared" si="79"/>
        <v>0</v>
      </c>
      <c r="G110" s="2"/>
      <c r="H110" s="6"/>
      <c r="I110" s="2"/>
      <c r="J110" s="7">
        <f t="shared" si="80"/>
        <v>0</v>
      </c>
      <c r="K110" s="2"/>
      <c r="L110" s="6">
        <f t="shared" si="81"/>
        <v>0</v>
      </c>
      <c r="M110" s="2"/>
      <c r="N110" s="7">
        <f t="shared" si="82"/>
        <v>0</v>
      </c>
      <c r="O110" s="11"/>
      <c r="P110" s="6">
        <v>25.87</v>
      </c>
      <c r="Q110" s="2"/>
      <c r="R110" s="7">
        <f t="shared" si="83"/>
        <v>1.8757657014082228E-6</v>
      </c>
      <c r="S110" s="2"/>
      <c r="T110" s="6"/>
      <c r="U110" s="2"/>
      <c r="V110" s="7">
        <f t="shared" si="84"/>
        <v>0</v>
      </c>
      <c r="W110" s="2"/>
      <c r="X110" s="6">
        <f t="shared" si="85"/>
        <v>25.87</v>
      </c>
      <c r="Y110" s="2"/>
      <c r="Z110" s="7">
        <f t="shared" si="86"/>
        <v>0</v>
      </c>
    </row>
    <row r="111" spans="1:26" s="24" customFormat="1" hidden="1" outlineLevel="2" x14ac:dyDescent="0.25">
      <c r="A111" s="26"/>
      <c r="B111" s="11" t="str">
        <f>CONCATENATE("          ", "6247", " - ", "STORE SUPPLIES")</f>
        <v xml:space="preserve">          6247 - STORE SUPPLIES</v>
      </c>
      <c r="C111" s="11"/>
      <c r="D111" s="6"/>
      <c r="E111" s="2"/>
      <c r="F111" s="7">
        <f t="shared" si="79"/>
        <v>0</v>
      </c>
      <c r="G111" s="2"/>
      <c r="H111" s="6">
        <v>129.13999999999999</v>
      </c>
      <c r="I111" s="2"/>
      <c r="J111" s="7">
        <f t="shared" si="80"/>
        <v>1.0925232695443224E-4</v>
      </c>
      <c r="K111" s="2"/>
      <c r="L111" s="6">
        <f t="shared" si="81"/>
        <v>-129.13999999999999</v>
      </c>
      <c r="M111" s="2"/>
      <c r="N111" s="7">
        <f t="shared" si="82"/>
        <v>-1</v>
      </c>
      <c r="O111" s="11"/>
      <c r="P111" s="6">
        <v>7629.9</v>
      </c>
      <c r="Q111" s="2"/>
      <c r="R111" s="7">
        <f t="shared" si="83"/>
        <v>5.5322399401525307E-4</v>
      </c>
      <c r="S111" s="2"/>
      <c r="T111" s="6">
        <v>8424.39</v>
      </c>
      <c r="U111" s="2"/>
      <c r="V111" s="7">
        <f t="shared" si="84"/>
        <v>4.821694428126319E-4</v>
      </c>
      <c r="W111" s="2"/>
      <c r="X111" s="6">
        <f t="shared" si="85"/>
        <v>-794.48999999999978</v>
      </c>
      <c r="Y111" s="2"/>
      <c r="Z111" s="7">
        <f t="shared" si="86"/>
        <v>-9.4308311937125397E-2</v>
      </c>
    </row>
    <row r="112" spans="1:26" s="24" customFormat="1" hidden="1" outlineLevel="2" x14ac:dyDescent="0.25">
      <c r="A112" s="26"/>
      <c r="B112" s="11" t="str">
        <f>CONCATENATE("          ", "6248", " - ", "UNIFORMS")</f>
        <v xml:space="preserve">          6248 - UNIFORMS</v>
      </c>
      <c r="C112" s="11"/>
      <c r="D112" s="6"/>
      <c r="E112" s="2"/>
      <c r="F112" s="7">
        <f t="shared" si="79"/>
        <v>0</v>
      </c>
      <c r="G112" s="2"/>
      <c r="H112" s="6">
        <v>795.59</v>
      </c>
      <c r="I112" s="2"/>
      <c r="J112" s="7">
        <f t="shared" si="80"/>
        <v>6.7306844356262009E-4</v>
      </c>
      <c r="K112" s="2"/>
      <c r="L112" s="6">
        <f t="shared" si="81"/>
        <v>-795.59</v>
      </c>
      <c r="M112" s="2"/>
      <c r="N112" s="7">
        <f t="shared" si="82"/>
        <v>-1</v>
      </c>
      <c r="O112" s="11"/>
      <c r="P112" s="6">
        <v>4597.09</v>
      </c>
      <c r="Q112" s="2"/>
      <c r="R112" s="7">
        <f t="shared" si="83"/>
        <v>3.3332291257389746E-4</v>
      </c>
      <c r="S112" s="2"/>
      <c r="T112" s="6">
        <v>20268.169999999998</v>
      </c>
      <c r="U112" s="2"/>
      <c r="V112" s="7">
        <f t="shared" si="84"/>
        <v>1.1600474616834811E-3</v>
      </c>
      <c r="W112" s="2"/>
      <c r="X112" s="6">
        <f t="shared" si="85"/>
        <v>-15671.079999999998</v>
      </c>
      <c r="Y112" s="2"/>
      <c r="Z112" s="7">
        <f t="shared" si="86"/>
        <v>-0.7731867257872812</v>
      </c>
    </row>
    <row r="113" spans="1:26" s="27" customFormat="1" outlineLevel="1" collapsed="1" x14ac:dyDescent="0.25">
      <c r="A113" s="25"/>
      <c r="B113" s="13" t="str">
        <f>CONCATENATE("     ","Telephone/Data Lines                              ")</f>
        <v xml:space="preserve">     Telephone/Data Lines                              </v>
      </c>
      <c r="C113" s="13"/>
      <c r="D113" s="1">
        <f>SUM(OSRRefD22_22x_0)</f>
        <v>2130.15</v>
      </c>
      <c r="E113" s="1"/>
      <c r="F113" s="5">
        <f t="shared" ref="F113:F120" si="87">IF(D$12=0,0,D113/D$12)</f>
        <v>1.7379590356817846E-2</v>
      </c>
      <c r="G113" s="1"/>
      <c r="H113" s="1">
        <f>SUM(OSRRefH22_22x_0)</f>
        <v>2734.48</v>
      </c>
      <c r="I113" s="1"/>
      <c r="J113" s="5">
        <f t="shared" ref="J113:J120" si="88">IF(H$12=0,0,H113/H$12)</f>
        <v>2.3133676863121874E-3</v>
      </c>
      <c r="K113" s="1"/>
      <c r="L113" s="1">
        <f t="shared" ref="L113:L120" si="89">+D113-H113</f>
        <v>-604.32999999999993</v>
      </c>
      <c r="M113" s="1"/>
      <c r="N113" s="5">
        <f t="shared" ref="N113:N120" si="90">IF(H113=0,0,L113/H113)</f>
        <v>-0.2210036277464088</v>
      </c>
      <c r="O113" s="13"/>
      <c r="P113" s="1">
        <f>SUM(OSRRefP22_22x_0)</f>
        <v>27705.969999999998</v>
      </c>
      <c r="Q113" s="1"/>
      <c r="R113" s="5">
        <f t="shared" ref="R113:R120" si="91">IF(P$12=0,0,P113/P$12)</f>
        <v>2.0088870603109845E-3</v>
      </c>
      <c r="S113" s="1"/>
      <c r="T113" s="1">
        <f>SUM(OSRRefT22_22x_0)</f>
        <v>29040.639999999999</v>
      </c>
      <c r="U113" s="1"/>
      <c r="V113" s="5">
        <f t="shared" ref="V113:V120" si="92">IF(T$12=0,0,T113/T$12)</f>
        <v>1.6621392418587257E-3</v>
      </c>
      <c r="W113" s="1"/>
      <c r="X113" s="1">
        <f t="shared" ref="X113:X120" si="93">+P113-T113</f>
        <v>-1334.6700000000019</v>
      </c>
      <c r="Y113" s="1"/>
      <c r="Z113" s="5">
        <f t="shared" ref="Z113:Z120" si="94">IF(T113=0,0,X113/T113)</f>
        <v>-4.5958697879936596E-2</v>
      </c>
    </row>
    <row r="114" spans="1:26" s="24" customFormat="1" hidden="1" outlineLevel="2" x14ac:dyDescent="0.25">
      <c r="A114" s="26"/>
      <c r="B114" s="11" t="str">
        <f>CONCATENATE("          ", "6309", " - ", "TELEPHONE")</f>
        <v xml:space="preserve">          6309 - TELEPHONE</v>
      </c>
      <c r="C114" s="11"/>
      <c r="D114" s="6">
        <v>2130.15</v>
      </c>
      <c r="E114" s="2"/>
      <c r="F114" s="7">
        <f t="shared" si="87"/>
        <v>1.7379590356817846E-2</v>
      </c>
      <c r="G114" s="2"/>
      <c r="H114" s="6">
        <v>2734.48</v>
      </c>
      <c r="I114" s="2"/>
      <c r="J114" s="7">
        <f t="shared" si="88"/>
        <v>2.3133676863121874E-3</v>
      </c>
      <c r="K114" s="2"/>
      <c r="L114" s="6">
        <f t="shared" si="89"/>
        <v>-604.32999999999993</v>
      </c>
      <c r="M114" s="2"/>
      <c r="N114" s="7">
        <f t="shared" si="90"/>
        <v>-0.2210036277464088</v>
      </c>
      <c r="O114" s="11"/>
      <c r="P114" s="6">
        <v>27705.969999999998</v>
      </c>
      <c r="Q114" s="2"/>
      <c r="R114" s="7">
        <f t="shared" si="91"/>
        <v>2.0088870603109845E-3</v>
      </c>
      <c r="S114" s="2"/>
      <c r="T114" s="6">
        <v>29040.639999999999</v>
      </c>
      <c r="U114" s="2"/>
      <c r="V114" s="7">
        <f t="shared" si="92"/>
        <v>1.6621392418587257E-3</v>
      </c>
      <c r="W114" s="2"/>
      <c r="X114" s="6">
        <f t="shared" si="93"/>
        <v>-1334.6700000000019</v>
      </c>
      <c r="Y114" s="2"/>
      <c r="Z114" s="7">
        <f t="shared" si="94"/>
        <v>-4.5958697879936596E-2</v>
      </c>
    </row>
    <row r="115" spans="1:26" s="27" customFormat="1" outlineLevel="1" collapsed="1" x14ac:dyDescent="0.25">
      <c r="A115" s="25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SUM(OSRRefD22_23x_0)</f>
        <v>0</v>
      </c>
      <c r="E115" s="1"/>
      <c r="F115" s="5">
        <f t="shared" si="87"/>
        <v>0</v>
      </c>
      <c r="G115" s="1"/>
      <c r="H115" s="1">
        <f>SUM(OSRRefH22_23x_0)</f>
        <v>2067.66</v>
      </c>
      <c r="I115" s="1"/>
      <c r="J115" s="5">
        <f t="shared" si="88"/>
        <v>1.7492385500278874E-3</v>
      </c>
      <c r="K115" s="1"/>
      <c r="L115" s="1">
        <f t="shared" si="89"/>
        <v>-2067.66</v>
      </c>
      <c r="M115" s="1"/>
      <c r="N115" s="5">
        <f t="shared" si="90"/>
        <v>-1</v>
      </c>
      <c r="O115" s="13"/>
      <c r="P115" s="1">
        <f>SUM(OSRRefP22_23x_0)</f>
        <v>8521.24</v>
      </c>
      <c r="Q115" s="1"/>
      <c r="R115" s="5">
        <f t="shared" si="91"/>
        <v>6.1785271455229234E-4</v>
      </c>
      <c r="S115" s="1"/>
      <c r="T115" s="1">
        <f>SUM(OSRRefT22_23x_0)</f>
        <v>11894.06</v>
      </c>
      <c r="U115" s="1"/>
      <c r="V115" s="5">
        <f t="shared" si="92"/>
        <v>6.8075579157422827E-4</v>
      </c>
      <c r="W115" s="1"/>
      <c r="X115" s="1">
        <f t="shared" si="93"/>
        <v>-3372.8199999999997</v>
      </c>
      <c r="Y115" s="1"/>
      <c r="Z115" s="5">
        <f t="shared" si="94"/>
        <v>-0.28357179970506285</v>
      </c>
    </row>
    <row r="116" spans="1:26" s="24" customFormat="1" hidden="1" outlineLevel="2" x14ac:dyDescent="0.25">
      <c r="A116" s="26"/>
      <c r="B116" s="11" t="str">
        <f>CONCATENATE("          ", "6376", " - ", "TRAINING")</f>
        <v xml:space="preserve">          6376 - TRAINING</v>
      </c>
      <c r="C116" s="11"/>
      <c r="D116" s="6"/>
      <c r="E116" s="2"/>
      <c r="F116" s="7">
        <f t="shared" si="87"/>
        <v>0</v>
      </c>
      <c r="G116" s="2"/>
      <c r="H116" s="6">
        <v>2067.66</v>
      </c>
      <c r="I116" s="2"/>
      <c r="J116" s="7">
        <f t="shared" si="88"/>
        <v>1.7492385500278874E-3</v>
      </c>
      <c r="K116" s="2"/>
      <c r="L116" s="6">
        <f t="shared" si="89"/>
        <v>-2067.66</v>
      </c>
      <c r="M116" s="2"/>
      <c r="N116" s="7">
        <f t="shared" si="90"/>
        <v>-1</v>
      </c>
      <c r="O116" s="11"/>
      <c r="P116" s="6">
        <v>8521.24</v>
      </c>
      <c r="Q116" s="2"/>
      <c r="R116" s="7">
        <f t="shared" si="91"/>
        <v>6.1785271455229234E-4</v>
      </c>
      <c r="S116" s="2"/>
      <c r="T116" s="6">
        <v>11894.06</v>
      </c>
      <c r="U116" s="2"/>
      <c r="V116" s="7">
        <f t="shared" si="92"/>
        <v>6.8075579157422827E-4</v>
      </c>
      <c r="W116" s="2"/>
      <c r="X116" s="6">
        <f t="shared" si="93"/>
        <v>-3372.8199999999997</v>
      </c>
      <c r="Y116" s="2"/>
      <c r="Z116" s="7">
        <f t="shared" si="94"/>
        <v>-0.28357179970506285</v>
      </c>
    </row>
    <row r="117" spans="1:26" s="27" customFormat="1" outlineLevel="1" collapsed="1" x14ac:dyDescent="0.25">
      <c r="A117" s="25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SUM(OSRRefD22_24x_0)</f>
        <v>0</v>
      </c>
      <c r="E117" s="1"/>
      <c r="F117" s="5">
        <f t="shared" si="87"/>
        <v>0</v>
      </c>
      <c r="G117" s="1"/>
      <c r="H117" s="1">
        <f>SUM(OSRRefH22_24x_0)</f>
        <v>571.62</v>
      </c>
      <c r="I117" s="1"/>
      <c r="J117" s="5">
        <f t="shared" si="88"/>
        <v>4.8359001961973487E-4</v>
      </c>
      <c r="K117" s="1"/>
      <c r="L117" s="1">
        <f t="shared" si="89"/>
        <v>-571.62</v>
      </c>
      <c r="M117" s="1"/>
      <c r="N117" s="5">
        <f t="shared" si="90"/>
        <v>-1</v>
      </c>
      <c r="O117" s="13"/>
      <c r="P117" s="1">
        <f>SUM(OSRRefP22_24x_0)</f>
        <v>8235.58</v>
      </c>
      <c r="Q117" s="1"/>
      <c r="R117" s="5">
        <f t="shared" si="91"/>
        <v>5.9714025880183729E-4</v>
      </c>
      <c r="S117" s="1"/>
      <c r="T117" s="1">
        <f>SUM(OSRRefT22_24x_0)</f>
        <v>6601.5199999999995</v>
      </c>
      <c r="U117" s="1"/>
      <c r="V117" s="5">
        <f t="shared" si="92"/>
        <v>3.778375906286919E-4</v>
      </c>
      <c r="W117" s="1"/>
      <c r="X117" s="1">
        <f t="shared" si="93"/>
        <v>1634.0600000000004</v>
      </c>
      <c r="Y117" s="1"/>
      <c r="Z117" s="5">
        <f t="shared" si="94"/>
        <v>0.24752784207273484</v>
      </c>
    </row>
    <row r="118" spans="1:26" s="24" customFormat="1" hidden="1" outlineLevel="2" x14ac:dyDescent="0.25">
      <c r="A118" s="26"/>
      <c r="B118" s="11" t="str">
        <f>CONCATENATE("          ", "6292", " - ", "TRAVEL/CONFERENCE")</f>
        <v xml:space="preserve">          6292 - TRAVEL/CONFERENCE</v>
      </c>
      <c r="C118" s="11"/>
      <c r="D118" s="6"/>
      <c r="E118" s="2"/>
      <c r="F118" s="7">
        <f t="shared" si="87"/>
        <v>0</v>
      </c>
      <c r="G118" s="2"/>
      <c r="H118" s="6">
        <v>360.48</v>
      </c>
      <c r="I118" s="2"/>
      <c r="J118" s="7">
        <f t="shared" si="88"/>
        <v>3.0496576444582422E-4</v>
      </c>
      <c r="K118" s="2"/>
      <c r="L118" s="6">
        <f t="shared" si="89"/>
        <v>-360.48</v>
      </c>
      <c r="M118" s="2"/>
      <c r="N118" s="7">
        <f t="shared" si="90"/>
        <v>-1</v>
      </c>
      <c r="O118" s="11"/>
      <c r="P118" s="6">
        <v>6889.94</v>
      </c>
      <c r="Q118" s="2"/>
      <c r="R118" s="7">
        <f t="shared" si="91"/>
        <v>4.9957143937999883E-4</v>
      </c>
      <c r="S118" s="2"/>
      <c r="T118" s="6">
        <v>3383.41</v>
      </c>
      <c r="U118" s="2"/>
      <c r="V118" s="7">
        <f t="shared" si="92"/>
        <v>1.9364926297413664E-4</v>
      </c>
      <c r="W118" s="2"/>
      <c r="X118" s="6">
        <f t="shared" si="93"/>
        <v>3506.5299999999997</v>
      </c>
      <c r="Y118" s="2"/>
      <c r="Z118" s="7">
        <f t="shared" si="94"/>
        <v>1.0363893231976025</v>
      </c>
    </row>
    <row r="119" spans="1:26" s="24" customFormat="1" hidden="1" outlineLevel="2" x14ac:dyDescent="0.25">
      <c r="A119" s="26"/>
      <c r="B119" s="11" t="str">
        <f>CONCATENATE("          ", "6294", " - ", "TRAVEL OPERATIONAL")</f>
        <v xml:space="preserve">          6294 - TRAVEL OPERATIONAL</v>
      </c>
      <c r="C119" s="11"/>
      <c r="D119" s="6"/>
      <c r="E119" s="2"/>
      <c r="F119" s="7">
        <f t="shared" si="87"/>
        <v>0</v>
      </c>
      <c r="G119" s="2"/>
      <c r="H119" s="6"/>
      <c r="I119" s="2"/>
      <c r="J119" s="7">
        <f t="shared" si="88"/>
        <v>0</v>
      </c>
      <c r="K119" s="2"/>
      <c r="L119" s="6">
        <f t="shared" si="89"/>
        <v>0</v>
      </c>
      <c r="M119" s="2"/>
      <c r="N119" s="7">
        <f t="shared" si="90"/>
        <v>0</v>
      </c>
      <c r="O119" s="11"/>
      <c r="P119" s="6">
        <v>56.99</v>
      </c>
      <c r="Q119" s="2"/>
      <c r="R119" s="7">
        <f t="shared" si="91"/>
        <v>4.1321951033341559E-6</v>
      </c>
      <c r="S119" s="2"/>
      <c r="T119" s="6">
        <v>1927.4</v>
      </c>
      <c r="U119" s="2"/>
      <c r="V119" s="7">
        <f t="shared" si="92"/>
        <v>1.1031462029619555E-4</v>
      </c>
      <c r="W119" s="2"/>
      <c r="X119" s="6">
        <f t="shared" si="93"/>
        <v>-1870.41</v>
      </c>
      <c r="Y119" s="2"/>
      <c r="Z119" s="7">
        <f t="shared" si="94"/>
        <v>-0.97043166960672411</v>
      </c>
    </row>
    <row r="120" spans="1:26" s="24" customFormat="1" hidden="1" outlineLevel="2" x14ac:dyDescent="0.25">
      <c r="A120" s="26"/>
      <c r="B120" s="11" t="str">
        <f>CONCATENATE("          ", "6298", " - ", "VEHICLE MILEAGE")</f>
        <v xml:space="preserve">          6298 - VEHICLE MILEAGE</v>
      </c>
      <c r="C120" s="11"/>
      <c r="D120" s="6"/>
      <c r="E120" s="2"/>
      <c r="F120" s="7">
        <f t="shared" si="87"/>
        <v>0</v>
      </c>
      <c r="G120" s="2"/>
      <c r="H120" s="6">
        <v>211.14</v>
      </c>
      <c r="I120" s="2"/>
      <c r="J120" s="7">
        <f t="shared" si="88"/>
        <v>1.7862425517391068E-4</v>
      </c>
      <c r="K120" s="2"/>
      <c r="L120" s="6">
        <f t="shared" si="89"/>
        <v>-211.14</v>
      </c>
      <c r="M120" s="2"/>
      <c r="N120" s="7">
        <f t="shared" si="90"/>
        <v>-1</v>
      </c>
      <c r="O120" s="11"/>
      <c r="P120" s="6">
        <v>1288.6500000000001</v>
      </c>
      <c r="Q120" s="2"/>
      <c r="R120" s="7">
        <f t="shared" si="91"/>
        <v>9.3436624318504302E-5</v>
      </c>
      <c r="S120" s="2"/>
      <c r="T120" s="6">
        <v>1290.71</v>
      </c>
      <c r="U120" s="2"/>
      <c r="V120" s="7">
        <f t="shared" si="92"/>
        <v>7.3873707358359741E-5</v>
      </c>
      <c r="W120" s="2"/>
      <c r="X120" s="6">
        <f t="shared" si="93"/>
        <v>-2.0599999999999454</v>
      </c>
      <c r="Y120" s="2"/>
      <c r="Z120" s="7">
        <f t="shared" si="94"/>
        <v>-1.596020794756332E-3</v>
      </c>
    </row>
    <row r="121" spans="1:26" s="27" customFormat="1" outlineLevel="1" collapsed="1" x14ac:dyDescent="0.25">
      <c r="A121" s="25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SUM(OSRRefD22_25x_0)</f>
        <v>15583</v>
      </c>
      <c r="E121" s="1"/>
      <c r="F121" s="5">
        <f t="shared" ref="F121:F122" si="95">IF(D$12=0,0,D121/D$12)</f>
        <v>0.12713947681162946</v>
      </c>
      <c r="G121" s="1"/>
      <c r="H121" s="1">
        <f>SUM(OSRRefH22_25x_0)</f>
        <v>13691</v>
      </c>
      <c r="I121" s="1"/>
      <c r="J121" s="5">
        <f t="shared" ref="J121:J122" si="96">IF(H$12=0,0,H121/H$12)</f>
        <v>1.1582574015279014E-2</v>
      </c>
      <c r="K121" s="1"/>
      <c r="L121" s="1">
        <f t="shared" ref="L121:L122" si="97">+D121-H121</f>
        <v>1892</v>
      </c>
      <c r="M121" s="1"/>
      <c r="N121" s="5">
        <f t="shared" ref="N121:N122" si="98">IF(H121=0,0,L121/H121)</f>
        <v>0.13819297348623183</v>
      </c>
      <c r="O121" s="13"/>
      <c r="P121" s="1">
        <f>SUM(OSRRefP22_25x_0)</f>
        <v>174802</v>
      </c>
      <c r="Q121" s="1"/>
      <c r="R121" s="5">
        <f t="shared" ref="R121:R122" si="99">IF(P$12=0,0,P121/P$12)</f>
        <v>1.2674433557694632E-2</v>
      </c>
      <c r="S121" s="1"/>
      <c r="T121" s="1">
        <f>SUM(OSRRefT22_25x_0)</f>
        <v>127520.62000000001</v>
      </c>
      <c r="U121" s="1"/>
      <c r="V121" s="5">
        <f t="shared" ref="V121:V122" si="100">IF(T$12=0,0,T121/T$12)</f>
        <v>7.2986348320200484E-3</v>
      </c>
      <c r="W121" s="1"/>
      <c r="X121" s="1">
        <f t="shared" ref="X121:X122" si="101">+P121-T121</f>
        <v>47281.37999999999</v>
      </c>
      <c r="Y121" s="1"/>
      <c r="Z121" s="5">
        <f t="shared" ref="Z121:Z122" si="102">IF(T121=0,0,X121/T121)</f>
        <v>0.37077438927131928</v>
      </c>
    </row>
    <row r="122" spans="1:26" s="24" customFormat="1" hidden="1" outlineLevel="2" x14ac:dyDescent="0.25">
      <c r="A122" s="26"/>
      <c r="B122" s="11" t="str">
        <f>CONCATENATE("          ", "6274", " - ", "UTILITIES")</f>
        <v xml:space="preserve">          6274 - UTILITIES</v>
      </c>
      <c r="C122" s="11"/>
      <c r="D122" s="6">
        <v>15583</v>
      </c>
      <c r="E122" s="2"/>
      <c r="F122" s="7">
        <f t="shared" si="95"/>
        <v>0.12713947681162946</v>
      </c>
      <c r="G122" s="2"/>
      <c r="H122" s="6">
        <v>13691</v>
      </c>
      <c r="I122" s="2"/>
      <c r="J122" s="7">
        <f t="shared" si="96"/>
        <v>1.1582574015279014E-2</v>
      </c>
      <c r="K122" s="2"/>
      <c r="L122" s="6">
        <f t="shared" si="97"/>
        <v>1892</v>
      </c>
      <c r="M122" s="2"/>
      <c r="N122" s="7">
        <f t="shared" si="98"/>
        <v>0.13819297348623183</v>
      </c>
      <c r="O122" s="11"/>
      <c r="P122" s="6">
        <v>174802</v>
      </c>
      <c r="Q122" s="2"/>
      <c r="R122" s="7">
        <f t="shared" si="99"/>
        <v>1.2674433557694632E-2</v>
      </c>
      <c r="S122" s="2"/>
      <c r="T122" s="6">
        <v>127520.62000000001</v>
      </c>
      <c r="U122" s="2"/>
      <c r="V122" s="7">
        <f t="shared" si="100"/>
        <v>7.2986348320200484E-3</v>
      </c>
      <c r="W122" s="2"/>
      <c r="X122" s="6">
        <f t="shared" si="101"/>
        <v>47281.37999999999</v>
      </c>
      <c r="Y122" s="2"/>
      <c r="Z122" s="7">
        <f t="shared" si="102"/>
        <v>0.37077438927131928</v>
      </c>
    </row>
    <row r="123" spans="1:26" s="58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8" t="s">
        <v>0</v>
      </c>
      <c r="C124" s="10"/>
      <c r="D124" s="4">
        <f>SUM(OSRRefD25x_0)</f>
        <v>6624.89</v>
      </c>
      <c r="E124" s="4"/>
      <c r="F124" s="12">
        <f t="shared" ref="F124:F127" si="103">IF(D$12=0,0,D124/D$12)</f>
        <v>5.4051533628607831E-2</v>
      </c>
      <c r="G124" s="4"/>
      <c r="H124" s="4">
        <f>SUM(OSRRefH25x_0)</f>
        <v>49624.46</v>
      </c>
      <c r="I124" s="4"/>
      <c r="J124" s="12">
        <f t="shared" ref="J124:J127" si="104">IF(H$12=0,0,H124/H$12)</f>
        <v>4.1982249720126569E-2</v>
      </c>
      <c r="K124" s="4"/>
      <c r="L124" s="4">
        <f t="shared" ref="L124:L127" si="105">+D124-H124</f>
        <v>-42999.57</v>
      </c>
      <c r="M124" s="4"/>
      <c r="N124" s="12">
        <f t="shared" ref="N124:N127" si="106">IF(H124=0,0,L124/H124)</f>
        <v>-0.86649950447823509</v>
      </c>
      <c r="O124" s="10"/>
      <c r="P124" s="4">
        <f>SUM(OSRRefP25x_0)</f>
        <v>687198.88</v>
      </c>
      <c r="Q124" s="4"/>
      <c r="R124" s="12">
        <f t="shared" ref="R124:R127" si="107">IF(P$12=0,0,P124/P$12)</f>
        <v>4.9826984505224006E-2</v>
      </c>
      <c r="S124" s="4"/>
      <c r="T124" s="4">
        <f>SUM(OSRRefT25x_0)</f>
        <v>678746.83</v>
      </c>
      <c r="U124" s="4"/>
      <c r="V124" s="12">
        <f t="shared" ref="V124:V127" si="108">IF(T$12=0,0,T124/T$12)</f>
        <v>3.8848033012709546E-2</v>
      </c>
      <c r="W124" s="4"/>
      <c r="X124" s="4">
        <f t="shared" ref="X124:X127" si="109">+P124-T124</f>
        <v>8452.0500000000466</v>
      </c>
      <c r="Y124" s="4"/>
      <c r="Z124" s="12">
        <f t="shared" ref="Z124:Z127" si="110">IF(T124=0,0,X124/T124)</f>
        <v>1.2452433847831079E-2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 t="shared" ref="D125:D126" si="111">0</f>
        <v>0</v>
      </c>
      <c r="E125" s="2"/>
      <c r="F125" s="19">
        <f t="shared" si="103"/>
        <v>0</v>
      </c>
      <c r="G125" s="2"/>
      <c r="H125" s="2">
        <f>--44818.61</f>
        <v>44818.61</v>
      </c>
      <c r="I125" s="2"/>
      <c r="J125" s="19">
        <f t="shared" si="104"/>
        <v>3.7916504827034125E-2</v>
      </c>
      <c r="K125" s="2"/>
      <c r="L125" s="2">
        <f t="shared" si="105"/>
        <v>-44818.61</v>
      </c>
      <c r="M125" s="2"/>
      <c r="N125" s="19">
        <f t="shared" si="106"/>
        <v>-1</v>
      </c>
      <c r="O125" s="11"/>
      <c r="P125" s="2">
        <f>--313984.54</f>
        <v>313984.53999999998</v>
      </c>
      <c r="Q125" s="2"/>
      <c r="R125" s="19">
        <f t="shared" si="107"/>
        <v>2.2766193695571632E-2</v>
      </c>
      <c r="S125" s="2"/>
      <c r="T125" s="2">
        <f>--347172.16</f>
        <v>347172.16</v>
      </c>
      <c r="U125" s="2"/>
      <c r="V125" s="19">
        <f t="shared" si="108"/>
        <v>1.9870377196124334E-2</v>
      </c>
      <c r="W125" s="2"/>
      <c r="X125" s="2">
        <f t="shared" si="109"/>
        <v>-33187.619999999995</v>
      </c>
      <c r="Y125" s="2"/>
      <c r="Z125" s="19">
        <f t="shared" si="110"/>
        <v>-9.5594128284940807E-2</v>
      </c>
    </row>
    <row r="126" spans="1:26" s="24" customFormat="1" hidden="1" outlineLevel="1" x14ac:dyDescent="0.25">
      <c r="A126" s="44"/>
      <c r="B126" s="11" t="str">
        <f>CONCATENATE("          ", "9160", " - ", "MISC. INCOME")</f>
        <v xml:space="preserve">          9160 - MISC. INCOME</v>
      </c>
      <c r="C126" s="11"/>
      <c r="D126" s="2">
        <f t="shared" si="111"/>
        <v>0</v>
      </c>
      <c r="E126" s="2"/>
      <c r="F126" s="19">
        <f t="shared" si="103"/>
        <v>0</v>
      </c>
      <c r="G126" s="2"/>
      <c r="H126" s="2">
        <f>0</f>
        <v>0</v>
      </c>
      <c r="I126" s="2"/>
      <c r="J126" s="19">
        <f t="shared" si="104"/>
        <v>0</v>
      </c>
      <c r="K126" s="2"/>
      <c r="L126" s="2">
        <f t="shared" si="105"/>
        <v>0</v>
      </c>
      <c r="M126" s="2"/>
      <c r="N126" s="19">
        <f t="shared" si="106"/>
        <v>0</v>
      </c>
      <c r="O126" s="11"/>
      <c r="P126" s="2">
        <f>--130089.32</f>
        <v>130089.32</v>
      </c>
      <c r="Q126" s="2"/>
      <c r="R126" s="19">
        <f t="shared" si="107"/>
        <v>9.4324346569585917E-3</v>
      </c>
      <c r="S126" s="2"/>
      <c r="T126" s="2">
        <f>--86579.56</f>
        <v>86579.56</v>
      </c>
      <c r="U126" s="2"/>
      <c r="V126" s="19">
        <f t="shared" si="108"/>
        <v>4.9553757843787899E-3</v>
      </c>
      <c r="W126" s="2"/>
      <c r="X126" s="2">
        <f t="shared" si="109"/>
        <v>43509.760000000009</v>
      </c>
      <c r="Y126" s="2"/>
      <c r="Z126" s="19">
        <f t="shared" si="110"/>
        <v>0.50254078445305117</v>
      </c>
    </row>
    <row r="127" spans="1:26" s="24" customFormat="1" hidden="1" outlineLevel="1" x14ac:dyDescent="0.25">
      <c r="A127" s="44"/>
      <c r="B127" s="11" t="str">
        <f>CONCATENATE("          ", "9165", " - ", "OTHER INCOME")</f>
        <v xml:space="preserve">          9165 - OTHER INCOME</v>
      </c>
      <c r="C127" s="11"/>
      <c r="D127" s="2">
        <f>--6624.89</f>
        <v>6624.89</v>
      </c>
      <c r="E127" s="2"/>
      <c r="F127" s="19">
        <f t="shared" si="103"/>
        <v>5.4051533628607831E-2</v>
      </c>
      <c r="G127" s="2"/>
      <c r="H127" s="2">
        <f>--4805.85</f>
        <v>4805.8500000000004</v>
      </c>
      <c r="I127" s="2"/>
      <c r="J127" s="19">
        <f t="shared" si="104"/>
        <v>4.0657448930924442E-3</v>
      </c>
      <c r="K127" s="2"/>
      <c r="L127" s="2">
        <f t="shared" si="105"/>
        <v>1819.04</v>
      </c>
      <c r="M127" s="2"/>
      <c r="N127" s="19">
        <f t="shared" si="106"/>
        <v>0.37850536325519935</v>
      </c>
      <c r="O127" s="11"/>
      <c r="P127" s="2">
        <f>--243125.02</f>
        <v>243125.02</v>
      </c>
      <c r="Q127" s="2"/>
      <c r="R127" s="19">
        <f t="shared" si="107"/>
        <v>1.7628356152693783E-2</v>
      </c>
      <c r="S127" s="2"/>
      <c r="T127" s="2">
        <f>--244995.11</f>
        <v>244995.11</v>
      </c>
      <c r="U127" s="2"/>
      <c r="V127" s="19">
        <f t="shared" si="108"/>
        <v>1.4022280032206421E-2</v>
      </c>
      <c r="W127" s="2"/>
      <c r="X127" s="2">
        <f t="shared" si="109"/>
        <v>-1870.0899999999965</v>
      </c>
      <c r="Y127" s="2"/>
      <c r="Z127" s="19">
        <f t="shared" si="110"/>
        <v>-7.6331727600603807E-3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1">
        <f>+D31-D33+D124</f>
        <v>-227513.84000000005</v>
      </c>
      <c r="E129" s="14"/>
      <c r="F129" s="20">
        <f>IF(D$12=0,0,D129/D$12)</f>
        <v>-1.8562530055191413</v>
      </c>
      <c r="G129" s="14"/>
      <c r="H129" s="21">
        <f>+H31-H33+H124</f>
        <v>-173847.46999999971</v>
      </c>
      <c r="I129" s="14"/>
      <c r="J129" s="20">
        <f>IF(H$12=0,0,H129/H$12)</f>
        <v>-0.14707480743875501</v>
      </c>
      <c r="K129" s="16"/>
      <c r="L129" s="21">
        <f>+D129-H129</f>
        <v>-53666.370000000345</v>
      </c>
      <c r="M129" s="16"/>
      <c r="N129" s="20">
        <f>IF(H129=0,0,L129/H129)</f>
        <v>0.30869802131719509</v>
      </c>
      <c r="O129" s="28"/>
      <c r="P129" s="21">
        <f>+P31-P33+P124</f>
        <v>1130196.7799999947</v>
      </c>
      <c r="Q129" s="14"/>
      <c r="R129" s="20">
        <f>IF(P$12=0,0,P129/P$12)</f>
        <v>8.1947597826285454E-2</v>
      </c>
      <c r="S129" s="14"/>
      <c r="T129" s="21">
        <f>+T31-T33+T124</f>
        <v>3124128.1199999899</v>
      </c>
      <c r="U129" s="14"/>
      <c r="V129" s="20">
        <f>IF(T$12=0,0,T129/T$12)</f>
        <v>0.17880928054086651</v>
      </c>
      <c r="W129" s="16"/>
      <c r="X129" s="21">
        <f>+P129-T129</f>
        <v>-1993931.3399999952</v>
      </c>
      <c r="Y129" s="16"/>
      <c r="Z129" s="20">
        <f>IF(T129=0,0,X129/T129)</f>
        <v>-0.6382360976924345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1"/>
      <c r="B131" s="10" t="s">
        <v>13</v>
      </c>
      <c r="C131" s="10"/>
      <c r="D131" s="4">
        <v>81120.37000000001</v>
      </c>
      <c r="E131" s="4"/>
      <c r="F131" s="12">
        <f>IF(D$12=0,0,D131/D$12)</f>
        <v>0.66184954120296491</v>
      </c>
      <c r="G131" s="4"/>
      <c r="H131" s="4">
        <v>123861.40999999999</v>
      </c>
      <c r="I131" s="4"/>
      <c r="J131" s="12">
        <f>IF(H$12=0,0,H131/H$12)</f>
        <v>0.10478664443516325</v>
      </c>
      <c r="K131" s="4"/>
      <c r="L131" s="4">
        <f>+D131-H131</f>
        <v>-42741.039999999979</v>
      </c>
      <c r="M131" s="4"/>
      <c r="N131" s="12">
        <f>IF(H131=0,0,L131/H131)</f>
        <v>-0.34507147948662931</v>
      </c>
      <c r="O131" s="10"/>
      <c r="P131" s="4">
        <v>1633152.8099999998</v>
      </c>
      <c r="Q131" s="4"/>
      <c r="R131" s="12">
        <f>IF(P$12=0,0,P131/P$12)</f>
        <v>0.11841561755533281</v>
      </c>
      <c r="S131" s="4"/>
      <c r="T131" s="4">
        <v>1817326.59</v>
      </c>
      <c r="U131" s="4"/>
      <c r="V131" s="12">
        <f>IF(T$12=0,0,T131/T$12)</f>
        <v>0.10401457545399494</v>
      </c>
      <c r="W131" s="4"/>
      <c r="X131" s="4">
        <f>+P131-T131</f>
        <v>-184173.78000000026</v>
      </c>
      <c r="Y131" s="4"/>
      <c r="Z131" s="12">
        <f>IF(T131=0,0,X131/T131)</f>
        <v>-0.10134324838112904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5">
        <f>+D129-D131</f>
        <v>-308634.21000000008</v>
      </c>
      <c r="E133" s="14"/>
      <c r="F133" s="32">
        <f>IF(D$12=0,0,D133/D$12)</f>
        <v>-2.5181025467221065</v>
      </c>
      <c r="G133" s="14"/>
      <c r="H133" s="35">
        <f>+H129-H131</f>
        <v>-297708.87999999971</v>
      </c>
      <c r="I133" s="14"/>
      <c r="J133" s="32">
        <f>IF(H$12=0,0,H133/H$12)</f>
        <v>-0.25186145187391829</v>
      </c>
      <c r="K133" s="16"/>
      <c r="L133" s="35">
        <f>D133-H133</f>
        <v>-10925.330000000366</v>
      </c>
      <c r="M133" s="16"/>
      <c r="N133" s="32">
        <f>IF(H133=0,0,L133/H133)</f>
        <v>3.6698031983461075E-2</v>
      </c>
      <c r="O133" s="28"/>
      <c r="P133" s="35">
        <f>+P129-P131</f>
        <v>-502956.03000000515</v>
      </c>
      <c r="Q133" s="14"/>
      <c r="R133" s="32">
        <f>IF(P$12=0,0,P133/P$12)</f>
        <v>-3.6468019729047348E-2</v>
      </c>
      <c r="S133" s="14"/>
      <c r="T133" s="35">
        <f>+T129-T131</f>
        <v>1306801.5299999898</v>
      </c>
      <c r="U133" s="14"/>
      <c r="V133" s="32">
        <f>IF(T$12=0,0,T133/T$12)</f>
        <v>7.4794705086871568E-2</v>
      </c>
      <c r="W133" s="16"/>
      <c r="X133" s="35">
        <f>P133-T133</f>
        <v>-1809757.5599999949</v>
      </c>
      <c r="Y133" s="16"/>
      <c r="Z133" s="32">
        <f>IF(T133=0,0,X133/T133)</f>
        <v>-1.3848756054027647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6">
        <f>SUM(D133:D135)</f>
        <v>-308634.21000000008</v>
      </c>
      <c r="E136" s="14"/>
      <c r="F136" s="33">
        <f>IF(D$12=0,0,D136/D$12)</f>
        <v>-2.5181025467221065</v>
      </c>
      <c r="G136" s="14"/>
      <c r="H136" s="36">
        <f>SUM(H133:H135)</f>
        <v>-297708.87999999971</v>
      </c>
      <c r="I136" s="14"/>
      <c r="J136" s="33">
        <f>IF(H$12=0,0,H136/H$12)</f>
        <v>-0.25186145187391829</v>
      </c>
      <c r="K136" s="16"/>
      <c r="L136" s="36">
        <f>+D136-H136</f>
        <v>-10925.330000000366</v>
      </c>
      <c r="M136" s="16"/>
      <c r="N136" s="33">
        <f>IF(H136=0,0,L136/H136)</f>
        <v>3.6698031983461075E-2</v>
      </c>
      <c r="O136" s="28"/>
      <c r="P136" s="36">
        <f>SUM(P133:P135)</f>
        <v>-502956.03000000515</v>
      </c>
      <c r="Q136" s="14"/>
      <c r="R136" s="33">
        <f>IF(P$12=0,0,P136/P$12)</f>
        <v>-3.6468019729047348E-2</v>
      </c>
      <c r="S136" s="14"/>
      <c r="T136" s="36">
        <f>SUM(T133:T135)</f>
        <v>1306801.5299999898</v>
      </c>
      <c r="U136" s="14"/>
      <c r="V136" s="33">
        <f>IF(T$12=0,0,T136/T$12)</f>
        <v>7.4794705086871568E-2</v>
      </c>
      <c r="W136" s="16"/>
      <c r="X136" s="36">
        <f>+P136-T136</f>
        <v>-1809757.5599999949</v>
      </c>
      <c r="Y136" s="16"/>
      <c r="Z136" s="33">
        <f>IF(T136=0,0,X136/T136)</f>
        <v>-1.3848756054027647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5">
        <v>43992.374942326387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2" t="s">
        <v>313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3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28.36</v>
      </c>
      <c r="E12" s="4"/>
      <c r="F12" s="12"/>
      <c r="G12" s="4"/>
      <c r="H12" s="4">
        <f>SUM(OSRRefH13x_0)</f>
        <v>729454.09</v>
      </c>
      <c r="I12" s="4"/>
      <c r="J12" s="12"/>
      <c r="K12" s="4"/>
      <c r="L12" s="4">
        <f t="shared" ref="L12:L33" si="0">+D12-H12</f>
        <v>-729425.73</v>
      </c>
      <c r="M12" s="4"/>
      <c r="N12" s="12">
        <f t="shared" ref="N12:N33" si="1">IF(H12=0,0,L12/H12)</f>
        <v>-0.99996112161081996</v>
      </c>
      <c r="O12" s="10"/>
      <c r="P12" s="4">
        <f>SUM(OSRRefP13x_0)</f>
        <v>6984151.5999999996</v>
      </c>
      <c r="Q12" s="4"/>
      <c r="R12" s="12"/>
      <c r="S12" s="4"/>
      <c r="T12" s="4">
        <f>SUM(OSRRefT13x_0)</f>
        <v>9671500.7599999998</v>
      </c>
      <c r="U12" s="4"/>
      <c r="V12" s="12"/>
      <c r="W12" s="4"/>
      <c r="X12" s="4">
        <f t="shared" ref="X12:X33" si="2">+P12-T12</f>
        <v>-2687349.16</v>
      </c>
      <c r="Y12" s="4"/>
      <c r="Z12" s="12">
        <f t="shared" ref="Z12:Z33" si="3">IF(T12=0,0,X12/T12)</f>
        <v>-0.27786268405359671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1" si="4">0</f>
        <v>0</v>
      </c>
      <c r="E13" s="2"/>
      <c r="F13" s="19"/>
      <c r="G13" s="2"/>
      <c r="H13" s="2">
        <f>--24101.79</f>
        <v>24101.79</v>
      </c>
      <c r="I13" s="2"/>
      <c r="J13" s="19"/>
      <c r="K13" s="2"/>
      <c r="L13" s="2">
        <f t="shared" si="0"/>
        <v>-24101.79</v>
      </c>
      <c r="M13" s="2"/>
      <c r="N13" s="19">
        <f t="shared" si="1"/>
        <v>-1</v>
      </c>
      <c r="O13" s="11"/>
      <c r="P13" s="2">
        <f>--275749.46</f>
        <v>275749.46000000002</v>
      </c>
      <c r="Q13" s="2"/>
      <c r="R13" s="19"/>
      <c r="S13" s="2"/>
      <c r="T13" s="2">
        <f>--365458.77</f>
        <v>365458.77</v>
      </c>
      <c r="U13" s="2"/>
      <c r="V13" s="19"/>
      <c r="W13" s="2"/>
      <c r="X13" s="2">
        <f t="shared" si="2"/>
        <v>-89709.31</v>
      </c>
      <c r="Y13" s="2"/>
      <c r="Z13" s="19">
        <f t="shared" si="3"/>
        <v>-0.24547039875387308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--270.85</f>
        <v>270.85000000000002</v>
      </c>
      <c r="I15" s="2"/>
      <c r="J15" s="19"/>
      <c r="K15" s="2"/>
      <c r="L15" s="2">
        <f t="shared" si="0"/>
        <v>-270.85000000000002</v>
      </c>
      <c r="M15" s="2"/>
      <c r="N15" s="19">
        <f t="shared" si="1"/>
        <v>-1</v>
      </c>
      <c r="O15" s="11"/>
      <c r="P15" s="2">
        <f>--3121.95</f>
        <v>3121.95</v>
      </c>
      <c r="Q15" s="2"/>
      <c r="R15" s="19"/>
      <c r="S15" s="2"/>
      <c r="T15" s="2">
        <f>--2710.12</f>
        <v>2710.12</v>
      </c>
      <c r="U15" s="2"/>
      <c r="V15" s="19"/>
      <c r="W15" s="2"/>
      <c r="X15" s="2">
        <f t="shared" si="2"/>
        <v>411.82999999999993</v>
      </c>
      <c r="Y15" s="2"/>
      <c r="Z15" s="19">
        <f t="shared" si="3"/>
        <v>0.15196006080911545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>
        <f>--93067.32</f>
        <v>93067.32</v>
      </c>
      <c r="I16" s="2"/>
      <c r="J16" s="19"/>
      <c r="K16" s="2"/>
      <c r="L16" s="2">
        <f t="shared" si="0"/>
        <v>-93067.32</v>
      </c>
      <c r="M16" s="2"/>
      <c r="N16" s="19">
        <f t="shared" si="1"/>
        <v>-1</v>
      </c>
      <c r="O16" s="11"/>
      <c r="P16" s="2">
        <f>--604143.21</f>
        <v>604143.21</v>
      </c>
      <c r="Q16" s="2"/>
      <c r="R16" s="19"/>
      <c r="S16" s="2"/>
      <c r="T16" s="2">
        <f>--905180.44</f>
        <v>905180.44</v>
      </c>
      <c r="U16" s="2"/>
      <c r="V16" s="19"/>
      <c r="W16" s="2"/>
      <c r="X16" s="2">
        <f t="shared" si="2"/>
        <v>-301037.23</v>
      </c>
      <c r="Y16" s="2"/>
      <c r="Z16" s="19">
        <f t="shared" si="3"/>
        <v>-0.33257151469159013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>
        <f>--163430.84</f>
        <v>163430.84</v>
      </c>
      <c r="I17" s="2"/>
      <c r="J17" s="19"/>
      <c r="K17" s="2"/>
      <c r="L17" s="2">
        <f t="shared" si="0"/>
        <v>-163430.84</v>
      </c>
      <c r="M17" s="2"/>
      <c r="N17" s="19">
        <f t="shared" si="1"/>
        <v>-1</v>
      </c>
      <c r="O17" s="11"/>
      <c r="P17" s="2">
        <f>--836487.29</f>
        <v>836487.29</v>
      </c>
      <c r="Q17" s="2"/>
      <c r="R17" s="19"/>
      <c r="S17" s="2"/>
      <c r="T17" s="2">
        <f>--1520771.04</f>
        <v>1520771.04</v>
      </c>
      <c r="U17" s="2"/>
      <c r="V17" s="19"/>
      <c r="W17" s="2"/>
      <c r="X17" s="2">
        <f t="shared" si="2"/>
        <v>-684283.75</v>
      </c>
      <c r="Y17" s="2"/>
      <c r="Z17" s="19">
        <f t="shared" si="3"/>
        <v>-0.44995843029730498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>
        <f>--25265.42</f>
        <v>25265.42</v>
      </c>
      <c r="I18" s="2"/>
      <c r="J18" s="19"/>
      <c r="K18" s="2"/>
      <c r="L18" s="2">
        <f t="shared" si="0"/>
        <v>-25265.42</v>
      </c>
      <c r="M18" s="2"/>
      <c r="N18" s="19">
        <f t="shared" si="1"/>
        <v>-1</v>
      </c>
      <c r="O18" s="11"/>
      <c r="P18" s="2">
        <f>--253270.4</f>
        <v>253270.39999999999</v>
      </c>
      <c r="Q18" s="2"/>
      <c r="R18" s="19"/>
      <c r="S18" s="2"/>
      <c r="T18" s="2">
        <f>--313752.32</f>
        <v>313752.32000000001</v>
      </c>
      <c r="U18" s="2"/>
      <c r="V18" s="19"/>
      <c r="W18" s="2"/>
      <c r="X18" s="2">
        <f t="shared" si="2"/>
        <v>-60481.920000000013</v>
      </c>
      <c r="Y18" s="2"/>
      <c r="Z18" s="19">
        <f t="shared" si="3"/>
        <v>-0.19276963434087122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>
        <f>--44427.98</f>
        <v>44427.98</v>
      </c>
      <c r="I19" s="2"/>
      <c r="J19" s="19"/>
      <c r="K19" s="2"/>
      <c r="L19" s="2">
        <f t="shared" si="0"/>
        <v>-44427.98</v>
      </c>
      <c r="M19" s="2"/>
      <c r="N19" s="19">
        <f t="shared" si="1"/>
        <v>-1</v>
      </c>
      <c r="O19" s="11"/>
      <c r="P19" s="2">
        <f>--381406.04</f>
        <v>381406.04</v>
      </c>
      <c r="Q19" s="2"/>
      <c r="R19" s="19"/>
      <c r="S19" s="2"/>
      <c r="T19" s="2">
        <f>--609662.95</f>
        <v>609662.94999999995</v>
      </c>
      <c r="U19" s="2"/>
      <c r="V19" s="19"/>
      <c r="W19" s="2"/>
      <c r="X19" s="2">
        <f t="shared" si="2"/>
        <v>-228256.90999999997</v>
      </c>
      <c r="Y19" s="2"/>
      <c r="Z19" s="19">
        <f t="shared" si="3"/>
        <v>-0.37439852626766967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 t="shared" si="4"/>
        <v>0</v>
      </c>
      <c r="E21" s="2"/>
      <c r="F21" s="19"/>
      <c r="G21" s="2"/>
      <c r="H21" s="2">
        <f>--5581.94</f>
        <v>5581.94</v>
      </c>
      <c r="I21" s="2"/>
      <c r="J21" s="19"/>
      <c r="K21" s="2"/>
      <c r="L21" s="2">
        <f t="shared" si="0"/>
        <v>-5581.94</v>
      </c>
      <c r="M21" s="2"/>
      <c r="N21" s="19">
        <f t="shared" si="1"/>
        <v>-1</v>
      </c>
      <c r="O21" s="11"/>
      <c r="P21" s="2">
        <f>--117077.57</f>
        <v>117077.57</v>
      </c>
      <c r="Q21" s="2"/>
      <c r="R21" s="19"/>
      <c r="S21" s="2"/>
      <c r="T21" s="2">
        <f>--200045.36</f>
        <v>200045.36</v>
      </c>
      <c r="U21" s="2"/>
      <c r="V21" s="19"/>
      <c r="W21" s="2"/>
      <c r="X21" s="2">
        <f t="shared" si="2"/>
        <v>-82967.789999999979</v>
      </c>
      <c r="Y21" s="2"/>
      <c r="Z21" s="19">
        <f t="shared" si="3"/>
        <v>-0.41474488585988689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>--2.48</f>
        <v>2.48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2.48</v>
      </c>
      <c r="M22" s="2"/>
      <c r="N22" s="19">
        <f t="shared" si="1"/>
        <v>0</v>
      </c>
      <c r="O22" s="11"/>
      <c r="P22" s="2">
        <f>--2.48</f>
        <v>2.48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2.48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"4132", " - ", "NON-TAXABLE SALES-JUICE")</f>
        <v xml:space="preserve">          4132 - NON-TAXABLE SALES-JUICE</v>
      </c>
      <c r="C23" s="11"/>
      <c r="D23" s="2">
        <f t="shared" ref="D23:D24" si="5">0</f>
        <v>0</v>
      </c>
      <c r="E23" s="2"/>
      <c r="F23" s="19"/>
      <c r="G23" s="2"/>
      <c r="H23" s="2">
        <f>--66183.35</f>
        <v>66183.350000000006</v>
      </c>
      <c r="I23" s="2"/>
      <c r="J23" s="19"/>
      <c r="K23" s="2"/>
      <c r="L23" s="2">
        <f t="shared" si="0"/>
        <v>-66183.350000000006</v>
      </c>
      <c r="M23" s="2"/>
      <c r="N23" s="19">
        <f t="shared" si="1"/>
        <v>-1</v>
      </c>
      <c r="O23" s="11"/>
      <c r="P23" s="2">
        <f>--1093778.15</f>
        <v>1093778.1499999999</v>
      </c>
      <c r="Q23" s="2"/>
      <c r="R23" s="19"/>
      <c r="S23" s="2"/>
      <c r="T23" s="2">
        <f>--1285332.53</f>
        <v>1285332.53</v>
      </c>
      <c r="U23" s="2"/>
      <c r="V23" s="19"/>
      <c r="W23" s="2"/>
      <c r="X23" s="2">
        <f t="shared" si="2"/>
        <v>-191554.38000000012</v>
      </c>
      <c r="Y23" s="2"/>
      <c r="Z23" s="19">
        <f t="shared" si="3"/>
        <v>-0.14903099044727369</v>
      </c>
    </row>
    <row r="24" spans="1:26" s="24" customFormat="1" hidden="1" outlineLevel="1" x14ac:dyDescent="0.25">
      <c r="A24" s="44"/>
      <c r="B24" s="11" t="str">
        <f>CONCATENATE("          ", "4133", " - ", "NON-TAXABLE SALES-CANDY")</f>
        <v xml:space="preserve">          4133 - NON-TAXABLE SALES-CANDY</v>
      </c>
      <c r="C24" s="11"/>
      <c r="D24" s="2">
        <f t="shared" si="5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--1.59</f>
        <v>1.59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1.59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"4134", " - ", "NON-TAXABLE SALES-SODA")</f>
        <v xml:space="preserve">          4134 - NON-TAXABLE SALES-SODA</v>
      </c>
      <c r="C25" s="11"/>
      <c r="D25" s="2">
        <f>--23.64</f>
        <v>23.64</v>
      </c>
      <c r="E25" s="2"/>
      <c r="F25" s="19"/>
      <c r="G25" s="2"/>
      <c r="H25" s="2">
        <f>--1.89</f>
        <v>1.89</v>
      </c>
      <c r="I25" s="2"/>
      <c r="J25" s="19"/>
      <c r="K25" s="2"/>
      <c r="L25" s="2">
        <f t="shared" si="0"/>
        <v>21.75</v>
      </c>
      <c r="M25" s="2"/>
      <c r="N25" s="19">
        <f t="shared" si="1"/>
        <v>11.507936507936508</v>
      </c>
      <c r="O25" s="11"/>
      <c r="P25" s="2">
        <f>--94.84</f>
        <v>94.84</v>
      </c>
      <c r="Q25" s="2"/>
      <c r="R25" s="19"/>
      <c r="S25" s="2"/>
      <c r="T25" s="2">
        <f>--55.83</f>
        <v>55.83</v>
      </c>
      <c r="U25" s="2"/>
      <c r="V25" s="19"/>
      <c r="W25" s="2"/>
      <c r="X25" s="2">
        <f t="shared" si="2"/>
        <v>39.010000000000005</v>
      </c>
      <c r="Y25" s="2"/>
      <c r="Z25" s="19">
        <f t="shared" si="3"/>
        <v>0.69872828228550965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>--2.24</f>
        <v>2.2400000000000002</v>
      </c>
      <c r="E26" s="2"/>
      <c r="F26" s="19"/>
      <c r="G26" s="2"/>
      <c r="H26" s="2">
        <f>--112.5</f>
        <v>112.5</v>
      </c>
      <c r="I26" s="2"/>
      <c r="J26" s="19"/>
      <c r="K26" s="2"/>
      <c r="L26" s="2">
        <f t="shared" si="0"/>
        <v>-110.26</v>
      </c>
      <c r="M26" s="2"/>
      <c r="N26" s="19">
        <f t="shared" si="1"/>
        <v>-0.9800888888888889</v>
      </c>
      <c r="O26" s="11"/>
      <c r="P26" s="2">
        <f>--1575.68</f>
        <v>1575.68</v>
      </c>
      <c r="Q26" s="2"/>
      <c r="R26" s="19"/>
      <c r="S26" s="2"/>
      <c r="T26" s="2">
        <f>--2240.29</f>
        <v>2240.29</v>
      </c>
      <c r="U26" s="2"/>
      <c r="V26" s="19"/>
      <c r="W26" s="2"/>
      <c r="X26" s="2">
        <f t="shared" si="2"/>
        <v>-664.6099999999999</v>
      </c>
      <c r="Y26" s="2"/>
      <c r="Z26" s="19">
        <f t="shared" si="3"/>
        <v>-0.29666248566033859</v>
      </c>
    </row>
    <row r="27" spans="1:26" s="24" customFormat="1" hidden="1" outlineLevel="1" x14ac:dyDescent="0.25">
      <c r="A27" s="44"/>
      <c r="B27" s="11" t="str">
        <f>CONCATENATE("          ", "4151", " - ", "NON-TAXABLE SALES-FOOD")</f>
        <v xml:space="preserve">          4151 - NON-TAXABLE SALES-FOOD</v>
      </c>
      <c r="C27" s="11"/>
      <c r="D27" s="2">
        <f t="shared" ref="D27:D33" si="6">0</f>
        <v>0</v>
      </c>
      <c r="E27" s="2"/>
      <c r="F27" s="19"/>
      <c r="G27" s="2"/>
      <c r="H27" s="2">
        <f>--207731.05</f>
        <v>207731.05</v>
      </c>
      <c r="I27" s="2"/>
      <c r="J27" s="19"/>
      <c r="K27" s="2"/>
      <c r="L27" s="2">
        <f t="shared" si="0"/>
        <v>-207731.05</v>
      </c>
      <c r="M27" s="2"/>
      <c r="N27" s="19">
        <f t="shared" si="1"/>
        <v>-1</v>
      </c>
      <c r="O27" s="11"/>
      <c r="P27" s="2">
        <f>--2191470.18</f>
        <v>2191470.1800000002</v>
      </c>
      <c r="Q27" s="2"/>
      <c r="R27" s="19"/>
      <c r="S27" s="2"/>
      <c r="T27" s="2">
        <f>--2875199.55</f>
        <v>2875199.55</v>
      </c>
      <c r="U27" s="2"/>
      <c r="V27" s="19"/>
      <c r="W27" s="2"/>
      <c r="X27" s="2">
        <f t="shared" si="2"/>
        <v>-683729.36999999965</v>
      </c>
      <c r="Y27" s="2"/>
      <c r="Z27" s="19">
        <f t="shared" si="3"/>
        <v>-0.2378024057495417</v>
      </c>
    </row>
    <row r="28" spans="1:26" s="24" customFormat="1" hidden="1" outlineLevel="1" x14ac:dyDescent="0.25">
      <c r="A28" s="44"/>
      <c r="B28" s="11" t="str">
        <f>CONCATENATE("          ", "4152", " - ", "NON-TAXABLE SALES-FOOD")</f>
        <v xml:space="preserve">          4152 - NON-TAXABLE SALES-FOOD</v>
      </c>
      <c r="C28" s="11"/>
      <c r="D28" s="2">
        <f t="shared" si="6"/>
        <v>0</v>
      </c>
      <c r="E28" s="2"/>
      <c r="F28" s="19"/>
      <c r="G28" s="2"/>
      <c r="H28" s="2">
        <f>--5712.79</f>
        <v>5712.79</v>
      </c>
      <c r="I28" s="2"/>
      <c r="J28" s="19"/>
      <c r="K28" s="2"/>
      <c r="L28" s="2">
        <f t="shared" si="0"/>
        <v>-5712.79</v>
      </c>
      <c r="M28" s="2"/>
      <c r="N28" s="19">
        <f t="shared" si="1"/>
        <v>-1</v>
      </c>
      <c r="O28" s="11"/>
      <c r="P28" s="2">
        <f>--51415.27</f>
        <v>51415.27</v>
      </c>
      <c r="Q28" s="2"/>
      <c r="R28" s="19"/>
      <c r="S28" s="2"/>
      <c r="T28" s="2">
        <f>--76276.34</f>
        <v>76276.34</v>
      </c>
      <c r="U28" s="2"/>
      <c r="V28" s="19"/>
      <c r="W28" s="2"/>
      <c r="X28" s="2">
        <f t="shared" si="2"/>
        <v>-24861.07</v>
      </c>
      <c r="Y28" s="2"/>
      <c r="Z28" s="19">
        <f t="shared" si="3"/>
        <v>-0.32593422809746769</v>
      </c>
    </row>
    <row r="29" spans="1:26" s="24" customFormat="1" hidden="1" outlineLevel="1" x14ac:dyDescent="0.25">
      <c r="A29" s="44"/>
      <c r="B29" s="11" t="str">
        <f>CONCATENATE("          ", "4153", " - ", "NON-TAXABLE SALES-FOOD")</f>
        <v xml:space="preserve">          4153 - NON-TAXABLE SALES-FOOD</v>
      </c>
      <c r="C29" s="11"/>
      <c r="D29" s="2">
        <f t="shared" si="6"/>
        <v>0</v>
      </c>
      <c r="E29" s="2"/>
      <c r="F29" s="19"/>
      <c r="G29" s="2"/>
      <c r="H29" s="2">
        <f>--1462.17</f>
        <v>1462.17</v>
      </c>
      <c r="I29" s="2"/>
      <c r="J29" s="19"/>
      <c r="K29" s="2"/>
      <c r="L29" s="2">
        <f t="shared" si="0"/>
        <v>-1462.17</v>
      </c>
      <c r="M29" s="2"/>
      <c r="N29" s="19">
        <f t="shared" si="1"/>
        <v>-1</v>
      </c>
      <c r="O29" s="11"/>
      <c r="P29" s="2">
        <f>--12314.09</f>
        <v>12314.09</v>
      </c>
      <c r="Q29" s="2"/>
      <c r="R29" s="19"/>
      <c r="S29" s="2"/>
      <c r="T29" s="2">
        <f>--14755.55</f>
        <v>14755.55</v>
      </c>
      <c r="U29" s="2"/>
      <c r="V29" s="19"/>
      <c r="W29" s="2"/>
      <c r="X29" s="2">
        <f t="shared" si="2"/>
        <v>-2441.4599999999991</v>
      </c>
      <c r="Y29" s="2"/>
      <c r="Z29" s="19">
        <f t="shared" si="3"/>
        <v>-0.16546045386312264</v>
      </c>
    </row>
    <row r="30" spans="1:26" s="24" customFormat="1" hidden="1" outlineLevel="1" x14ac:dyDescent="0.25">
      <c r="A30" s="44"/>
      <c r="B30" s="11" t="str">
        <f>CONCATENATE("          ", "4155", " - ", "NON-TAXABLE SALES-FOOD")</f>
        <v xml:space="preserve">          4155 - NON-TAXABLE SALES-FOOD</v>
      </c>
      <c r="C30" s="11"/>
      <c r="D30" s="2">
        <f t="shared" si="6"/>
        <v>0</v>
      </c>
      <c r="E30" s="2"/>
      <c r="F30" s="19"/>
      <c r="G30" s="2"/>
      <c r="H30" s="2">
        <f>--64150.33</f>
        <v>64150.33</v>
      </c>
      <c r="I30" s="2"/>
      <c r="J30" s="19"/>
      <c r="K30" s="2"/>
      <c r="L30" s="2">
        <f t="shared" si="0"/>
        <v>-64150.33</v>
      </c>
      <c r="M30" s="2"/>
      <c r="N30" s="19">
        <f t="shared" si="1"/>
        <v>-1</v>
      </c>
      <c r="O30" s="11"/>
      <c r="P30" s="2">
        <f>--687389.73</f>
        <v>687389.73</v>
      </c>
      <c r="Q30" s="2"/>
      <c r="R30" s="19"/>
      <c r="S30" s="2"/>
      <c r="T30" s="2">
        <f>--890526.11</f>
        <v>890526.11</v>
      </c>
      <c r="U30" s="2"/>
      <c r="V30" s="19"/>
      <c r="W30" s="2"/>
      <c r="X30" s="2">
        <f t="shared" si="2"/>
        <v>-203136.38</v>
      </c>
      <c r="Y30" s="2"/>
      <c r="Z30" s="19">
        <f t="shared" si="3"/>
        <v>-0.22810828084535331</v>
      </c>
    </row>
    <row r="31" spans="1:26" s="24" customFormat="1" hidden="1" outlineLevel="1" x14ac:dyDescent="0.25">
      <c r="A31" s="44"/>
      <c r="B31" s="11" t="str">
        <f>CONCATENATE("          ", "4157", " - ", "NON-TAXABLE SALES-FOOD")</f>
        <v xml:space="preserve">          4157 - NON-TAXABLE SALES-FOOD</v>
      </c>
      <c r="C31" s="11"/>
      <c r="D31" s="2">
        <f t="shared" si="6"/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--208</f>
        <v>208</v>
      </c>
      <c r="U31" s="2"/>
      <c r="V31" s="19"/>
      <c r="W31" s="2"/>
      <c r="X31" s="2">
        <f t="shared" si="2"/>
        <v>-208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"4158", " - ", "NON-TAXABLE SALES-FOOD")</f>
        <v xml:space="preserve">          4158 - NON-TAXABLE SALES-FOOD</v>
      </c>
      <c r="C32" s="11"/>
      <c r="D32" s="2">
        <f t="shared" si="6"/>
        <v>0</v>
      </c>
      <c r="E32" s="2"/>
      <c r="F32" s="19"/>
      <c r="G32" s="2"/>
      <c r="H32" s="2">
        <f>--27953.87</f>
        <v>27953.87</v>
      </c>
      <c r="I32" s="2"/>
      <c r="J32" s="19"/>
      <c r="K32" s="2"/>
      <c r="L32" s="2">
        <f t="shared" si="0"/>
        <v>-27953.87</v>
      </c>
      <c r="M32" s="2"/>
      <c r="N32" s="19">
        <f t="shared" si="1"/>
        <v>-1</v>
      </c>
      <c r="O32" s="11"/>
      <c r="P32" s="2">
        <f>--474853.67</f>
        <v>474853.67</v>
      </c>
      <c r="Q32" s="2"/>
      <c r="R32" s="19"/>
      <c r="S32" s="2"/>
      <c r="T32" s="2">
        <f>--597801.18</f>
        <v>597801.18000000005</v>
      </c>
      <c r="U32" s="2"/>
      <c r="V32" s="19"/>
      <c r="W32" s="2"/>
      <c r="X32" s="2">
        <f t="shared" si="2"/>
        <v>-122947.51000000007</v>
      </c>
      <c r="Y32" s="2"/>
      <c r="Z32" s="19">
        <f t="shared" si="3"/>
        <v>-0.20566622166921794</v>
      </c>
    </row>
    <row r="33" spans="1:26" s="24" customFormat="1" hidden="1" outlineLevel="1" x14ac:dyDescent="0.25">
      <c r="A33" s="44"/>
      <c r="B33" s="11" t="str">
        <f>CONCATENATE("          ", "4233", " - ", "SALES RETURN TAXABLE-CANDY")</f>
        <v xml:space="preserve">          4233 - SALES RETURN TAXABLE-CANDY</v>
      </c>
      <c r="C33" s="11"/>
      <c r="D33" s="2">
        <f t="shared" si="6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0</f>
        <v>0</v>
      </c>
      <c r="Q33" s="2"/>
      <c r="R33" s="19"/>
      <c r="S33" s="2"/>
      <c r="T33" s="2">
        <f>-1.69</f>
        <v>-1.69</v>
      </c>
      <c r="U33" s="2"/>
      <c r="V33" s="19"/>
      <c r="W33" s="2"/>
      <c r="X33" s="2">
        <f t="shared" si="2"/>
        <v>1.69</v>
      </c>
      <c r="Y33" s="2"/>
      <c r="Z33" s="19">
        <f t="shared" si="3"/>
        <v>-1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15630.21</v>
      </c>
      <c r="E35" s="4"/>
      <c r="F35" s="12">
        <f t="shared" ref="F35:F37" si="7">IF(D$12=0,0,D35/D$12)</f>
        <v>551.13575458392097</v>
      </c>
      <c r="G35" s="4"/>
      <c r="H35" s="4">
        <f>SUM(OSRRefH16x_0)</f>
        <v>276223.75</v>
      </c>
      <c r="I35" s="4"/>
      <c r="J35" s="12">
        <f t="shared" ref="J35:J37" si="8">IF(H$12=0,0,H35/H$12)</f>
        <v>0.37867187775998351</v>
      </c>
      <c r="K35" s="4"/>
      <c r="L35" s="4">
        <f t="shared" ref="L35:L37" si="9">+D35-H35</f>
        <v>-260593.54</v>
      </c>
      <c r="M35" s="4"/>
      <c r="N35" s="12">
        <f t="shared" ref="N35:N37" si="10">IF(H35=0,0,L35/H35)</f>
        <v>-0.94341467741278584</v>
      </c>
      <c r="O35" s="10"/>
      <c r="P35" s="4">
        <f>SUM(OSRRefP16x_0)</f>
        <v>2877163.1</v>
      </c>
      <c r="Q35" s="4"/>
      <c r="R35" s="12">
        <f t="shared" ref="R35:R37" si="11">IF(P$12=0,0,P35/P$12)</f>
        <v>0.41195599190601767</v>
      </c>
      <c r="S35" s="4"/>
      <c r="T35" s="4">
        <f>SUM(OSRRefT16x_0)</f>
        <v>3518677.93</v>
      </c>
      <c r="U35" s="4"/>
      <c r="V35" s="12">
        <f t="shared" ref="V35:V37" si="12">IF(T$12=0,0,T35/T$12)</f>
        <v>0.36381922695521768</v>
      </c>
      <c r="W35" s="4"/>
      <c r="X35" s="4">
        <f t="shared" ref="X35:X37" si="13">+P35-T35</f>
        <v>-641514.83000000007</v>
      </c>
      <c r="Y35" s="4"/>
      <c r="Z35" s="12">
        <f t="shared" ref="Z35:Z37" si="14">IF(T35=0,0,X35/T35)</f>
        <v>-0.18231700734258449</v>
      </c>
    </row>
    <row r="36" spans="1:26" s="24" customFormat="1" hidden="1" outlineLevel="1" x14ac:dyDescent="0.25">
      <c r="A36" s="44"/>
      <c r="B36" s="11" t="str">
        <f>CONCATENATE("          ", "5053", " - ", "PURCHASES @ COST-FOOD")</f>
        <v xml:space="preserve">          5053 - PURCHASES @ COST-FOOD</v>
      </c>
      <c r="C36" s="11"/>
      <c r="D36" s="2">
        <v>2957.21</v>
      </c>
      <c r="E36" s="2"/>
      <c r="F36" s="19">
        <f t="shared" si="7"/>
        <v>104.27397743300423</v>
      </c>
      <c r="G36" s="2"/>
      <c r="H36" s="2">
        <v>220157.4</v>
      </c>
      <c r="I36" s="2"/>
      <c r="J36" s="19">
        <f t="shared" si="8"/>
        <v>0.30181118046784822</v>
      </c>
      <c r="K36" s="2"/>
      <c r="L36" s="2">
        <f t="shared" si="9"/>
        <v>-217200.19</v>
      </c>
      <c r="M36" s="2"/>
      <c r="N36" s="19">
        <f t="shared" si="10"/>
        <v>-0.98656774653043688</v>
      </c>
      <c r="O36" s="11"/>
      <c r="P36" s="2">
        <v>2759963.31</v>
      </c>
      <c r="Q36" s="2"/>
      <c r="R36" s="19">
        <f t="shared" si="11"/>
        <v>0.3951751720280528</v>
      </c>
      <c r="S36" s="2"/>
      <c r="T36" s="2">
        <v>3495044.37</v>
      </c>
      <c r="U36" s="2"/>
      <c r="V36" s="19">
        <f t="shared" si="12"/>
        <v>0.36137559792736862</v>
      </c>
      <c r="W36" s="2"/>
      <c r="X36" s="2">
        <f t="shared" si="13"/>
        <v>-735081.06</v>
      </c>
      <c r="Y36" s="2"/>
      <c r="Z36" s="19">
        <f t="shared" si="14"/>
        <v>-0.21032095223443473</v>
      </c>
    </row>
    <row r="37" spans="1:26" s="24" customFormat="1" hidden="1" outlineLevel="1" x14ac:dyDescent="0.25">
      <c r="A37" s="44"/>
      <c r="B37" s="11" t="str">
        <f>CONCATENATE("          ", "5059", " - ", "PURCHASES @ COST-FOOD")</f>
        <v xml:space="preserve">          5059 - PURCHASES @ COST-FOOD</v>
      </c>
      <c r="C37" s="11"/>
      <c r="D37" s="2">
        <v>12673</v>
      </c>
      <c r="E37" s="2"/>
      <c r="F37" s="19">
        <f t="shared" si="7"/>
        <v>446.86177715091679</v>
      </c>
      <c r="G37" s="2"/>
      <c r="H37" s="2">
        <v>56066.35</v>
      </c>
      <c r="I37" s="2"/>
      <c r="J37" s="19">
        <f t="shared" si="8"/>
        <v>7.686069729213528E-2</v>
      </c>
      <c r="K37" s="2"/>
      <c r="L37" s="2">
        <f t="shared" si="9"/>
        <v>-43393.35</v>
      </c>
      <c r="M37" s="2"/>
      <c r="N37" s="19">
        <f t="shared" si="10"/>
        <v>-0.77396424058280944</v>
      </c>
      <c r="O37" s="11"/>
      <c r="P37" s="2">
        <v>117199.79</v>
      </c>
      <c r="Q37" s="2"/>
      <c r="R37" s="19">
        <f t="shared" si="11"/>
        <v>1.6780819877964849E-2</v>
      </c>
      <c r="S37" s="2"/>
      <c r="T37" s="2">
        <v>23633.56</v>
      </c>
      <c r="U37" s="2"/>
      <c r="V37" s="19">
        <f t="shared" si="12"/>
        <v>2.4436290278490348E-3</v>
      </c>
      <c r="W37" s="2"/>
      <c r="X37" s="2">
        <f t="shared" si="13"/>
        <v>93566.23</v>
      </c>
      <c r="Y37" s="2"/>
      <c r="Z37" s="19">
        <f t="shared" si="14"/>
        <v>3.9590408723865549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9" t="s">
        <v>6</v>
      </c>
      <c r="C39" s="29"/>
      <c r="D39" s="21">
        <f>D12-D35</f>
        <v>-15601.849999999999</v>
      </c>
      <c r="E39" s="14"/>
      <c r="F39" s="20">
        <f>IF(D$12=0,0,D39/D$12)</f>
        <v>-550.13575458392097</v>
      </c>
      <c r="G39" s="14"/>
      <c r="H39" s="21">
        <f>H12-H35</f>
        <v>453230.33999999997</v>
      </c>
      <c r="I39" s="14"/>
      <c r="J39" s="20">
        <f>IF(H$12=0,0,H39/H$12)</f>
        <v>0.62132812224001643</v>
      </c>
      <c r="K39" s="16"/>
      <c r="L39" s="21">
        <f>+D39-H39</f>
        <v>-468832.18999999994</v>
      </c>
      <c r="M39" s="16"/>
      <c r="N39" s="20">
        <f>IF(H39=0,0,L39/H39)</f>
        <v>-1.0344236663414899</v>
      </c>
      <c r="O39" s="28"/>
      <c r="P39" s="21">
        <f>P12-P35</f>
        <v>4106988.4999999995</v>
      </c>
      <c r="Q39" s="14"/>
      <c r="R39" s="20">
        <f>IF(P$12=0,0,P39/P$12)</f>
        <v>0.58804400809398238</v>
      </c>
      <c r="S39" s="14"/>
      <c r="T39" s="21">
        <f>T12-T35</f>
        <v>6152822.8300000001</v>
      </c>
      <c r="U39" s="14"/>
      <c r="V39" s="20">
        <f>IF(T$12=0,0,T39/T$12)</f>
        <v>0.63618077304478238</v>
      </c>
      <c r="W39" s="16"/>
      <c r="X39" s="21">
        <f>+P39-T39</f>
        <v>-2045834.3300000005</v>
      </c>
      <c r="Y39" s="16"/>
      <c r="Z39" s="20">
        <f>IF(T39=0,0,X39/T39)</f>
        <v>-0.33250337065206875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8" t="s">
        <v>9</v>
      </c>
      <c r="C41" s="10"/>
      <c r="D41" s="22">
        <f>SUM(OSRRefD22x_0)</f>
        <v>173662.77999999997</v>
      </c>
      <c r="E41" s="22"/>
      <c r="F41" s="31">
        <f t="shared" ref="F41:F51" si="15">IF(D$12=0,0,D41/D$12)</f>
        <v>6123.5112834978836</v>
      </c>
      <c r="G41" s="22"/>
      <c r="H41" s="22">
        <f>SUM(OSRRefH22x_0)</f>
        <v>746102.99</v>
      </c>
      <c r="I41" s="22"/>
      <c r="J41" s="31">
        <f t="shared" ref="J41:J51" si="16">IF(H$12=0,0,H41/H$12)</f>
        <v>1.0228237804520364</v>
      </c>
      <c r="K41" s="4"/>
      <c r="L41" s="22">
        <f t="shared" ref="L41:L51" si="17">+D41-H41</f>
        <v>-572440.21</v>
      </c>
      <c r="M41" s="4"/>
      <c r="N41" s="31">
        <f t="shared" ref="N41:N51" si="18">IF(H41=0,0,L41/H41)</f>
        <v>-0.76724020366142742</v>
      </c>
      <c r="O41" s="10"/>
      <c r="P41" s="22">
        <f>SUM(OSRRefP22x_0)</f>
        <v>5726740.7200000007</v>
      </c>
      <c r="Q41" s="22"/>
      <c r="R41" s="31">
        <f t="shared" ref="R41:R51" si="19">IF(P$12=0,0,P41/P$12)</f>
        <v>0.81996225855120342</v>
      </c>
      <c r="S41" s="22"/>
      <c r="T41" s="22">
        <f>SUM(OSRRefT22x_0)</f>
        <v>6450608.0499999989</v>
      </c>
      <c r="U41" s="22"/>
      <c r="V41" s="31">
        <f t="shared" ref="V41:V51" si="20">IF(T$12=0,0,T41/T$12)</f>
        <v>0.66697074322517025</v>
      </c>
      <c r="W41" s="4"/>
      <c r="X41" s="22">
        <f t="shared" ref="X41:X51" si="21">+P41-T41</f>
        <v>-723867.32999999821</v>
      </c>
      <c r="Y41" s="4"/>
      <c r="Z41" s="31">
        <f t="shared" ref="Z41:Z51" si="22">IF(T41=0,0,X41/T41)</f>
        <v>-0.11221691418687241</v>
      </c>
    </row>
    <row r="42" spans="1:26" s="27" customFormat="1" outlineLevel="1" collapsed="1" x14ac:dyDescent="0.25">
      <c r="A42" s="25"/>
      <c r="B42" s="13" t="str">
        <f>CONCATENATE("     ","*Benefits                                         ")</f>
        <v xml:space="preserve">     *Benefits                                         </v>
      </c>
      <c r="C42" s="13"/>
      <c r="D42" s="1">
        <f>SUM(OSRRefD22_0x_0)</f>
        <v>34494.14</v>
      </c>
      <c r="E42" s="1"/>
      <c r="F42" s="5">
        <f t="shared" si="15"/>
        <v>1216.2954866008463</v>
      </c>
      <c r="G42" s="1"/>
      <c r="H42" s="1">
        <f>SUM(OSRRefH22_0x_0)</f>
        <v>88449.95</v>
      </c>
      <c r="I42" s="1"/>
      <c r="J42" s="5">
        <f t="shared" si="16"/>
        <v>0.12125499220931094</v>
      </c>
      <c r="K42" s="1"/>
      <c r="L42" s="1">
        <f t="shared" si="17"/>
        <v>-53955.81</v>
      </c>
      <c r="M42" s="1"/>
      <c r="N42" s="5">
        <f t="shared" si="18"/>
        <v>-0.61001515546362661</v>
      </c>
      <c r="O42" s="13"/>
      <c r="P42" s="1">
        <f>SUM(OSRRefP22_0x_0)</f>
        <v>755427.72999999986</v>
      </c>
      <c r="Q42" s="1"/>
      <c r="R42" s="5">
        <f t="shared" si="19"/>
        <v>0.108163134660479</v>
      </c>
      <c r="S42" s="1"/>
      <c r="T42" s="1">
        <f>SUM(OSRRefT22_0x_0)</f>
        <v>819051.45000000007</v>
      </c>
      <c r="U42" s="1"/>
      <c r="V42" s="5">
        <f t="shared" si="20"/>
        <v>8.4687110131602794E-2</v>
      </c>
      <c r="W42" s="1"/>
      <c r="X42" s="1">
        <f t="shared" si="21"/>
        <v>-63623.720000000205</v>
      </c>
      <c r="Y42" s="1"/>
      <c r="Z42" s="5">
        <f t="shared" si="22"/>
        <v>-7.7679759922285957E-2</v>
      </c>
    </row>
    <row r="43" spans="1:26" s="24" customFormat="1" hidden="1" outlineLevel="2" x14ac:dyDescent="0.25">
      <c r="A43" s="26"/>
      <c r="B43" s="11" t="str">
        <f>CONCATENATE("          ", "6111", " - ", "F.I.C.A.")</f>
        <v xml:space="preserve">          6111 - F.I.C.A.</v>
      </c>
      <c r="C43" s="11"/>
      <c r="D43" s="6">
        <v>3759.38</v>
      </c>
      <c r="E43" s="2"/>
      <c r="F43" s="7">
        <f t="shared" si="15"/>
        <v>132.5592383638928</v>
      </c>
      <c r="G43" s="2"/>
      <c r="H43" s="6">
        <v>22661.14</v>
      </c>
      <c r="I43" s="2"/>
      <c r="J43" s="7">
        <f t="shared" si="16"/>
        <v>3.1065889287151711E-2</v>
      </c>
      <c r="K43" s="2"/>
      <c r="L43" s="6">
        <f t="shared" si="17"/>
        <v>-18901.759999999998</v>
      </c>
      <c r="M43" s="2"/>
      <c r="N43" s="7">
        <f t="shared" si="18"/>
        <v>-0.83410455078605927</v>
      </c>
      <c r="O43" s="11"/>
      <c r="P43" s="6">
        <v>157370.4</v>
      </c>
      <c r="Q43" s="2"/>
      <c r="R43" s="7">
        <f t="shared" si="19"/>
        <v>2.2532500583177489E-2</v>
      </c>
      <c r="S43" s="2"/>
      <c r="T43" s="6">
        <v>155504.09</v>
      </c>
      <c r="U43" s="2"/>
      <c r="V43" s="7">
        <f t="shared" si="20"/>
        <v>1.6078589441169626E-2</v>
      </c>
      <c r="W43" s="2"/>
      <c r="X43" s="6">
        <f t="shared" si="21"/>
        <v>1866.3099999999977</v>
      </c>
      <c r="Y43" s="2"/>
      <c r="Z43" s="7">
        <f t="shared" si="22"/>
        <v>1.2001677897989678E-2</v>
      </c>
    </row>
    <row r="44" spans="1:26" s="24" customFormat="1" hidden="1" outlineLevel="2" x14ac:dyDescent="0.25">
      <c r="A44" s="26"/>
      <c r="B44" s="11" t="str">
        <f>CONCATENATE("          ", "6112", " - ", "COMPENSATION INSURANCE")</f>
        <v xml:space="preserve">          6112 - COMPENSATION INSURANCE</v>
      </c>
      <c r="C44" s="11"/>
      <c r="D44" s="6">
        <v>1545.38</v>
      </c>
      <c r="E44" s="2"/>
      <c r="F44" s="7">
        <f t="shared" si="15"/>
        <v>54.491537376586749</v>
      </c>
      <c r="G44" s="2"/>
      <c r="H44" s="6">
        <v>9620.9</v>
      </c>
      <c r="I44" s="2"/>
      <c r="J44" s="7">
        <f t="shared" si="16"/>
        <v>1.3189178225047721E-2</v>
      </c>
      <c r="K44" s="2"/>
      <c r="L44" s="6">
        <f t="shared" si="17"/>
        <v>-8075.5199999999995</v>
      </c>
      <c r="M44" s="2"/>
      <c r="N44" s="7">
        <f t="shared" si="18"/>
        <v>-0.83937261586753831</v>
      </c>
      <c r="O44" s="11"/>
      <c r="P44" s="6">
        <v>80380.88</v>
      </c>
      <c r="Q44" s="2"/>
      <c r="R44" s="7">
        <f t="shared" si="19"/>
        <v>1.1509039981319994E-2</v>
      </c>
      <c r="S44" s="2"/>
      <c r="T44" s="6">
        <v>82860.41</v>
      </c>
      <c r="U44" s="2"/>
      <c r="V44" s="7">
        <f t="shared" si="20"/>
        <v>8.5674821370742473E-3</v>
      </c>
      <c r="W44" s="2"/>
      <c r="X44" s="6">
        <f t="shared" si="21"/>
        <v>-2479.5299999999988</v>
      </c>
      <c r="Y44" s="2"/>
      <c r="Z44" s="7">
        <f t="shared" si="22"/>
        <v>-2.9924182127508164E-2</v>
      </c>
    </row>
    <row r="45" spans="1:26" s="24" customFormat="1" hidden="1" outlineLevel="2" x14ac:dyDescent="0.25">
      <c r="A45" s="26"/>
      <c r="B45" s="11" t="str">
        <f>CONCATENATE("          ", "6113", " - ", "GROUP INSURANCE")</f>
        <v xml:space="preserve">          6113 - GROUP INSURANCE</v>
      </c>
      <c r="C45" s="11"/>
      <c r="D45" s="6">
        <v>18239.05</v>
      </c>
      <c r="E45" s="2"/>
      <c r="F45" s="7">
        <f t="shared" si="15"/>
        <v>643.12588152327226</v>
      </c>
      <c r="G45" s="2"/>
      <c r="H45" s="6">
        <v>27316.710000000003</v>
      </c>
      <c r="I45" s="2"/>
      <c r="J45" s="7">
        <f t="shared" si="16"/>
        <v>3.7448155236198627E-2</v>
      </c>
      <c r="K45" s="2"/>
      <c r="L45" s="6">
        <f t="shared" si="17"/>
        <v>-9077.6600000000035</v>
      </c>
      <c r="M45" s="2"/>
      <c r="N45" s="7">
        <f t="shared" si="18"/>
        <v>-0.33231161439280216</v>
      </c>
      <c r="O45" s="11"/>
      <c r="P45" s="6">
        <v>295651.58</v>
      </c>
      <c r="Q45" s="2"/>
      <c r="R45" s="7">
        <f t="shared" si="19"/>
        <v>4.2331781572438956E-2</v>
      </c>
      <c r="S45" s="2"/>
      <c r="T45" s="6">
        <v>302003.79000000004</v>
      </c>
      <c r="U45" s="2"/>
      <c r="V45" s="7">
        <f t="shared" si="20"/>
        <v>3.1226155846365258E-2</v>
      </c>
      <c r="W45" s="2"/>
      <c r="X45" s="6">
        <f t="shared" si="21"/>
        <v>-6352.210000000021</v>
      </c>
      <c r="Y45" s="2"/>
      <c r="Z45" s="7">
        <f t="shared" si="22"/>
        <v>-2.1033543983007698E-2</v>
      </c>
    </row>
    <row r="46" spans="1:26" s="24" customFormat="1" hidden="1" outlineLevel="2" x14ac:dyDescent="0.25">
      <c r="A46" s="26"/>
      <c r="B46" s="11" t="str">
        <f>CONCATENATE("          ", "6114", " - ", "STATE UNEMPLOYMENT INSURANCE")</f>
        <v xml:space="preserve">          6114 - STATE UNEMPLOYMENT INSURANCE</v>
      </c>
      <c r="C46" s="11"/>
      <c r="D46" s="6">
        <v>190.67</v>
      </c>
      <c r="E46" s="2"/>
      <c r="F46" s="7">
        <f t="shared" si="15"/>
        <v>6.7232016925246825</v>
      </c>
      <c r="G46" s="2"/>
      <c r="H46" s="6">
        <v>829.02</v>
      </c>
      <c r="I46" s="2"/>
      <c r="J46" s="7">
        <f t="shared" si="16"/>
        <v>1.1364937305375861E-3</v>
      </c>
      <c r="K46" s="2"/>
      <c r="L46" s="6">
        <f t="shared" si="17"/>
        <v>-638.35</v>
      </c>
      <c r="M46" s="2"/>
      <c r="N46" s="7">
        <f t="shared" si="18"/>
        <v>-0.77000554872017568</v>
      </c>
      <c r="O46" s="11"/>
      <c r="P46" s="6">
        <v>7547.47</v>
      </c>
      <c r="Q46" s="2"/>
      <c r="R46" s="7">
        <f t="shared" si="19"/>
        <v>1.0806566684491788E-3</v>
      </c>
      <c r="S46" s="2"/>
      <c r="T46" s="6">
        <v>8037.03</v>
      </c>
      <c r="U46" s="2"/>
      <c r="V46" s="7">
        <f t="shared" si="20"/>
        <v>8.3100133055255012E-4</v>
      </c>
      <c r="W46" s="2"/>
      <c r="X46" s="6">
        <f t="shared" si="21"/>
        <v>-489.55999999999949</v>
      </c>
      <c r="Y46" s="2"/>
      <c r="Z46" s="7">
        <f t="shared" si="22"/>
        <v>-6.0913048725710801E-2</v>
      </c>
    </row>
    <row r="47" spans="1:26" s="24" customFormat="1" hidden="1" outlineLevel="2" x14ac:dyDescent="0.25">
      <c r="A47" s="26"/>
      <c r="B47" s="11" t="str">
        <f>CONCATENATE("          ", "6115", " - ", "P.E.R.S.")</f>
        <v xml:space="preserve">          6115 - P.E.R.S.</v>
      </c>
      <c r="C47" s="11"/>
      <c r="D47" s="6">
        <v>4349.3900000000003</v>
      </c>
      <c r="E47" s="2"/>
      <c r="F47" s="7">
        <f t="shared" si="15"/>
        <v>153.36354019746122</v>
      </c>
      <c r="G47" s="2"/>
      <c r="H47" s="6">
        <v>8600.41</v>
      </c>
      <c r="I47" s="2"/>
      <c r="J47" s="7">
        <f t="shared" si="16"/>
        <v>1.1790200532017032E-2</v>
      </c>
      <c r="K47" s="2"/>
      <c r="L47" s="6">
        <f t="shared" si="17"/>
        <v>-4251.0199999999995</v>
      </c>
      <c r="M47" s="2"/>
      <c r="N47" s="7">
        <f t="shared" si="18"/>
        <v>-0.49428108659935976</v>
      </c>
      <c r="O47" s="11"/>
      <c r="P47" s="6">
        <v>92623.39</v>
      </c>
      <c r="Q47" s="2"/>
      <c r="R47" s="7">
        <f t="shared" si="19"/>
        <v>1.326193864405807E-2</v>
      </c>
      <c r="S47" s="2"/>
      <c r="T47" s="6">
        <v>93392.71</v>
      </c>
      <c r="U47" s="2"/>
      <c r="V47" s="7">
        <f t="shared" si="20"/>
        <v>9.6564858254738952E-3</v>
      </c>
      <c r="W47" s="2"/>
      <c r="X47" s="6">
        <f t="shared" si="21"/>
        <v>-769.32000000000698</v>
      </c>
      <c r="Y47" s="2"/>
      <c r="Z47" s="7">
        <f t="shared" si="22"/>
        <v>-8.2374737814119216E-3</v>
      </c>
    </row>
    <row r="48" spans="1:26" s="24" customFormat="1" hidden="1" outlineLevel="2" x14ac:dyDescent="0.25">
      <c r="A48" s="26"/>
      <c r="B48" s="11" t="str">
        <f>CONCATENATE("          ", "6117", " - ", "RETIREMENT STAFF HOURLY")</f>
        <v xml:space="preserve">          6117 - RETIREMENT STAFF HOURLY</v>
      </c>
      <c r="C48" s="11"/>
      <c r="D48" s="6"/>
      <c r="E48" s="2"/>
      <c r="F48" s="7">
        <f t="shared" si="15"/>
        <v>0</v>
      </c>
      <c r="G48" s="2"/>
      <c r="H48" s="6">
        <v>56</v>
      </c>
      <c r="I48" s="2"/>
      <c r="J48" s="7">
        <f t="shared" si="16"/>
        <v>7.6769738860467556E-5</v>
      </c>
      <c r="K48" s="2"/>
      <c r="L48" s="6">
        <f t="shared" si="17"/>
        <v>-56</v>
      </c>
      <c r="M48" s="2"/>
      <c r="N48" s="7">
        <f t="shared" si="18"/>
        <v>-1</v>
      </c>
      <c r="O48" s="11"/>
      <c r="P48" s="6">
        <v>1352.45</v>
      </c>
      <c r="Q48" s="2"/>
      <c r="R48" s="7">
        <f t="shared" si="19"/>
        <v>1.9364556748739534E-4</v>
      </c>
      <c r="S48" s="2"/>
      <c r="T48" s="6">
        <v>672</v>
      </c>
      <c r="U48" s="2"/>
      <c r="V48" s="7">
        <f t="shared" si="20"/>
        <v>6.9482494669214089E-5</v>
      </c>
      <c r="W48" s="2"/>
      <c r="X48" s="6">
        <f t="shared" si="21"/>
        <v>680.45</v>
      </c>
      <c r="Y48" s="2"/>
      <c r="Z48" s="7">
        <f t="shared" si="22"/>
        <v>1.0125744047619047</v>
      </c>
    </row>
    <row r="49" spans="1:26" s="24" customFormat="1" hidden="1" outlineLevel="2" x14ac:dyDescent="0.25">
      <c r="A49" s="26"/>
      <c r="B49" s="11" t="str">
        <f>CONCATENATE("          ", "6118", " - ", "VACATION")</f>
        <v xml:space="preserve">          6118 - VACATION</v>
      </c>
      <c r="C49" s="11"/>
      <c r="D49" s="6">
        <v>3509.82</v>
      </c>
      <c r="E49" s="2"/>
      <c r="F49" s="7">
        <f t="shared" si="15"/>
        <v>123.75952045133992</v>
      </c>
      <c r="G49" s="2"/>
      <c r="H49" s="6">
        <v>8964.19</v>
      </c>
      <c r="I49" s="2"/>
      <c r="J49" s="7">
        <f t="shared" si="16"/>
        <v>1.2288902239207406E-2</v>
      </c>
      <c r="K49" s="2"/>
      <c r="L49" s="6">
        <f t="shared" si="17"/>
        <v>-5454.3700000000008</v>
      </c>
      <c r="M49" s="2"/>
      <c r="N49" s="7">
        <f t="shared" si="18"/>
        <v>-0.60846211425683749</v>
      </c>
      <c r="O49" s="11"/>
      <c r="P49" s="6">
        <v>88475.93</v>
      </c>
      <c r="Q49" s="2"/>
      <c r="R49" s="7">
        <f t="shared" si="19"/>
        <v>1.2668099873433446E-2</v>
      </c>
      <c r="S49" s="2"/>
      <c r="T49" s="6">
        <v>79340.7</v>
      </c>
      <c r="U49" s="2"/>
      <c r="V49" s="7">
        <f t="shared" si="20"/>
        <v>8.2035561976215986E-3</v>
      </c>
      <c r="W49" s="2"/>
      <c r="X49" s="6">
        <f t="shared" si="21"/>
        <v>9135.2299999999959</v>
      </c>
      <c r="Y49" s="2"/>
      <c r="Z49" s="7">
        <f t="shared" si="22"/>
        <v>0.11513926647987724</v>
      </c>
    </row>
    <row r="50" spans="1:26" s="24" customFormat="1" hidden="1" outlineLevel="2" x14ac:dyDescent="0.25">
      <c r="A50" s="26"/>
      <c r="B50" s="11" t="str">
        <f>CONCATENATE("          ", "6119", " - ", "SICK LEAVE")</f>
        <v xml:space="preserve">          6119 - SICK LEAVE</v>
      </c>
      <c r="C50" s="11"/>
      <c r="D50" s="6">
        <v>2296.34</v>
      </c>
      <c r="E50" s="2"/>
      <c r="F50" s="7">
        <f t="shared" si="15"/>
        <v>80.97108603667138</v>
      </c>
      <c r="G50" s="2"/>
      <c r="H50" s="6">
        <v>7158.52</v>
      </c>
      <c r="I50" s="2"/>
      <c r="J50" s="7">
        <f t="shared" si="16"/>
        <v>9.8135305540613272E-3</v>
      </c>
      <c r="K50" s="2"/>
      <c r="L50" s="6">
        <f t="shared" si="17"/>
        <v>-4862.18</v>
      </c>
      <c r="M50" s="2"/>
      <c r="N50" s="7">
        <f t="shared" si="18"/>
        <v>-0.67921581555964083</v>
      </c>
      <c r="O50" s="11"/>
      <c r="P50" s="6">
        <v>931.77</v>
      </c>
      <c r="Q50" s="2"/>
      <c r="R50" s="7">
        <f t="shared" si="19"/>
        <v>1.3341205251042948E-4</v>
      </c>
      <c r="S50" s="2"/>
      <c r="T50" s="6">
        <v>61779.299999999996</v>
      </c>
      <c r="U50" s="2"/>
      <c r="V50" s="7">
        <f t="shared" si="20"/>
        <v>6.3877676829133595E-3</v>
      </c>
      <c r="W50" s="2"/>
      <c r="X50" s="6">
        <f t="shared" si="21"/>
        <v>-60847.53</v>
      </c>
      <c r="Y50" s="2"/>
      <c r="Z50" s="7">
        <f t="shared" si="22"/>
        <v>-0.98491776371697326</v>
      </c>
    </row>
    <row r="51" spans="1:26" s="24" customFormat="1" hidden="1" outlineLevel="2" x14ac:dyDescent="0.25">
      <c r="A51" s="26"/>
      <c r="B51" s="11" t="str">
        <f>CONCATENATE("          ", "6156", " - ", "EMPLOYEE MEALS")</f>
        <v xml:space="preserve">          6156 - EMPLOYEE MEALS</v>
      </c>
      <c r="C51" s="11"/>
      <c r="D51" s="6">
        <v>604.11</v>
      </c>
      <c r="E51" s="2"/>
      <c r="F51" s="7">
        <f t="shared" si="15"/>
        <v>21.301480959097322</v>
      </c>
      <c r="G51" s="2"/>
      <c r="H51" s="6">
        <v>3243.06</v>
      </c>
      <c r="I51" s="2"/>
      <c r="J51" s="7">
        <f t="shared" si="16"/>
        <v>4.4458726662290702E-3</v>
      </c>
      <c r="K51" s="2"/>
      <c r="L51" s="6">
        <f t="shared" si="17"/>
        <v>-2638.95</v>
      </c>
      <c r="M51" s="2"/>
      <c r="N51" s="7">
        <f t="shared" si="18"/>
        <v>-0.81372222530572969</v>
      </c>
      <c r="O51" s="11"/>
      <c r="P51" s="6">
        <v>31093.859999999997</v>
      </c>
      <c r="Q51" s="2"/>
      <c r="R51" s="7">
        <f t="shared" si="19"/>
        <v>4.4520597176040677E-3</v>
      </c>
      <c r="S51" s="2"/>
      <c r="T51" s="6">
        <v>35461.420000000006</v>
      </c>
      <c r="U51" s="2"/>
      <c r="V51" s="7">
        <f t="shared" si="20"/>
        <v>3.6665891757630392E-3</v>
      </c>
      <c r="W51" s="2"/>
      <c r="X51" s="6">
        <f t="shared" si="21"/>
        <v>-4367.5600000000086</v>
      </c>
      <c r="Y51" s="2"/>
      <c r="Z51" s="7">
        <f t="shared" si="22"/>
        <v>-0.12316370861629365</v>
      </c>
    </row>
    <row r="52" spans="1:26" s="27" customFormat="1" outlineLevel="1" collapsed="1" x14ac:dyDescent="0.25">
      <c r="A52" s="25"/>
      <c r="B52" s="13" t="str">
        <f>CONCATENATE("     ","*Payroll                                          ")</f>
        <v xml:space="preserve">     *Payroll                                          </v>
      </c>
      <c r="C52" s="13"/>
      <c r="D52" s="1">
        <f>SUM(OSRRefD22_1x_0)</f>
        <v>38021.420000000006</v>
      </c>
      <c r="E52" s="1"/>
      <c r="F52" s="5">
        <f t="shared" ref="F52:F59" si="23">IF(D$12=0,0,D52/D$12)</f>
        <v>1340.6706629055009</v>
      </c>
      <c r="G52" s="1"/>
      <c r="H52" s="1">
        <f>SUM(OSRRefH22_1x_0)</f>
        <v>327087.73</v>
      </c>
      <c r="I52" s="1"/>
      <c r="J52" s="5">
        <f t="shared" ref="J52:J59" si="24">IF(H$12=0,0,H52/H$12)</f>
        <v>0.44840070743862714</v>
      </c>
      <c r="K52" s="1"/>
      <c r="L52" s="1">
        <f t="shared" ref="L52:L59" si="25">+D52-H52</f>
        <v>-289066.31</v>
      </c>
      <c r="M52" s="1"/>
      <c r="N52" s="5">
        <f t="shared" ref="N52:N59" si="26">IF(H52=0,0,L52/H52)</f>
        <v>-0.88375773068589281</v>
      </c>
      <c r="O52" s="13"/>
      <c r="P52" s="1">
        <f>SUM(OSRRefP22_1x_0)</f>
        <v>2641555.41</v>
      </c>
      <c r="Q52" s="1"/>
      <c r="R52" s="5">
        <f t="shared" ref="R52:R59" si="27">IF(P$12=0,0,P52/P$12)</f>
        <v>0.3782213733733959</v>
      </c>
      <c r="S52" s="1"/>
      <c r="T52" s="1">
        <f>SUM(OSRRefT22_1x_0)</f>
        <v>2968524.7399999998</v>
      </c>
      <c r="U52" s="1"/>
      <c r="V52" s="5">
        <f t="shared" ref="V52:V59" si="28">IF(T$12=0,0,T52/T$12)</f>
        <v>0.30693527443821444</v>
      </c>
      <c r="W52" s="1"/>
      <c r="X52" s="1">
        <f t="shared" ref="X52:X59" si="29">+P52-T52</f>
        <v>-326969.32999999961</v>
      </c>
      <c r="Y52" s="1"/>
      <c r="Z52" s="5">
        <f t="shared" ref="Z52:Z59" si="30">IF(T52=0,0,X52/T52)</f>
        <v>-0.11014539498161624</v>
      </c>
    </row>
    <row r="53" spans="1:26" s="24" customFormat="1" hidden="1" outlineLevel="2" x14ac:dyDescent="0.25">
      <c r="A53" s="26"/>
      <c r="B53" s="11" t="str">
        <f>CONCATENATE("          ", "6001", " - ", "ADMINISTRATIVE SALARIES")</f>
        <v xml:space="preserve">          6001 - ADMINISTRATIVE SALARIES</v>
      </c>
      <c r="C53" s="11"/>
      <c r="D53" s="6">
        <v>9962.35</v>
      </c>
      <c r="E53" s="2"/>
      <c r="F53" s="7">
        <f t="shared" si="23"/>
        <v>351.28173483779972</v>
      </c>
      <c r="G53" s="2"/>
      <c r="H53" s="6">
        <v>21149.41</v>
      </c>
      <c r="I53" s="2"/>
      <c r="J53" s="7">
        <f t="shared" si="24"/>
        <v>2.8993476477731452E-2</v>
      </c>
      <c r="K53" s="2"/>
      <c r="L53" s="6">
        <f t="shared" si="25"/>
        <v>-11187.06</v>
      </c>
      <c r="M53" s="2"/>
      <c r="N53" s="7">
        <f t="shared" si="26"/>
        <v>-0.52895376277636108</v>
      </c>
      <c r="O53" s="11"/>
      <c r="P53" s="6">
        <v>179437.74</v>
      </c>
      <c r="Q53" s="2"/>
      <c r="R53" s="7">
        <f t="shared" si="27"/>
        <v>2.5692131310551737E-2</v>
      </c>
      <c r="S53" s="2"/>
      <c r="T53" s="6">
        <v>187197.22</v>
      </c>
      <c r="U53" s="2"/>
      <c r="V53" s="7">
        <f t="shared" si="28"/>
        <v>1.9355550358246574E-2</v>
      </c>
      <c r="W53" s="2"/>
      <c r="X53" s="6">
        <f t="shared" si="29"/>
        <v>-7759.4800000000105</v>
      </c>
      <c r="Y53" s="2"/>
      <c r="Z53" s="7">
        <f t="shared" si="30"/>
        <v>-4.1450829237741939E-2</v>
      </c>
    </row>
    <row r="54" spans="1:26" s="24" customFormat="1" hidden="1" outlineLevel="2" x14ac:dyDescent="0.25">
      <c r="A54" s="26"/>
      <c r="B54" s="11" t="str">
        <f>CONCATENATE("          ", "6002", " - ", "STAFF SALARIES")</f>
        <v xml:space="preserve">          6002 - STAFF SALARIES</v>
      </c>
      <c r="C54" s="11"/>
      <c r="D54" s="6">
        <v>27809.070000000003</v>
      </c>
      <c r="E54" s="2"/>
      <c r="F54" s="7">
        <f t="shared" si="23"/>
        <v>980.57369534555721</v>
      </c>
      <c r="G54" s="2"/>
      <c r="H54" s="6">
        <v>85964.89</v>
      </c>
      <c r="I54" s="2"/>
      <c r="J54" s="7">
        <f t="shared" si="24"/>
        <v>0.11784825279408606</v>
      </c>
      <c r="K54" s="2"/>
      <c r="L54" s="6">
        <f t="shared" si="25"/>
        <v>-58155.819999999992</v>
      </c>
      <c r="M54" s="2"/>
      <c r="N54" s="7">
        <f t="shared" si="26"/>
        <v>-0.67650665289049972</v>
      </c>
      <c r="O54" s="11"/>
      <c r="P54" s="6">
        <v>765113.28</v>
      </c>
      <c r="Q54" s="2"/>
      <c r="R54" s="7">
        <f t="shared" si="27"/>
        <v>0.10954992443176635</v>
      </c>
      <c r="S54" s="2"/>
      <c r="T54" s="6">
        <v>835253.91</v>
      </c>
      <c r="U54" s="2"/>
      <c r="V54" s="7">
        <f t="shared" si="28"/>
        <v>8.6362388912225044E-2</v>
      </c>
      <c r="W54" s="2"/>
      <c r="X54" s="6">
        <f t="shared" si="29"/>
        <v>-70140.63</v>
      </c>
      <c r="Y54" s="2"/>
      <c r="Z54" s="7">
        <f t="shared" si="30"/>
        <v>-8.3975218984607927E-2</v>
      </c>
    </row>
    <row r="55" spans="1:26" s="24" customFormat="1" hidden="1" outlineLevel="2" x14ac:dyDescent="0.25">
      <c r="A55" s="26"/>
      <c r="B55" s="11" t="str">
        <f>CONCATENATE("          ", "6004", " - ", "STAFF HOURLY")</f>
        <v xml:space="preserve">          6004 - STAFF HOURLY</v>
      </c>
      <c r="C55" s="11"/>
      <c r="D55" s="6">
        <v>250</v>
      </c>
      <c r="E55" s="2"/>
      <c r="F55" s="7">
        <f t="shared" si="23"/>
        <v>8.8152327221438647</v>
      </c>
      <c r="G55" s="2"/>
      <c r="H55" s="6">
        <v>21139.649999999998</v>
      </c>
      <c r="I55" s="2"/>
      <c r="J55" s="7">
        <f t="shared" si="24"/>
        <v>2.8980096608958623E-2</v>
      </c>
      <c r="K55" s="2"/>
      <c r="L55" s="6">
        <f t="shared" si="25"/>
        <v>-20889.649999999998</v>
      </c>
      <c r="M55" s="2"/>
      <c r="N55" s="7">
        <f t="shared" si="26"/>
        <v>-0.98817388178139187</v>
      </c>
      <c r="O55" s="11"/>
      <c r="P55" s="6">
        <v>217791.13</v>
      </c>
      <c r="Q55" s="2"/>
      <c r="R55" s="7">
        <f t="shared" si="27"/>
        <v>3.118362006918636E-2</v>
      </c>
      <c r="S55" s="2"/>
      <c r="T55" s="6">
        <v>157225.32</v>
      </c>
      <c r="U55" s="2"/>
      <c r="V55" s="7">
        <f t="shared" si="28"/>
        <v>1.6256558718401013E-2</v>
      </c>
      <c r="W55" s="2"/>
      <c r="X55" s="6">
        <f t="shared" si="29"/>
        <v>60565.81</v>
      </c>
      <c r="Y55" s="2"/>
      <c r="Z55" s="7">
        <f t="shared" si="30"/>
        <v>0.38521664322260557</v>
      </c>
    </row>
    <row r="56" spans="1:26" s="24" customFormat="1" hidden="1" outlineLevel="2" x14ac:dyDescent="0.25">
      <c r="A56" s="26"/>
      <c r="B56" s="11" t="str">
        <f>CONCATENATE("          ", "6005", " - ", "TEMPORARY WAGES-HOURLY")</f>
        <v xml:space="preserve">          6005 - TEMPORARY WAGES-HOURLY</v>
      </c>
      <c r="C56" s="11"/>
      <c r="D56" s="6"/>
      <c r="E56" s="2"/>
      <c r="F56" s="7">
        <f t="shared" si="23"/>
        <v>0</v>
      </c>
      <c r="G56" s="2"/>
      <c r="H56" s="6">
        <v>84971.709999999992</v>
      </c>
      <c r="I56" s="2"/>
      <c r="J56" s="7">
        <f t="shared" si="24"/>
        <v>0.11648671405763178</v>
      </c>
      <c r="K56" s="2"/>
      <c r="L56" s="6">
        <f t="shared" si="25"/>
        <v>-84971.709999999992</v>
      </c>
      <c r="M56" s="2"/>
      <c r="N56" s="7">
        <f t="shared" si="26"/>
        <v>-1</v>
      </c>
      <c r="O56" s="11"/>
      <c r="P56" s="6">
        <v>505027.62</v>
      </c>
      <c r="Q56" s="2"/>
      <c r="R56" s="7">
        <f t="shared" si="27"/>
        <v>7.2310518001928822E-2</v>
      </c>
      <c r="S56" s="2"/>
      <c r="T56" s="6">
        <v>533692.32999999996</v>
      </c>
      <c r="U56" s="2"/>
      <c r="V56" s="7">
        <f t="shared" si="28"/>
        <v>5.5181956062835484E-2</v>
      </c>
      <c r="W56" s="2"/>
      <c r="X56" s="6">
        <f t="shared" si="29"/>
        <v>-28664.709999999963</v>
      </c>
      <c r="Y56" s="2"/>
      <c r="Z56" s="7">
        <f t="shared" si="30"/>
        <v>-5.3710177922174682E-2</v>
      </c>
    </row>
    <row r="57" spans="1:26" s="24" customFormat="1" hidden="1" outlineLevel="2" x14ac:dyDescent="0.25">
      <c r="A57" s="26"/>
      <c r="B57" s="11" t="str">
        <f>CONCATENATE("          ", "6006", " - ", "TEMPORARY PART TIME")</f>
        <v xml:space="preserve">          6006 - TEMPORARY PART TIME</v>
      </c>
      <c r="C57" s="11"/>
      <c r="D57" s="6"/>
      <c r="E57" s="2"/>
      <c r="F57" s="7">
        <f t="shared" si="23"/>
        <v>0</v>
      </c>
      <c r="G57" s="2"/>
      <c r="H57" s="6">
        <v>7774.01</v>
      </c>
      <c r="I57" s="2"/>
      <c r="J57" s="7">
        <f t="shared" si="24"/>
        <v>1.0657298528547562E-2</v>
      </c>
      <c r="K57" s="2"/>
      <c r="L57" s="6">
        <f t="shared" si="25"/>
        <v>-7774.01</v>
      </c>
      <c r="M57" s="2"/>
      <c r="N57" s="7">
        <f t="shared" si="26"/>
        <v>-1</v>
      </c>
      <c r="O57" s="11"/>
      <c r="P57" s="6">
        <v>33612.15</v>
      </c>
      <c r="Q57" s="2"/>
      <c r="R57" s="7">
        <f t="shared" si="27"/>
        <v>4.8126317876605092E-3</v>
      </c>
      <c r="S57" s="2"/>
      <c r="T57" s="6">
        <v>50081.729999999996</v>
      </c>
      <c r="U57" s="2"/>
      <c r="V57" s="7">
        <f t="shared" si="28"/>
        <v>5.1782790740327661E-3</v>
      </c>
      <c r="W57" s="2"/>
      <c r="X57" s="6">
        <f t="shared" si="29"/>
        <v>-16469.579999999994</v>
      </c>
      <c r="Y57" s="2"/>
      <c r="Z57" s="7">
        <f t="shared" si="30"/>
        <v>-0.32885405516143301</v>
      </c>
    </row>
    <row r="58" spans="1:26" s="24" customFormat="1" hidden="1" outlineLevel="2" x14ac:dyDescent="0.25">
      <c r="A58" s="26"/>
      <c r="B58" s="11" t="str">
        <f>CONCATENATE("          ", "6007", " - ", "STUDENT HOURLY")</f>
        <v xml:space="preserve">          6007 - STUDENT HOURLY</v>
      </c>
      <c r="C58" s="11"/>
      <c r="D58" s="6"/>
      <c r="E58" s="2"/>
      <c r="F58" s="7">
        <f t="shared" si="23"/>
        <v>0</v>
      </c>
      <c r="G58" s="2"/>
      <c r="H58" s="6">
        <v>94767.52</v>
      </c>
      <c r="I58" s="2"/>
      <c r="J58" s="7">
        <f t="shared" si="24"/>
        <v>0.12991567433668103</v>
      </c>
      <c r="K58" s="2"/>
      <c r="L58" s="6">
        <f t="shared" si="25"/>
        <v>-94767.52</v>
      </c>
      <c r="M58" s="2"/>
      <c r="N58" s="7">
        <f t="shared" si="26"/>
        <v>-1</v>
      </c>
      <c r="O58" s="11"/>
      <c r="P58" s="6">
        <v>893279.31</v>
      </c>
      <c r="Q58" s="2"/>
      <c r="R58" s="7">
        <f t="shared" si="27"/>
        <v>0.12790090495744683</v>
      </c>
      <c r="S58" s="2"/>
      <c r="T58" s="6">
        <v>1111173.6200000001</v>
      </c>
      <c r="U58" s="2"/>
      <c r="V58" s="7">
        <f t="shared" si="28"/>
        <v>0.11489154036937697</v>
      </c>
      <c r="W58" s="2"/>
      <c r="X58" s="6">
        <f t="shared" si="29"/>
        <v>-217894.31000000006</v>
      </c>
      <c r="Y58" s="2"/>
      <c r="Z58" s="7">
        <f t="shared" si="30"/>
        <v>-0.19609384715234693</v>
      </c>
    </row>
    <row r="59" spans="1:26" s="24" customFormat="1" hidden="1" outlineLevel="2" x14ac:dyDescent="0.25">
      <c r="A59" s="26"/>
      <c r="B59" s="11" t="str">
        <f>CONCATENATE("          ", "6008", " - ", "STUDENT HOURLY-FICA EXEMPT")</f>
        <v xml:space="preserve">          6008 - STUDENT HOURLY-FICA EXEMPT</v>
      </c>
      <c r="C59" s="11"/>
      <c r="D59" s="6"/>
      <c r="E59" s="2"/>
      <c r="F59" s="7">
        <f t="shared" si="23"/>
        <v>0</v>
      </c>
      <c r="G59" s="2"/>
      <c r="H59" s="6">
        <v>11320.54</v>
      </c>
      <c r="I59" s="2"/>
      <c r="J59" s="7">
        <f t="shared" si="24"/>
        <v>1.5519194634990669E-2</v>
      </c>
      <c r="K59" s="2"/>
      <c r="L59" s="6">
        <f t="shared" si="25"/>
        <v>-11320.54</v>
      </c>
      <c r="M59" s="2"/>
      <c r="N59" s="7">
        <f t="shared" si="26"/>
        <v>-1</v>
      </c>
      <c r="O59" s="11"/>
      <c r="P59" s="6">
        <v>47294.18</v>
      </c>
      <c r="Q59" s="2"/>
      <c r="R59" s="7">
        <f t="shared" si="27"/>
        <v>6.7716428148552792E-3</v>
      </c>
      <c r="S59" s="2"/>
      <c r="T59" s="6">
        <v>93900.61</v>
      </c>
      <c r="U59" s="2"/>
      <c r="V59" s="7">
        <f t="shared" si="28"/>
        <v>9.7090009430966535E-3</v>
      </c>
      <c r="W59" s="2"/>
      <c r="X59" s="6">
        <f t="shared" si="29"/>
        <v>-46606.43</v>
      </c>
      <c r="Y59" s="2"/>
      <c r="Z59" s="7">
        <f t="shared" si="30"/>
        <v>-0.49633788321502914</v>
      </c>
    </row>
    <row r="60" spans="1:26" s="27" customFormat="1" outlineLevel="1" collapsed="1" x14ac:dyDescent="0.25">
      <c r="A60" s="25"/>
      <c r="B60" s="13" t="str">
        <f>CONCATENATE("     ","Advertising/Promo                                 ")</f>
        <v xml:space="preserve">     Advertising/Promo                                 </v>
      </c>
      <c r="C60" s="13"/>
      <c r="D60" s="1">
        <f>SUM(OSRRefD22_2x_0)</f>
        <v>109.76</v>
      </c>
      <c r="E60" s="1"/>
      <c r="F60" s="5">
        <f t="shared" ref="F60:F69" si="31">IF(D$12=0,0,D60/D$12)</f>
        <v>3.8702397743300425</v>
      </c>
      <c r="G60" s="1"/>
      <c r="H60" s="1">
        <f>SUM(OSRRefH22_2x_0)</f>
        <v>4321.5600000000004</v>
      </c>
      <c r="I60" s="1"/>
      <c r="J60" s="5">
        <f t="shared" ref="J60:J69" si="32">IF(H$12=0,0,H60/H$12)</f>
        <v>5.9243755833900402E-3</v>
      </c>
      <c r="K60" s="1"/>
      <c r="L60" s="1">
        <f t="shared" ref="L60:L69" si="33">+D60-H60</f>
        <v>-4211.8</v>
      </c>
      <c r="M60" s="1"/>
      <c r="N60" s="5">
        <f t="shared" ref="N60:N69" si="34">IF(H60=0,0,L60/H60)</f>
        <v>-0.97460176417775057</v>
      </c>
      <c r="O60" s="13"/>
      <c r="P60" s="1">
        <f>SUM(OSRRefP22_2x_0)</f>
        <v>32110.92</v>
      </c>
      <c r="Q60" s="1"/>
      <c r="R60" s="5">
        <f t="shared" ref="R60:R69" si="35">IF(P$12=0,0,P60/P$12)</f>
        <v>4.5976837043457076E-3</v>
      </c>
      <c r="S60" s="1"/>
      <c r="T60" s="1">
        <f>SUM(OSRRefT22_2x_0)</f>
        <v>39968.780000000006</v>
      </c>
      <c r="U60" s="1"/>
      <c r="V60" s="5">
        <f t="shared" ref="V60:V69" si="36">IF(T$12=0,0,T60/T$12)</f>
        <v>4.1326347370312369E-3</v>
      </c>
      <c r="W60" s="1"/>
      <c r="X60" s="1">
        <f t="shared" ref="X60:X69" si="37">+P60-T60</f>
        <v>-7857.8600000000079</v>
      </c>
      <c r="Y60" s="1"/>
      <c r="Z60" s="5">
        <f t="shared" ref="Z60:Z69" si="38">IF(T60=0,0,X60/T60)</f>
        <v>-0.19659994625805458</v>
      </c>
    </row>
    <row r="61" spans="1:26" s="24" customFormat="1" hidden="1" outlineLevel="2" x14ac:dyDescent="0.25">
      <c r="A61" s="26"/>
      <c r="B61" s="11" t="str">
        <f>CONCATENATE("          ", "6362", " - ", "ADVERTISING EXPENSE")</f>
        <v xml:space="preserve">          6362 - ADVERTISING EXPENSE</v>
      </c>
      <c r="C61" s="11"/>
      <c r="D61" s="6">
        <v>109.76</v>
      </c>
      <c r="E61" s="2"/>
      <c r="F61" s="7">
        <f t="shared" si="31"/>
        <v>3.8702397743300425</v>
      </c>
      <c r="G61" s="2"/>
      <c r="H61" s="6">
        <v>4321.5600000000004</v>
      </c>
      <c r="I61" s="2"/>
      <c r="J61" s="7">
        <f t="shared" si="32"/>
        <v>5.9243755833900402E-3</v>
      </c>
      <c r="K61" s="2"/>
      <c r="L61" s="6">
        <f t="shared" si="33"/>
        <v>-4211.8</v>
      </c>
      <c r="M61" s="2"/>
      <c r="N61" s="7">
        <f t="shared" si="34"/>
        <v>-0.97460176417775057</v>
      </c>
      <c r="O61" s="11"/>
      <c r="P61" s="6">
        <v>32110.92</v>
      </c>
      <c r="Q61" s="2"/>
      <c r="R61" s="7">
        <f t="shared" si="35"/>
        <v>4.5976837043457076E-3</v>
      </c>
      <c r="S61" s="2"/>
      <c r="T61" s="6">
        <v>39968.780000000006</v>
      </c>
      <c r="U61" s="2"/>
      <c r="V61" s="7">
        <f t="shared" si="36"/>
        <v>4.1326347370312369E-3</v>
      </c>
      <c r="W61" s="2"/>
      <c r="X61" s="6">
        <f t="shared" si="37"/>
        <v>-7857.8600000000079</v>
      </c>
      <c r="Y61" s="2"/>
      <c r="Z61" s="7">
        <f t="shared" si="38"/>
        <v>-0.19659994625805458</v>
      </c>
    </row>
    <row r="62" spans="1:26" s="27" customFormat="1" outlineLevel="1" collapsed="1" x14ac:dyDescent="0.25">
      <c r="A62" s="25"/>
      <c r="B62" s="13" t="str">
        <f>CONCATENATE("     ","Bad Debts/Over/Short                              ")</f>
        <v xml:space="preserve">     Bad Debts/Over/Short                              </v>
      </c>
      <c r="C62" s="13"/>
      <c r="D62" s="1">
        <f>SUM(OSRRefD22_3x_0)</f>
        <v>0</v>
      </c>
      <c r="E62" s="1"/>
      <c r="F62" s="5">
        <f t="shared" si="31"/>
        <v>0</v>
      </c>
      <c r="G62" s="1"/>
      <c r="H62" s="1">
        <f>SUM(OSRRefH22_3x_0)</f>
        <v>-134.6</v>
      </c>
      <c r="I62" s="1"/>
      <c r="J62" s="5">
        <f t="shared" si="32"/>
        <v>-1.8452155090390953E-4</v>
      </c>
      <c r="K62" s="1"/>
      <c r="L62" s="1">
        <f t="shared" si="33"/>
        <v>134.6</v>
      </c>
      <c r="M62" s="1"/>
      <c r="N62" s="5">
        <f t="shared" si="34"/>
        <v>-1</v>
      </c>
      <c r="O62" s="13"/>
      <c r="P62" s="1">
        <f>SUM(OSRRefP22_3x_0)</f>
        <v>-689.57</v>
      </c>
      <c r="Q62" s="1"/>
      <c r="R62" s="5">
        <f t="shared" si="35"/>
        <v>-9.8733538372792492E-5</v>
      </c>
      <c r="S62" s="1"/>
      <c r="T62" s="1">
        <f>SUM(OSRRefT22_3x_0)</f>
        <v>156.33000000000001</v>
      </c>
      <c r="U62" s="1"/>
      <c r="V62" s="5">
        <f t="shared" si="36"/>
        <v>1.6163985701842618E-5</v>
      </c>
      <c r="W62" s="1"/>
      <c r="X62" s="1">
        <f t="shared" si="37"/>
        <v>-845.90000000000009</v>
      </c>
      <c r="Y62" s="1"/>
      <c r="Z62" s="5">
        <f t="shared" si="38"/>
        <v>-5.4109895733384512</v>
      </c>
    </row>
    <row r="63" spans="1:26" s="24" customFormat="1" hidden="1" outlineLevel="2" x14ac:dyDescent="0.25">
      <c r="A63" s="26"/>
      <c r="B63" s="11" t="str">
        <f>CONCATENATE("          ", "6272", " - ", "CASH (OVER/SHORT)")</f>
        <v xml:space="preserve">          6272 - CASH (OVER/SHORT)</v>
      </c>
      <c r="C63" s="11"/>
      <c r="D63" s="6"/>
      <c r="E63" s="2"/>
      <c r="F63" s="7">
        <f t="shared" si="31"/>
        <v>0</v>
      </c>
      <c r="G63" s="2"/>
      <c r="H63" s="6">
        <v>-134.6</v>
      </c>
      <c r="I63" s="2"/>
      <c r="J63" s="7">
        <f t="shared" si="32"/>
        <v>-1.8452155090390953E-4</v>
      </c>
      <c r="K63" s="2"/>
      <c r="L63" s="6">
        <f t="shared" si="33"/>
        <v>134.6</v>
      </c>
      <c r="M63" s="2"/>
      <c r="N63" s="7">
        <f t="shared" si="34"/>
        <v>-1</v>
      </c>
      <c r="O63" s="11"/>
      <c r="P63" s="6">
        <v>-689.57</v>
      </c>
      <c r="Q63" s="2"/>
      <c r="R63" s="7">
        <f t="shared" si="35"/>
        <v>-9.8733538372792492E-5</v>
      </c>
      <c r="S63" s="2"/>
      <c r="T63" s="6">
        <v>156.33000000000001</v>
      </c>
      <c r="U63" s="2"/>
      <c r="V63" s="7">
        <f t="shared" si="36"/>
        <v>1.6163985701842618E-5</v>
      </c>
      <c r="W63" s="2"/>
      <c r="X63" s="6">
        <f t="shared" si="37"/>
        <v>-845.90000000000009</v>
      </c>
      <c r="Y63" s="2"/>
      <c r="Z63" s="7">
        <f t="shared" si="38"/>
        <v>-5.4109895733384512</v>
      </c>
    </row>
    <row r="64" spans="1:26" s="27" customFormat="1" outlineLevel="1" collapsed="1" x14ac:dyDescent="0.25">
      <c r="A64" s="25"/>
      <c r="B64" s="13" t="str">
        <f>CONCATENATE("     ","Bank/card Fees                                    ")</f>
        <v xml:space="preserve">     Bank/card Fees                                    </v>
      </c>
      <c r="C64" s="13"/>
      <c r="D64" s="1">
        <f>SUM(OSRRefD22_4x_0)</f>
        <v>312.5</v>
      </c>
      <c r="E64" s="1"/>
      <c r="F64" s="5">
        <f t="shared" si="31"/>
        <v>11.019040902679832</v>
      </c>
      <c r="G64" s="1"/>
      <c r="H64" s="1">
        <f>SUM(OSRRefH22_4x_0)</f>
        <v>33060.460000000006</v>
      </c>
      <c r="I64" s="1"/>
      <c r="J64" s="5">
        <f t="shared" si="32"/>
        <v>4.5322194300123818E-2</v>
      </c>
      <c r="K64" s="1"/>
      <c r="L64" s="1">
        <f t="shared" si="33"/>
        <v>-32747.960000000006</v>
      </c>
      <c r="M64" s="1"/>
      <c r="N64" s="5">
        <f t="shared" si="34"/>
        <v>-0.990547620934494</v>
      </c>
      <c r="O64" s="13"/>
      <c r="P64" s="1">
        <f>SUM(OSRRefP22_4x_0)</f>
        <v>238565.16</v>
      </c>
      <c r="Q64" s="1"/>
      <c r="R64" s="5">
        <f t="shared" si="35"/>
        <v>3.4158072971955535E-2</v>
      </c>
      <c r="S64" s="1"/>
      <c r="T64" s="1">
        <f>SUM(OSRRefT22_4x_0)</f>
        <v>312258.70999999996</v>
      </c>
      <c r="U64" s="1"/>
      <c r="V64" s="5">
        <f t="shared" si="36"/>
        <v>3.2286479394331345E-2</v>
      </c>
      <c r="W64" s="1"/>
      <c r="X64" s="1">
        <f t="shared" si="37"/>
        <v>-73693.549999999959</v>
      </c>
      <c r="Y64" s="1"/>
      <c r="Z64" s="5">
        <f t="shared" si="38"/>
        <v>-0.23600158343061101</v>
      </c>
    </row>
    <row r="65" spans="1:26" s="24" customFormat="1" hidden="1" outlineLevel="2" x14ac:dyDescent="0.25">
      <c r="A65" s="26"/>
      <c r="B65" s="11" t="str">
        <f>CONCATENATE("          ", "6381", " - ", "BANK/CREDIT CARD FEES")</f>
        <v xml:space="preserve">          6381 - BANK/CREDIT CARD FEES</v>
      </c>
      <c r="C65" s="11"/>
      <c r="D65" s="6">
        <v>312.5</v>
      </c>
      <c r="E65" s="2"/>
      <c r="F65" s="7">
        <f t="shared" si="31"/>
        <v>11.019040902679832</v>
      </c>
      <c r="G65" s="2"/>
      <c r="H65" s="6">
        <v>33060.460000000006</v>
      </c>
      <c r="I65" s="2"/>
      <c r="J65" s="7">
        <f t="shared" si="32"/>
        <v>4.5322194300123818E-2</v>
      </c>
      <c r="K65" s="2"/>
      <c r="L65" s="6">
        <f t="shared" si="33"/>
        <v>-32747.960000000006</v>
      </c>
      <c r="M65" s="2"/>
      <c r="N65" s="7">
        <f t="shared" si="34"/>
        <v>-0.990547620934494</v>
      </c>
      <c r="O65" s="11"/>
      <c r="P65" s="6">
        <v>238565.16</v>
      </c>
      <c r="Q65" s="2"/>
      <c r="R65" s="7">
        <f t="shared" si="35"/>
        <v>3.4158072971955535E-2</v>
      </c>
      <c r="S65" s="2"/>
      <c r="T65" s="6">
        <v>312258.70999999996</v>
      </c>
      <c r="U65" s="2"/>
      <c r="V65" s="7">
        <f t="shared" si="36"/>
        <v>3.2286479394331345E-2</v>
      </c>
      <c r="W65" s="2"/>
      <c r="X65" s="6">
        <f t="shared" si="37"/>
        <v>-73693.549999999959</v>
      </c>
      <c r="Y65" s="2"/>
      <c r="Z65" s="7">
        <f t="shared" si="38"/>
        <v>-0.23600158343061101</v>
      </c>
    </row>
    <row r="66" spans="1:26" s="27" customFormat="1" outlineLevel="1" collapsed="1" x14ac:dyDescent="0.25">
      <c r="A66" s="25"/>
      <c r="B66" s="13" t="str">
        <f>CONCATENATE("     ","Depreciation                                      ")</f>
        <v xml:space="preserve">     Depreciation                                      </v>
      </c>
      <c r="C66" s="13"/>
      <c r="D66" s="1">
        <f>SUM(OSRRefD22_5x_0)</f>
        <v>46707.92</v>
      </c>
      <c r="E66" s="1"/>
      <c r="F66" s="5">
        <f t="shared" si="31"/>
        <v>1646.9647390691114</v>
      </c>
      <c r="G66" s="1"/>
      <c r="H66" s="1">
        <f>SUM(OSRRefH22_5x_0)</f>
        <v>50497.600000000006</v>
      </c>
      <c r="I66" s="1"/>
      <c r="J66" s="5">
        <f t="shared" si="32"/>
        <v>6.9226563662149063E-2</v>
      </c>
      <c r="K66" s="1"/>
      <c r="L66" s="1">
        <f t="shared" si="33"/>
        <v>-3789.6800000000076</v>
      </c>
      <c r="M66" s="1"/>
      <c r="N66" s="5">
        <f t="shared" si="34"/>
        <v>-7.5046734894331751E-2</v>
      </c>
      <c r="O66" s="13"/>
      <c r="P66" s="1">
        <f>SUM(OSRRefP22_5x_0)</f>
        <v>534329.26</v>
      </c>
      <c r="Q66" s="1"/>
      <c r="R66" s="5">
        <f t="shared" si="35"/>
        <v>7.6505965305793192E-2</v>
      </c>
      <c r="S66" s="1"/>
      <c r="T66" s="1">
        <f>SUM(OSRRefT22_5x_0)</f>
        <v>526022.96</v>
      </c>
      <c r="U66" s="1"/>
      <c r="V66" s="5">
        <f t="shared" si="36"/>
        <v>5.4388969515006269E-2</v>
      </c>
      <c r="W66" s="1"/>
      <c r="X66" s="1">
        <f t="shared" si="37"/>
        <v>8306.3000000000466</v>
      </c>
      <c r="Y66" s="1"/>
      <c r="Z66" s="5">
        <f t="shared" si="38"/>
        <v>1.5790755597436368E-2</v>
      </c>
    </row>
    <row r="67" spans="1:26" s="24" customFormat="1" hidden="1" outlineLevel="2" x14ac:dyDescent="0.25">
      <c r="A67" s="26"/>
      <c r="B67" s="11" t="str">
        <f>CONCATENATE("          ", "6321", " - ", "BUILDING DEPRECIATION")</f>
        <v xml:space="preserve">          6321 - BUILDING DEPRECIATION</v>
      </c>
      <c r="C67" s="11"/>
      <c r="D67" s="6">
        <v>29123.47</v>
      </c>
      <c r="E67" s="2"/>
      <c r="F67" s="7">
        <f t="shared" si="31"/>
        <v>1026.9206629055009</v>
      </c>
      <c r="G67" s="2"/>
      <c r="H67" s="6">
        <v>31980.36</v>
      </c>
      <c r="I67" s="2"/>
      <c r="J67" s="7">
        <f t="shared" si="32"/>
        <v>4.3841497961852542E-2</v>
      </c>
      <c r="K67" s="2"/>
      <c r="L67" s="6">
        <f t="shared" si="33"/>
        <v>-2856.8899999999994</v>
      </c>
      <c r="M67" s="2"/>
      <c r="N67" s="7">
        <f t="shared" si="34"/>
        <v>-8.9332640408050418E-2</v>
      </c>
      <c r="O67" s="11"/>
      <c r="P67" s="6">
        <v>320358.17000000004</v>
      </c>
      <c r="Q67" s="2"/>
      <c r="R67" s="7">
        <f t="shared" si="35"/>
        <v>4.5869303581554569E-2</v>
      </c>
      <c r="S67" s="2"/>
      <c r="T67" s="6">
        <v>332684.76</v>
      </c>
      <c r="U67" s="2"/>
      <c r="V67" s="7">
        <f t="shared" si="36"/>
        <v>3.4398462891709482E-2</v>
      </c>
      <c r="W67" s="2"/>
      <c r="X67" s="6">
        <f t="shared" si="37"/>
        <v>-12326.589999999967</v>
      </c>
      <c r="Y67" s="2"/>
      <c r="Z67" s="7">
        <f t="shared" si="38"/>
        <v>-3.7051862550000689E-2</v>
      </c>
    </row>
    <row r="68" spans="1:26" s="24" customFormat="1" hidden="1" outlineLevel="2" x14ac:dyDescent="0.25">
      <c r="A68" s="26"/>
      <c r="B68" s="11" t="str">
        <f>CONCATENATE("          ", "6322", " - ", "EQUIPMENT DEPRECIATION EXPENSE")</f>
        <v xml:space="preserve">          6322 - EQUIPMENT DEPRECIATION EXPENSE</v>
      </c>
      <c r="C68" s="11"/>
      <c r="D68" s="6">
        <v>17584.449999999997</v>
      </c>
      <c r="E68" s="2"/>
      <c r="F68" s="7">
        <f t="shared" si="31"/>
        <v>620.04407616361061</v>
      </c>
      <c r="G68" s="2"/>
      <c r="H68" s="6">
        <v>18092.990000000002</v>
      </c>
      <c r="I68" s="2"/>
      <c r="J68" s="7">
        <f t="shared" si="32"/>
        <v>2.4803466384018771E-2</v>
      </c>
      <c r="K68" s="2"/>
      <c r="L68" s="6">
        <f t="shared" si="33"/>
        <v>-508.54000000000451</v>
      </c>
      <c r="M68" s="2"/>
      <c r="N68" s="7">
        <f t="shared" si="34"/>
        <v>-2.8107018242977223E-2</v>
      </c>
      <c r="O68" s="11"/>
      <c r="P68" s="6">
        <v>209728.61</v>
      </c>
      <c r="Q68" s="2"/>
      <c r="R68" s="7">
        <f t="shared" si="35"/>
        <v>3.0029217865202122E-2</v>
      </c>
      <c r="S68" s="2"/>
      <c r="T68" s="6">
        <v>188671.45</v>
      </c>
      <c r="U68" s="2"/>
      <c r="V68" s="7">
        <f t="shared" si="36"/>
        <v>1.9507980682824246E-2</v>
      </c>
      <c r="W68" s="2"/>
      <c r="X68" s="6">
        <f t="shared" si="37"/>
        <v>21057.159999999974</v>
      </c>
      <c r="Y68" s="2"/>
      <c r="Z68" s="7">
        <f t="shared" si="38"/>
        <v>0.11160755906630268</v>
      </c>
    </row>
    <row r="69" spans="1:26" s="24" customFormat="1" hidden="1" outlineLevel="2" x14ac:dyDescent="0.25">
      <c r="A69" s="26"/>
      <c r="B69" s="11" t="str">
        <f>CONCATENATE("          ", "6326", " - ", "VEHICLES DEPRECIATION EXPENSE")</f>
        <v xml:space="preserve">          6326 - VEHICLES DEPRECIATION EXPENSE</v>
      </c>
      <c r="C69" s="11"/>
      <c r="D69" s="6"/>
      <c r="E69" s="2"/>
      <c r="F69" s="7">
        <f t="shared" si="31"/>
        <v>0</v>
      </c>
      <c r="G69" s="2"/>
      <c r="H69" s="6">
        <v>424.25</v>
      </c>
      <c r="I69" s="2"/>
      <c r="J69" s="7">
        <f t="shared" si="32"/>
        <v>5.8159931627773862E-4</v>
      </c>
      <c r="K69" s="2"/>
      <c r="L69" s="6">
        <f t="shared" si="33"/>
        <v>-424.25</v>
      </c>
      <c r="M69" s="2"/>
      <c r="N69" s="7">
        <f t="shared" si="34"/>
        <v>-1</v>
      </c>
      <c r="O69" s="11"/>
      <c r="P69" s="6">
        <v>4242.4799999999996</v>
      </c>
      <c r="Q69" s="2"/>
      <c r="R69" s="7">
        <f t="shared" si="35"/>
        <v>6.0744385903650766E-4</v>
      </c>
      <c r="S69" s="2"/>
      <c r="T69" s="6">
        <v>4666.75</v>
      </c>
      <c r="U69" s="2"/>
      <c r="V69" s="7">
        <f t="shared" si="36"/>
        <v>4.8252594047255187E-4</v>
      </c>
      <c r="W69" s="2"/>
      <c r="X69" s="6">
        <f t="shared" si="37"/>
        <v>-424.27000000000044</v>
      </c>
      <c r="Y69" s="2"/>
      <c r="Z69" s="7">
        <f t="shared" si="38"/>
        <v>-9.0913376546847474E-2</v>
      </c>
    </row>
    <row r="70" spans="1:26" s="27" customFormat="1" outlineLevel="1" collapsed="1" x14ac:dyDescent="0.25">
      <c r="A70" s="25"/>
      <c r="B70" s="13" t="str">
        <f>CONCATENATE("     ","Discounts and Markdowns                           ")</f>
        <v xml:space="preserve">     Discounts and Markdowns                           </v>
      </c>
      <c r="C70" s="13"/>
      <c r="D70" s="1">
        <f>SUM(OSRRefD22_6x_0)</f>
        <v>0</v>
      </c>
      <c r="E70" s="1"/>
      <c r="F70" s="5">
        <f t="shared" ref="F70:F80" si="39">IF(D$12=0,0,D70/D$12)</f>
        <v>0</v>
      </c>
      <c r="G70" s="1"/>
      <c r="H70" s="1">
        <f>SUM(OSRRefH22_6x_0)</f>
        <v>6.33</v>
      </c>
      <c r="I70" s="1"/>
      <c r="J70" s="5">
        <f t="shared" ref="J70:J80" si="40">IF(H$12=0,0,H70/H$12)</f>
        <v>8.6777222676207086E-6</v>
      </c>
      <c r="K70" s="1"/>
      <c r="L70" s="1">
        <f t="shared" ref="L70:L80" si="41">+D70-H70</f>
        <v>-6.33</v>
      </c>
      <c r="M70" s="1"/>
      <c r="N70" s="5">
        <f t="shared" ref="N70:N80" si="42">IF(H70=0,0,L70/H70)</f>
        <v>-1</v>
      </c>
      <c r="O70" s="13"/>
      <c r="P70" s="1">
        <f>SUM(OSRRefP22_6x_0)</f>
        <v>125.96</v>
      </c>
      <c r="Q70" s="1"/>
      <c r="R70" s="5">
        <f t="shared" ref="R70:R80" si="43">IF(P$12=0,0,P70/P$12)</f>
        <v>1.8035118252587758E-5</v>
      </c>
      <c r="S70" s="1"/>
      <c r="T70" s="1">
        <f>SUM(OSRRefT22_6x_0)</f>
        <v>134.54</v>
      </c>
      <c r="U70" s="1"/>
      <c r="V70" s="5">
        <f t="shared" ref="V70:V80" si="44">IF(T$12=0,0,T70/T$12)</f>
        <v>1.3910974453565571E-5</v>
      </c>
      <c r="W70" s="1"/>
      <c r="X70" s="1">
        <f t="shared" ref="X70:X80" si="45">+P70-T70</f>
        <v>-8.5799999999999983</v>
      </c>
      <c r="Y70" s="1"/>
      <c r="Z70" s="5">
        <f t="shared" ref="Z70:Z80" si="46">IF(T70=0,0,X70/T70)</f>
        <v>-6.3772855656310384E-2</v>
      </c>
    </row>
    <row r="71" spans="1:26" s="24" customFormat="1" hidden="1" outlineLevel="2" x14ac:dyDescent="0.25">
      <c r="A71" s="26"/>
      <c r="B71" s="11" t="str">
        <f>CONCATENATE("          ", "6382", " - ", "DISCOUNTS/MARK DOWNS")</f>
        <v xml:space="preserve">          6382 - DISCOUNTS/MARK DOWNS</v>
      </c>
      <c r="C71" s="11"/>
      <c r="D71" s="6"/>
      <c r="E71" s="2"/>
      <c r="F71" s="7">
        <f t="shared" si="39"/>
        <v>0</v>
      </c>
      <c r="G71" s="2"/>
      <c r="H71" s="6">
        <v>6.33</v>
      </c>
      <c r="I71" s="2"/>
      <c r="J71" s="7">
        <f t="shared" si="40"/>
        <v>8.6777222676207086E-6</v>
      </c>
      <c r="K71" s="2"/>
      <c r="L71" s="6">
        <f t="shared" si="41"/>
        <v>-6.33</v>
      </c>
      <c r="M71" s="2"/>
      <c r="N71" s="7">
        <f t="shared" si="42"/>
        <v>-1</v>
      </c>
      <c r="O71" s="11"/>
      <c r="P71" s="6">
        <v>125.96</v>
      </c>
      <c r="Q71" s="2"/>
      <c r="R71" s="7">
        <f t="shared" si="43"/>
        <v>1.8035118252587758E-5</v>
      </c>
      <c r="S71" s="2"/>
      <c r="T71" s="6">
        <v>134.54</v>
      </c>
      <c r="U71" s="2"/>
      <c r="V71" s="7">
        <f t="shared" si="44"/>
        <v>1.3910974453565571E-5</v>
      </c>
      <c r="W71" s="2"/>
      <c r="X71" s="6">
        <f t="shared" si="45"/>
        <v>-8.5799999999999983</v>
      </c>
      <c r="Y71" s="2"/>
      <c r="Z71" s="7">
        <f t="shared" si="46"/>
        <v>-6.3772855656310384E-2</v>
      </c>
    </row>
    <row r="72" spans="1:26" s="27" customFormat="1" outlineLevel="1" collapsed="1" x14ac:dyDescent="0.25">
      <c r="A72" s="25"/>
      <c r="B72" s="13" t="str">
        <f>CONCATENATE("     ","Donations                                         ")</f>
        <v xml:space="preserve">     Donations                                         </v>
      </c>
      <c r="C72" s="13"/>
      <c r="D72" s="1">
        <f>SUM(OSRRefD22_7x_0)</f>
        <v>0</v>
      </c>
      <c r="E72" s="1"/>
      <c r="F72" s="5">
        <f t="shared" si="39"/>
        <v>0</v>
      </c>
      <c r="G72" s="1"/>
      <c r="H72" s="1">
        <f>SUM(OSRRefH22_7x_0)</f>
        <v>100</v>
      </c>
      <c r="I72" s="1"/>
      <c r="J72" s="5">
        <f t="shared" si="40"/>
        <v>1.3708881939369208E-4</v>
      </c>
      <c r="K72" s="1"/>
      <c r="L72" s="1">
        <f t="shared" si="41"/>
        <v>-100</v>
      </c>
      <c r="M72" s="1"/>
      <c r="N72" s="5">
        <f t="shared" si="42"/>
        <v>-1</v>
      </c>
      <c r="O72" s="13"/>
      <c r="P72" s="1">
        <f>SUM(OSRRefP22_7x_0)</f>
        <v>236.68</v>
      </c>
      <c r="Q72" s="1"/>
      <c r="R72" s="5">
        <f t="shared" si="43"/>
        <v>3.3888153286936101E-5</v>
      </c>
      <c r="S72" s="1"/>
      <c r="T72" s="1">
        <f>SUM(OSRRefT22_7x_0)</f>
        <v>1038.48</v>
      </c>
      <c r="U72" s="1"/>
      <c r="V72" s="5">
        <f t="shared" si="44"/>
        <v>1.0737526944060334E-4</v>
      </c>
      <c r="W72" s="1"/>
      <c r="X72" s="1">
        <f t="shared" si="45"/>
        <v>-801.8</v>
      </c>
      <c r="Y72" s="1"/>
      <c r="Z72" s="5">
        <f t="shared" si="46"/>
        <v>-0.77208997765965637</v>
      </c>
    </row>
    <row r="73" spans="1:26" s="24" customFormat="1" hidden="1" outlineLevel="2" x14ac:dyDescent="0.25">
      <c r="A73" s="26"/>
      <c r="B73" s="11" t="str">
        <f>CONCATENATE("          ", "6399", " - ", "DONATION-ON CAMPUS")</f>
        <v xml:space="preserve">          6399 - DONATION-ON CAMPUS</v>
      </c>
      <c r="C73" s="11"/>
      <c r="D73" s="6"/>
      <c r="E73" s="2"/>
      <c r="F73" s="7">
        <f t="shared" si="39"/>
        <v>0</v>
      </c>
      <c r="G73" s="2"/>
      <c r="H73" s="6">
        <v>100</v>
      </c>
      <c r="I73" s="2"/>
      <c r="J73" s="7">
        <f t="shared" si="40"/>
        <v>1.3708881939369208E-4</v>
      </c>
      <c r="K73" s="2"/>
      <c r="L73" s="6">
        <f t="shared" si="41"/>
        <v>-100</v>
      </c>
      <c r="M73" s="2"/>
      <c r="N73" s="7">
        <f t="shared" si="42"/>
        <v>-1</v>
      </c>
      <c r="O73" s="11"/>
      <c r="P73" s="6">
        <v>236.68</v>
      </c>
      <c r="Q73" s="2"/>
      <c r="R73" s="7">
        <f t="shared" si="43"/>
        <v>3.3888153286936101E-5</v>
      </c>
      <c r="S73" s="2"/>
      <c r="T73" s="6">
        <v>1038.48</v>
      </c>
      <c r="U73" s="2"/>
      <c r="V73" s="7">
        <f t="shared" si="44"/>
        <v>1.0737526944060334E-4</v>
      </c>
      <c r="W73" s="2"/>
      <c r="X73" s="6">
        <f t="shared" si="45"/>
        <v>-801.8</v>
      </c>
      <c r="Y73" s="2"/>
      <c r="Z73" s="7">
        <f t="shared" si="46"/>
        <v>-0.77208997765965637</v>
      </c>
    </row>
    <row r="74" spans="1:26" s="27" customFormat="1" outlineLevel="1" collapsed="1" x14ac:dyDescent="0.25">
      <c r="A74" s="25"/>
      <c r="B74" s="13" t="str">
        <f>CONCATENATE("     ","Employees' Appreciation                           ")</f>
        <v xml:space="preserve">     Employees' Appreciation                           </v>
      </c>
      <c r="C74" s="13"/>
      <c r="D74" s="1">
        <f>SUM(OSRRefD22_8x_0)</f>
        <v>0</v>
      </c>
      <c r="E74" s="1"/>
      <c r="F74" s="5">
        <f t="shared" si="39"/>
        <v>0</v>
      </c>
      <c r="G74" s="1"/>
      <c r="H74" s="1">
        <f>SUM(OSRRefH22_8x_0)</f>
        <v>1052.5899999999999</v>
      </c>
      <c r="I74" s="1"/>
      <c r="J74" s="5">
        <f t="shared" si="40"/>
        <v>1.4429832040560634E-3</v>
      </c>
      <c r="K74" s="1"/>
      <c r="L74" s="1">
        <f t="shared" si="41"/>
        <v>-1052.5899999999999</v>
      </c>
      <c r="M74" s="1"/>
      <c r="N74" s="5">
        <f t="shared" si="42"/>
        <v>-1</v>
      </c>
      <c r="O74" s="13"/>
      <c r="P74" s="1">
        <f>SUM(OSRRefP22_8x_0)</f>
        <v>1836.65</v>
      </c>
      <c r="Q74" s="1"/>
      <c r="R74" s="5">
        <f t="shared" si="43"/>
        <v>2.6297395949996278E-4</v>
      </c>
      <c r="S74" s="1"/>
      <c r="T74" s="1">
        <f>SUM(OSRRefT22_8x_0)</f>
        <v>4322.71</v>
      </c>
      <c r="U74" s="1"/>
      <c r="V74" s="5">
        <f t="shared" si="44"/>
        <v>4.46953384719581E-4</v>
      </c>
      <c r="W74" s="1"/>
      <c r="X74" s="1">
        <f t="shared" si="45"/>
        <v>-2486.06</v>
      </c>
      <c r="Y74" s="1"/>
      <c r="Z74" s="5">
        <f t="shared" si="46"/>
        <v>-0.57511607301900891</v>
      </c>
    </row>
    <row r="75" spans="1:26" s="24" customFormat="1" hidden="1" outlineLevel="2" x14ac:dyDescent="0.25">
      <c r="A75" s="26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39"/>
        <v>0</v>
      </c>
      <c r="G75" s="2"/>
      <c r="H75" s="6">
        <v>1052.5899999999999</v>
      </c>
      <c r="I75" s="2"/>
      <c r="J75" s="7">
        <f t="shared" si="40"/>
        <v>1.4429832040560634E-3</v>
      </c>
      <c r="K75" s="2"/>
      <c r="L75" s="6">
        <f t="shared" si="41"/>
        <v>-1052.5899999999999</v>
      </c>
      <c r="M75" s="2"/>
      <c r="N75" s="7">
        <f t="shared" si="42"/>
        <v>-1</v>
      </c>
      <c r="O75" s="11"/>
      <c r="P75" s="6">
        <v>1836.65</v>
      </c>
      <c r="Q75" s="2"/>
      <c r="R75" s="7">
        <f t="shared" si="43"/>
        <v>2.6297395949996278E-4</v>
      </c>
      <c r="S75" s="2"/>
      <c r="T75" s="6">
        <v>4322.71</v>
      </c>
      <c r="U75" s="2"/>
      <c r="V75" s="7">
        <f t="shared" si="44"/>
        <v>4.46953384719581E-4</v>
      </c>
      <c r="W75" s="2"/>
      <c r="X75" s="6">
        <f t="shared" si="45"/>
        <v>-2486.06</v>
      </c>
      <c r="Y75" s="2"/>
      <c r="Z75" s="7">
        <f t="shared" si="46"/>
        <v>-0.57511607301900891</v>
      </c>
    </row>
    <row r="76" spans="1:26" s="27" customFormat="1" outlineLevel="1" collapsed="1" x14ac:dyDescent="0.25">
      <c r="A76" s="25"/>
      <c r="B76" s="13" t="str">
        <f>CONCATENATE("     ","Equipment Rental                                  ")</f>
        <v xml:space="preserve">     Equipment Rental                                  </v>
      </c>
      <c r="C76" s="13"/>
      <c r="D76" s="1">
        <f>SUM(OSRRefD22_9x_0)</f>
        <v>1485.11</v>
      </c>
      <c r="E76" s="1"/>
      <c r="F76" s="5">
        <f t="shared" si="39"/>
        <v>52.366361071932296</v>
      </c>
      <c r="G76" s="1"/>
      <c r="H76" s="1">
        <f>SUM(OSRRefH22_9x_0)</f>
        <v>2576.0500000000002</v>
      </c>
      <c r="I76" s="1"/>
      <c r="J76" s="5">
        <f t="shared" si="40"/>
        <v>3.531476531991205E-3</v>
      </c>
      <c r="K76" s="1"/>
      <c r="L76" s="1">
        <f t="shared" si="41"/>
        <v>-1090.9400000000003</v>
      </c>
      <c r="M76" s="1"/>
      <c r="N76" s="5">
        <f t="shared" si="42"/>
        <v>-0.42349333281574514</v>
      </c>
      <c r="O76" s="13"/>
      <c r="P76" s="1">
        <f>SUM(OSRRefP22_9x_0)</f>
        <v>27530.68</v>
      </c>
      <c r="Q76" s="1"/>
      <c r="R76" s="5">
        <f t="shared" si="43"/>
        <v>3.9418789248503719E-3</v>
      </c>
      <c r="S76" s="1"/>
      <c r="T76" s="1">
        <f>SUM(OSRRefT22_9x_0)</f>
        <v>20444.25</v>
      </c>
      <c r="U76" s="1"/>
      <c r="V76" s="5">
        <f t="shared" si="44"/>
        <v>2.1138653149420836E-3</v>
      </c>
      <c r="W76" s="1"/>
      <c r="X76" s="1">
        <f t="shared" si="45"/>
        <v>7086.43</v>
      </c>
      <c r="Y76" s="1"/>
      <c r="Z76" s="5">
        <f t="shared" si="46"/>
        <v>0.34662215537376034</v>
      </c>
    </row>
    <row r="77" spans="1:26" s="24" customFormat="1" hidden="1" outlineLevel="2" x14ac:dyDescent="0.25">
      <c r="A77" s="26"/>
      <c r="B77" s="11" t="str">
        <f>CONCATENATE("          ", "6351", " - ", "EQUIPMENT RENTAL")</f>
        <v xml:space="preserve">          6351 - EQUIPMENT RENTAL</v>
      </c>
      <c r="C77" s="11"/>
      <c r="D77" s="6">
        <v>1485.11</v>
      </c>
      <c r="E77" s="2"/>
      <c r="F77" s="7">
        <f t="shared" si="39"/>
        <v>52.366361071932296</v>
      </c>
      <c r="G77" s="2"/>
      <c r="H77" s="6">
        <v>2576.0500000000002</v>
      </c>
      <c r="I77" s="2"/>
      <c r="J77" s="7">
        <f t="shared" si="40"/>
        <v>3.531476531991205E-3</v>
      </c>
      <c r="K77" s="2"/>
      <c r="L77" s="6">
        <f t="shared" si="41"/>
        <v>-1090.9400000000003</v>
      </c>
      <c r="M77" s="2"/>
      <c r="N77" s="7">
        <f t="shared" si="42"/>
        <v>-0.42349333281574514</v>
      </c>
      <c r="O77" s="11"/>
      <c r="P77" s="6">
        <v>27530.68</v>
      </c>
      <c r="Q77" s="2"/>
      <c r="R77" s="7">
        <f t="shared" si="43"/>
        <v>3.9418789248503719E-3</v>
      </c>
      <c r="S77" s="2"/>
      <c r="T77" s="6">
        <v>20444.25</v>
      </c>
      <c r="U77" s="2"/>
      <c r="V77" s="7">
        <f t="shared" si="44"/>
        <v>2.1138653149420836E-3</v>
      </c>
      <c r="W77" s="2"/>
      <c r="X77" s="6">
        <f t="shared" si="45"/>
        <v>7086.43</v>
      </c>
      <c r="Y77" s="2"/>
      <c r="Z77" s="7">
        <f t="shared" si="46"/>
        <v>0.34662215537376034</v>
      </c>
    </row>
    <row r="78" spans="1:26" s="27" customFormat="1" outlineLevel="1" collapsed="1" x14ac:dyDescent="0.25">
      <c r="A78" s="25"/>
      <c r="B78" s="13" t="str">
        <f>CONCATENATE("     ","Freight out/Postage                               ")</f>
        <v xml:space="preserve">     Freight out/Postage                               </v>
      </c>
      <c r="C78" s="13"/>
      <c r="D78" s="1">
        <f>SUM(OSRRefD22_10x_0)</f>
        <v>0.57999999999999996</v>
      </c>
      <c r="E78" s="1"/>
      <c r="F78" s="5">
        <f t="shared" si="39"/>
        <v>2.0451339915373765E-2</v>
      </c>
      <c r="G78" s="1"/>
      <c r="H78" s="1">
        <f>SUM(OSRRefH22_10x_0)</f>
        <v>79.33</v>
      </c>
      <c r="I78" s="1"/>
      <c r="J78" s="5">
        <f t="shared" si="40"/>
        <v>1.0875256042501592E-4</v>
      </c>
      <c r="K78" s="1"/>
      <c r="L78" s="1">
        <f t="shared" si="41"/>
        <v>-78.75</v>
      </c>
      <c r="M78" s="1"/>
      <c r="N78" s="5">
        <f t="shared" si="42"/>
        <v>-0.99268876843564857</v>
      </c>
      <c r="O78" s="13"/>
      <c r="P78" s="1">
        <f>SUM(OSRRefP22_10x_0)</f>
        <v>331.76</v>
      </c>
      <c r="Q78" s="1"/>
      <c r="R78" s="5">
        <f t="shared" si="43"/>
        <v>4.750183257763191E-5</v>
      </c>
      <c r="S78" s="1"/>
      <c r="T78" s="1">
        <f>SUM(OSRRefT22_10x_0)</f>
        <v>589.82000000000005</v>
      </c>
      <c r="U78" s="1"/>
      <c r="V78" s="5">
        <f t="shared" si="44"/>
        <v>6.0985364591958119E-5</v>
      </c>
      <c r="W78" s="1"/>
      <c r="X78" s="1">
        <f t="shared" si="45"/>
        <v>-258.06000000000006</v>
      </c>
      <c r="Y78" s="1"/>
      <c r="Z78" s="5">
        <f t="shared" si="46"/>
        <v>-0.43752331219694152</v>
      </c>
    </row>
    <row r="79" spans="1:26" s="24" customFormat="1" hidden="1" outlineLevel="2" x14ac:dyDescent="0.25">
      <c r="A79" s="26"/>
      <c r="B79" s="11" t="str">
        <f>CONCATENATE("          ", "6305", " - ", "FREIGHT OUT")</f>
        <v xml:space="preserve">          6305 - FREIGHT OUT</v>
      </c>
      <c r="C79" s="11"/>
      <c r="D79" s="6"/>
      <c r="E79" s="2"/>
      <c r="F79" s="7">
        <f t="shared" si="39"/>
        <v>0</v>
      </c>
      <c r="G79" s="2"/>
      <c r="H79" s="6">
        <v>79.33</v>
      </c>
      <c r="I79" s="2"/>
      <c r="J79" s="7">
        <f t="shared" si="40"/>
        <v>1.0875256042501592E-4</v>
      </c>
      <c r="K79" s="2"/>
      <c r="L79" s="6">
        <f t="shared" si="41"/>
        <v>-79.33</v>
      </c>
      <c r="M79" s="2"/>
      <c r="N79" s="7">
        <f t="shared" si="42"/>
        <v>-1</v>
      </c>
      <c r="O79" s="11"/>
      <c r="P79" s="6">
        <v>331.18</v>
      </c>
      <c r="Q79" s="2"/>
      <c r="R79" s="7">
        <f t="shared" si="43"/>
        <v>4.7418787415782905E-5</v>
      </c>
      <c r="S79" s="2"/>
      <c r="T79" s="6">
        <v>588.74</v>
      </c>
      <c r="U79" s="2"/>
      <c r="V79" s="7">
        <f t="shared" si="44"/>
        <v>6.0873696296954026E-5</v>
      </c>
      <c r="W79" s="2"/>
      <c r="X79" s="6">
        <f t="shared" si="45"/>
        <v>-257.56</v>
      </c>
      <c r="Y79" s="2"/>
      <c r="Z79" s="7">
        <f t="shared" si="46"/>
        <v>-0.43747664503855693</v>
      </c>
    </row>
    <row r="80" spans="1:26" s="24" customFormat="1" hidden="1" outlineLevel="2" x14ac:dyDescent="0.25">
      <c r="A80" s="26"/>
      <c r="B80" s="11" t="str">
        <f>CONCATENATE("          ", "6307", " - ", "POSTAGE")</f>
        <v xml:space="preserve">          6307 - POSTAGE</v>
      </c>
      <c r="C80" s="11"/>
      <c r="D80" s="6">
        <v>0.57999999999999996</v>
      </c>
      <c r="E80" s="2"/>
      <c r="F80" s="7">
        <f t="shared" si="39"/>
        <v>2.0451339915373765E-2</v>
      </c>
      <c r="G80" s="2"/>
      <c r="H80" s="6"/>
      <c r="I80" s="2"/>
      <c r="J80" s="7">
        <f t="shared" si="40"/>
        <v>0</v>
      </c>
      <c r="K80" s="2"/>
      <c r="L80" s="6">
        <f t="shared" si="41"/>
        <v>0.57999999999999996</v>
      </c>
      <c r="M80" s="2"/>
      <c r="N80" s="7">
        <f t="shared" si="42"/>
        <v>0</v>
      </c>
      <c r="O80" s="11"/>
      <c r="P80" s="6">
        <v>0.57999999999999996</v>
      </c>
      <c r="Q80" s="2"/>
      <c r="R80" s="7">
        <f t="shared" si="43"/>
        <v>8.3045161849006827E-8</v>
      </c>
      <c r="S80" s="2"/>
      <c r="T80" s="6">
        <v>1.08</v>
      </c>
      <c r="U80" s="2"/>
      <c r="V80" s="7">
        <f t="shared" si="44"/>
        <v>1.1166829500409408E-7</v>
      </c>
      <c r="W80" s="2"/>
      <c r="X80" s="6">
        <f t="shared" si="45"/>
        <v>-0.50000000000000011</v>
      </c>
      <c r="Y80" s="2"/>
      <c r="Z80" s="7">
        <f t="shared" si="46"/>
        <v>-0.46296296296296302</v>
      </c>
    </row>
    <row r="81" spans="1:26" s="27" customFormat="1" outlineLevel="1" collapsed="1" x14ac:dyDescent="0.25">
      <c r="A81" s="25"/>
      <c r="B81" s="13" t="str">
        <f>CONCATENATE("     ","General                                           ")</f>
        <v xml:space="preserve">     General                                           </v>
      </c>
      <c r="C81" s="13"/>
      <c r="D81" s="1">
        <f>SUM(OSRRefD22_11x_0)</f>
        <v>-1200</v>
      </c>
      <c r="E81" s="1"/>
      <c r="F81" s="5">
        <f t="shared" ref="F81:F83" si="47">IF(D$12=0,0,D81/D$12)</f>
        <v>-42.313117066290552</v>
      </c>
      <c r="G81" s="1"/>
      <c r="H81" s="1">
        <f>SUM(OSRRefH22_11x_0)</f>
        <v>2935.5</v>
      </c>
      <c r="I81" s="1"/>
      <c r="J81" s="5">
        <f t="shared" ref="J81:J83" si="48">IF(H$12=0,0,H81/H$12)</f>
        <v>4.0242422933018307E-3</v>
      </c>
      <c r="K81" s="1"/>
      <c r="L81" s="1">
        <f t="shared" ref="L81:L83" si="49">+D81-H81</f>
        <v>-4135.5</v>
      </c>
      <c r="M81" s="1"/>
      <c r="N81" s="5">
        <f t="shared" ref="N81:N83" si="50">IF(H81=0,0,L81/H81)</f>
        <v>-1.4087889626980072</v>
      </c>
      <c r="O81" s="13"/>
      <c r="P81" s="1">
        <f>SUM(OSRRefP22_11x_0)</f>
        <v>94368.49</v>
      </c>
      <c r="Q81" s="1"/>
      <c r="R81" s="5">
        <f t="shared" ref="R81:R83" si="51">IF(P$12=0,0,P81/P$12)</f>
        <v>1.3511804354304109E-2</v>
      </c>
      <c r="S81" s="1"/>
      <c r="T81" s="1">
        <f>SUM(OSRRefT22_11x_0)</f>
        <v>68543.14</v>
      </c>
      <c r="U81" s="1"/>
      <c r="V81" s="5">
        <f t="shared" ref="V81:V83" si="52">IF(T$12=0,0,T81/T$12)</f>
        <v>7.087125535210112E-3</v>
      </c>
      <c r="W81" s="1"/>
      <c r="X81" s="1">
        <f t="shared" ref="X81:X83" si="53">+P81-T81</f>
        <v>25825.350000000006</v>
      </c>
      <c r="Y81" s="1"/>
      <c r="Z81" s="5">
        <f t="shared" ref="Z81:Z83" si="54">IF(T81=0,0,X81/T81)</f>
        <v>0.37677512293717513</v>
      </c>
    </row>
    <row r="82" spans="1:26" s="24" customFormat="1" hidden="1" outlineLevel="2" x14ac:dyDescent="0.25">
      <c r="A82" s="26"/>
      <c r="B82" s="11" t="str">
        <f>CONCATENATE("          ", "6269", " - ", "ENTERTAINMENT")</f>
        <v xml:space="preserve">          6269 - ENTERTAINMENT</v>
      </c>
      <c r="C82" s="11"/>
      <c r="D82" s="6"/>
      <c r="E82" s="2"/>
      <c r="F82" s="7">
        <f t="shared" si="47"/>
        <v>0</v>
      </c>
      <c r="G82" s="2"/>
      <c r="H82" s="6">
        <v>164.27</v>
      </c>
      <c r="I82" s="2"/>
      <c r="J82" s="7">
        <f t="shared" si="48"/>
        <v>2.25195803618018E-4</v>
      </c>
      <c r="K82" s="2"/>
      <c r="L82" s="6">
        <f t="shared" si="49"/>
        <v>-164.27</v>
      </c>
      <c r="M82" s="2"/>
      <c r="N82" s="7">
        <f t="shared" si="50"/>
        <v>-1</v>
      </c>
      <c r="O82" s="11"/>
      <c r="P82" s="6">
        <v>10050</v>
      </c>
      <c r="Q82" s="2"/>
      <c r="R82" s="7">
        <f t="shared" si="51"/>
        <v>1.4389722010043425E-3</v>
      </c>
      <c r="S82" s="2"/>
      <c r="T82" s="6">
        <v>10824.27</v>
      </c>
      <c r="U82" s="2"/>
      <c r="V82" s="7">
        <f t="shared" si="52"/>
        <v>1.1191923847814495E-3</v>
      </c>
      <c r="W82" s="2"/>
      <c r="X82" s="6">
        <f t="shared" si="53"/>
        <v>-774.27000000000044</v>
      </c>
      <c r="Y82" s="2"/>
      <c r="Z82" s="7">
        <f t="shared" si="54"/>
        <v>-7.1530920791887151E-2</v>
      </c>
    </row>
    <row r="83" spans="1:26" s="24" customFormat="1" hidden="1" outlineLevel="2" x14ac:dyDescent="0.25">
      <c r="A83" s="26"/>
      <c r="B83" s="11" t="str">
        <f>CONCATENATE("          ", "6279", " - ", "GENERAL EXPENSE")</f>
        <v xml:space="preserve">          6279 - GENERAL EXPENSE</v>
      </c>
      <c r="C83" s="11"/>
      <c r="D83" s="6">
        <v>-1200</v>
      </c>
      <c r="E83" s="2"/>
      <c r="F83" s="7">
        <f t="shared" si="47"/>
        <v>-42.313117066290552</v>
      </c>
      <c r="G83" s="2"/>
      <c r="H83" s="6">
        <v>2771.23</v>
      </c>
      <c r="I83" s="2"/>
      <c r="J83" s="7">
        <f t="shared" si="48"/>
        <v>3.799046489683813E-3</v>
      </c>
      <c r="K83" s="2"/>
      <c r="L83" s="6">
        <f t="shared" si="49"/>
        <v>-3971.23</v>
      </c>
      <c r="M83" s="2"/>
      <c r="N83" s="7">
        <f t="shared" si="50"/>
        <v>-1.4330207164327753</v>
      </c>
      <c r="O83" s="11"/>
      <c r="P83" s="6">
        <v>84318.49</v>
      </c>
      <c r="Q83" s="2"/>
      <c r="R83" s="7">
        <f t="shared" si="51"/>
        <v>1.2072832153299767E-2</v>
      </c>
      <c r="S83" s="2"/>
      <c r="T83" s="6">
        <v>57718.87</v>
      </c>
      <c r="U83" s="2"/>
      <c r="V83" s="7">
        <f t="shared" si="52"/>
        <v>5.9679331504286625E-3</v>
      </c>
      <c r="W83" s="2"/>
      <c r="X83" s="6">
        <f t="shared" si="53"/>
        <v>26599.620000000003</v>
      </c>
      <c r="Y83" s="2"/>
      <c r="Z83" s="7">
        <f t="shared" si="54"/>
        <v>0.46084789948243965</v>
      </c>
    </row>
    <row r="84" spans="1:26" s="27" customFormat="1" outlineLevel="1" collapsed="1" x14ac:dyDescent="0.25">
      <c r="A84" s="25"/>
      <c r="B84" s="13" t="str">
        <f>CONCATENATE("     ","Insurance                                         ")</f>
        <v xml:space="preserve">     Insurance                                         </v>
      </c>
      <c r="C84" s="13"/>
      <c r="D84" s="1">
        <f>SUM(OSRRefD22_12x_0)</f>
        <v>4483.67</v>
      </c>
      <c r="E84" s="1"/>
      <c r="F84" s="5">
        <f t="shared" ref="F84:F96" si="55">IF(D$12=0,0,D84/D$12)</f>
        <v>158.09837799717914</v>
      </c>
      <c r="G84" s="1"/>
      <c r="H84" s="1">
        <f>SUM(OSRRefH22_12x_0)</f>
        <v>4222.62</v>
      </c>
      <c r="I84" s="1"/>
      <c r="J84" s="5">
        <f t="shared" ref="J84:J96" si="56">IF(H$12=0,0,H84/H$12)</f>
        <v>5.7887399054819206E-3</v>
      </c>
      <c r="K84" s="1"/>
      <c r="L84" s="1">
        <f t="shared" ref="L84:L96" si="57">+D84-H84</f>
        <v>261.05000000000018</v>
      </c>
      <c r="M84" s="1"/>
      <c r="N84" s="5">
        <f t="shared" ref="N84:N96" si="58">IF(H84=0,0,L84/H84)</f>
        <v>6.1821807313942573E-2</v>
      </c>
      <c r="O84" s="13"/>
      <c r="P84" s="1">
        <f>SUM(OSRRefP22_12x_0)</f>
        <v>55081.369999999995</v>
      </c>
      <c r="Q84" s="1"/>
      <c r="R84" s="5">
        <f t="shared" ref="R84:R96" si="59">IF(P$12=0,0,P84/P$12)</f>
        <v>7.8866229077845327E-3</v>
      </c>
      <c r="S84" s="1"/>
      <c r="T84" s="1">
        <f>SUM(OSRRefT22_12x_0)</f>
        <v>43524.12</v>
      </c>
      <c r="U84" s="1"/>
      <c r="V84" s="5">
        <f t="shared" ref="V84:V96" si="60">IF(T$12=0,0,T84/T$12)</f>
        <v>4.5002446962533254E-3</v>
      </c>
      <c r="W84" s="1"/>
      <c r="X84" s="1">
        <f t="shared" ref="X84:X96" si="61">+P84-T84</f>
        <v>11557.249999999993</v>
      </c>
      <c r="Y84" s="1"/>
      <c r="Z84" s="5">
        <f t="shared" ref="Z84:Z96" si="62">IF(T84=0,0,X84/T84)</f>
        <v>0.26553667253927227</v>
      </c>
    </row>
    <row r="85" spans="1:26" s="24" customFormat="1" hidden="1" outlineLevel="2" x14ac:dyDescent="0.25">
      <c r="A85" s="26"/>
      <c r="B85" s="11" t="str">
        <f>CONCATENATE("          ", "6314", " - ", "LIABILITY INSURANCE")</f>
        <v xml:space="preserve">          6314 - LIABILITY INSURANCE</v>
      </c>
      <c r="C85" s="11"/>
      <c r="D85" s="6">
        <v>4483.67</v>
      </c>
      <c r="E85" s="2"/>
      <c r="F85" s="7">
        <f t="shared" si="55"/>
        <v>158.09837799717914</v>
      </c>
      <c r="G85" s="2"/>
      <c r="H85" s="6">
        <v>4222.62</v>
      </c>
      <c r="I85" s="2"/>
      <c r="J85" s="7">
        <f t="shared" si="56"/>
        <v>5.7887399054819206E-3</v>
      </c>
      <c r="K85" s="2"/>
      <c r="L85" s="6">
        <f t="shared" si="57"/>
        <v>261.05000000000018</v>
      </c>
      <c r="M85" s="2"/>
      <c r="N85" s="7">
        <f t="shared" si="58"/>
        <v>6.1821807313942573E-2</v>
      </c>
      <c r="O85" s="11"/>
      <c r="P85" s="6">
        <v>55081.369999999995</v>
      </c>
      <c r="Q85" s="2"/>
      <c r="R85" s="7">
        <f t="shared" si="59"/>
        <v>7.8866229077845327E-3</v>
      </c>
      <c r="S85" s="2"/>
      <c r="T85" s="6">
        <v>43524.12</v>
      </c>
      <c r="U85" s="2"/>
      <c r="V85" s="7">
        <f t="shared" si="60"/>
        <v>4.5002446962533254E-3</v>
      </c>
      <c r="W85" s="2"/>
      <c r="X85" s="6">
        <f t="shared" si="61"/>
        <v>11557.249999999993</v>
      </c>
      <c r="Y85" s="2"/>
      <c r="Z85" s="7">
        <f t="shared" si="62"/>
        <v>0.26553667253927227</v>
      </c>
    </row>
    <row r="86" spans="1:26" s="27" customFormat="1" outlineLevel="1" collapsed="1" x14ac:dyDescent="0.25">
      <c r="A86" s="25"/>
      <c r="B86" s="13" t="str">
        <f>CONCATENATE("     ","Interest                                          ")</f>
        <v xml:space="preserve">     Interest                                          </v>
      </c>
      <c r="C86" s="13"/>
      <c r="D86" s="1">
        <f>SUM(OSRRefD22_13x_0)</f>
        <v>11929</v>
      </c>
      <c r="E86" s="1"/>
      <c r="F86" s="5">
        <f t="shared" si="55"/>
        <v>420.62764456981665</v>
      </c>
      <c r="G86" s="1"/>
      <c r="H86" s="1">
        <f>SUM(OSRRefH22_13x_0)</f>
        <v>12229</v>
      </c>
      <c r="I86" s="1"/>
      <c r="J86" s="5">
        <f t="shared" si="56"/>
        <v>1.6764591723654604E-2</v>
      </c>
      <c r="K86" s="1"/>
      <c r="L86" s="1">
        <f t="shared" si="57"/>
        <v>-300</v>
      </c>
      <c r="M86" s="1"/>
      <c r="N86" s="5">
        <f t="shared" si="58"/>
        <v>-2.4531850519257502E-2</v>
      </c>
      <c r="O86" s="13"/>
      <c r="P86" s="1">
        <f>SUM(OSRRefP22_13x_0)</f>
        <v>127619.05000000002</v>
      </c>
      <c r="Q86" s="1"/>
      <c r="R86" s="5">
        <f t="shared" si="59"/>
        <v>1.8272663210804306E-2</v>
      </c>
      <c r="S86" s="1"/>
      <c r="T86" s="1">
        <f>SUM(OSRRefT22_13x_0)</f>
        <v>132105</v>
      </c>
      <c r="U86" s="1"/>
      <c r="V86" s="5">
        <f t="shared" si="60"/>
        <v>1.3659203806959118E-2</v>
      </c>
      <c r="W86" s="1"/>
      <c r="X86" s="1">
        <f t="shared" si="61"/>
        <v>-4485.9499999999825</v>
      </c>
      <c r="Y86" s="1"/>
      <c r="Z86" s="5">
        <f t="shared" si="62"/>
        <v>-3.3957458082585691E-2</v>
      </c>
    </row>
    <row r="87" spans="1:26" s="24" customFormat="1" hidden="1" outlineLevel="2" x14ac:dyDescent="0.25">
      <c r="A87" s="26"/>
      <c r="B87" s="11" t="str">
        <f>CONCATENATE("          ", "6401", " - ", "INTEREST EXPENSE")</f>
        <v xml:space="preserve">          6401 - INTEREST EXPENSE</v>
      </c>
      <c r="C87" s="11"/>
      <c r="D87" s="6">
        <v>11929</v>
      </c>
      <c r="E87" s="2"/>
      <c r="F87" s="7">
        <f t="shared" si="55"/>
        <v>420.62764456981665</v>
      </c>
      <c r="G87" s="2"/>
      <c r="H87" s="6">
        <v>12229</v>
      </c>
      <c r="I87" s="2"/>
      <c r="J87" s="7">
        <f t="shared" si="56"/>
        <v>1.6764591723654604E-2</v>
      </c>
      <c r="K87" s="2"/>
      <c r="L87" s="6">
        <f t="shared" si="57"/>
        <v>-300</v>
      </c>
      <c r="M87" s="2"/>
      <c r="N87" s="7">
        <f t="shared" si="58"/>
        <v>-2.4531850519257502E-2</v>
      </c>
      <c r="O87" s="11"/>
      <c r="P87" s="6">
        <v>127619.05000000002</v>
      </c>
      <c r="Q87" s="2"/>
      <c r="R87" s="7">
        <f t="shared" si="59"/>
        <v>1.8272663210804306E-2</v>
      </c>
      <c r="S87" s="2"/>
      <c r="T87" s="6">
        <v>132105</v>
      </c>
      <c r="U87" s="2"/>
      <c r="V87" s="7">
        <f t="shared" si="60"/>
        <v>1.3659203806959118E-2</v>
      </c>
      <c r="W87" s="2"/>
      <c r="X87" s="6">
        <f t="shared" si="61"/>
        <v>-4485.9499999999825</v>
      </c>
      <c r="Y87" s="2"/>
      <c r="Z87" s="7">
        <f t="shared" si="62"/>
        <v>-3.3957458082585691E-2</v>
      </c>
    </row>
    <row r="88" spans="1:26" s="27" customFormat="1" outlineLevel="1" collapsed="1" x14ac:dyDescent="0.25">
      <c r="A88" s="25"/>
      <c r="B88" s="13" t="str">
        <f>CONCATENATE("     ","Professional Services                             ")</f>
        <v xml:space="preserve">     Professional Services                             </v>
      </c>
      <c r="C88" s="13"/>
      <c r="D88" s="1">
        <f>SUM(OSRRefD22_14x_0)</f>
        <v>0</v>
      </c>
      <c r="E88" s="1"/>
      <c r="F88" s="5">
        <f t="shared" si="55"/>
        <v>0</v>
      </c>
      <c r="G88" s="1"/>
      <c r="H88" s="1">
        <f>SUM(OSRRefH22_14x_0)</f>
        <v>0</v>
      </c>
      <c r="I88" s="1"/>
      <c r="J88" s="5">
        <f t="shared" si="56"/>
        <v>0</v>
      </c>
      <c r="K88" s="1"/>
      <c r="L88" s="1">
        <f t="shared" si="57"/>
        <v>0</v>
      </c>
      <c r="M88" s="1"/>
      <c r="N88" s="5">
        <f t="shared" si="58"/>
        <v>0</v>
      </c>
      <c r="O88" s="13"/>
      <c r="P88" s="1">
        <f>SUM(OSRRefP22_14x_0)</f>
        <v>125</v>
      </c>
      <c r="Q88" s="1"/>
      <c r="R88" s="5">
        <f t="shared" si="59"/>
        <v>1.7897664191596299E-5</v>
      </c>
      <c r="S88" s="1"/>
      <c r="T88" s="1">
        <f>SUM(OSRRefT22_14x_0)</f>
        <v>0</v>
      </c>
      <c r="U88" s="1"/>
      <c r="V88" s="5">
        <f t="shared" si="60"/>
        <v>0</v>
      </c>
      <c r="W88" s="1"/>
      <c r="X88" s="1">
        <f t="shared" si="61"/>
        <v>125</v>
      </c>
      <c r="Y88" s="1"/>
      <c r="Z88" s="5">
        <f t="shared" si="62"/>
        <v>0</v>
      </c>
    </row>
    <row r="89" spans="1:26" s="24" customFormat="1" hidden="1" outlineLevel="2" x14ac:dyDescent="0.25">
      <c r="A89" s="26"/>
      <c r="B89" s="11" t="str">
        <f>CONCATENATE("          ", "6336", " - ", "PROFESSIONAL SERVICES")</f>
        <v xml:space="preserve">          6336 - PROFESSIONAL SERVICES</v>
      </c>
      <c r="C89" s="11"/>
      <c r="D89" s="6"/>
      <c r="E89" s="2"/>
      <c r="F89" s="7">
        <f t="shared" si="55"/>
        <v>0</v>
      </c>
      <c r="G89" s="2"/>
      <c r="H89" s="6"/>
      <c r="I89" s="2"/>
      <c r="J89" s="7">
        <f t="shared" si="56"/>
        <v>0</v>
      </c>
      <c r="K89" s="2"/>
      <c r="L89" s="6">
        <f t="shared" si="57"/>
        <v>0</v>
      </c>
      <c r="M89" s="2"/>
      <c r="N89" s="7">
        <f t="shared" si="58"/>
        <v>0</v>
      </c>
      <c r="O89" s="11"/>
      <c r="P89" s="6">
        <v>125</v>
      </c>
      <c r="Q89" s="2"/>
      <c r="R89" s="7">
        <f t="shared" si="59"/>
        <v>1.7897664191596299E-5</v>
      </c>
      <c r="S89" s="2"/>
      <c r="T89" s="6"/>
      <c r="U89" s="2"/>
      <c r="V89" s="7">
        <f t="shared" si="60"/>
        <v>0</v>
      </c>
      <c r="W89" s="2"/>
      <c r="X89" s="6">
        <f t="shared" si="61"/>
        <v>125</v>
      </c>
      <c r="Y89" s="2"/>
      <c r="Z89" s="7">
        <f t="shared" si="62"/>
        <v>0</v>
      </c>
    </row>
    <row r="90" spans="1:26" s="27" customFormat="1" outlineLevel="1" collapsed="1" x14ac:dyDescent="0.25">
      <c r="A90" s="25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SUM(OSRRefD22_15x_0)</f>
        <v>3000</v>
      </c>
      <c r="E90" s="1"/>
      <c r="F90" s="5">
        <f t="shared" si="55"/>
        <v>105.78279266572638</v>
      </c>
      <c r="G90" s="1"/>
      <c r="H90" s="1">
        <f>SUM(OSRRefH22_15x_0)</f>
        <v>3000</v>
      </c>
      <c r="I90" s="1"/>
      <c r="J90" s="5">
        <f t="shared" si="56"/>
        <v>4.1126645818107621E-3</v>
      </c>
      <c r="K90" s="1"/>
      <c r="L90" s="1">
        <f t="shared" si="57"/>
        <v>0</v>
      </c>
      <c r="M90" s="1"/>
      <c r="N90" s="5">
        <f t="shared" si="58"/>
        <v>0</v>
      </c>
      <c r="O90" s="13"/>
      <c r="P90" s="1">
        <f>SUM(OSRRefP22_15x_0)</f>
        <v>33000</v>
      </c>
      <c r="Q90" s="1"/>
      <c r="R90" s="5">
        <f t="shared" si="59"/>
        <v>4.7249833465814236E-3</v>
      </c>
      <c r="S90" s="1"/>
      <c r="T90" s="1">
        <f>SUM(OSRRefT22_15x_0)</f>
        <v>33000</v>
      </c>
      <c r="U90" s="1"/>
      <c r="V90" s="5">
        <f t="shared" si="60"/>
        <v>3.4120867917917632E-3</v>
      </c>
      <c r="W90" s="1"/>
      <c r="X90" s="1">
        <f t="shared" si="61"/>
        <v>0</v>
      </c>
      <c r="Y90" s="1"/>
      <c r="Z90" s="5">
        <f t="shared" si="62"/>
        <v>0</v>
      </c>
    </row>
    <row r="91" spans="1:26" s="24" customFormat="1" hidden="1" outlineLevel="2" x14ac:dyDescent="0.25">
      <c r="A91" s="26"/>
      <c r="B91" s="11" t="str">
        <f>CONCATENATE("          ", "6273", " - ", "RENT")</f>
        <v xml:space="preserve">          6273 - RENT</v>
      </c>
      <c r="C91" s="11"/>
      <c r="D91" s="6">
        <v>3000</v>
      </c>
      <c r="E91" s="2"/>
      <c r="F91" s="7">
        <f t="shared" si="55"/>
        <v>105.78279266572638</v>
      </c>
      <c r="G91" s="2"/>
      <c r="H91" s="6">
        <v>3000</v>
      </c>
      <c r="I91" s="2"/>
      <c r="J91" s="7">
        <f t="shared" si="56"/>
        <v>4.1126645818107621E-3</v>
      </c>
      <c r="K91" s="2"/>
      <c r="L91" s="6">
        <f t="shared" si="57"/>
        <v>0</v>
      </c>
      <c r="M91" s="2"/>
      <c r="N91" s="7">
        <f t="shared" si="58"/>
        <v>0</v>
      </c>
      <c r="O91" s="11"/>
      <c r="P91" s="6">
        <v>33000</v>
      </c>
      <c r="Q91" s="2"/>
      <c r="R91" s="7">
        <f t="shared" si="59"/>
        <v>4.7249833465814236E-3</v>
      </c>
      <c r="S91" s="2"/>
      <c r="T91" s="6">
        <v>33000</v>
      </c>
      <c r="U91" s="2"/>
      <c r="V91" s="7">
        <f t="shared" si="60"/>
        <v>3.4120867917917632E-3</v>
      </c>
      <c r="W91" s="2"/>
      <c r="X91" s="6">
        <f t="shared" si="61"/>
        <v>0</v>
      </c>
      <c r="Y91" s="2"/>
      <c r="Z91" s="7">
        <f t="shared" si="62"/>
        <v>0</v>
      </c>
    </row>
    <row r="92" spans="1:26" s="27" customFormat="1" outlineLevel="1" collapsed="1" x14ac:dyDescent="0.25">
      <c r="A92" s="25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SUM(OSRRefD22_16x_0)</f>
        <v>7900.66</v>
      </c>
      <c r="E92" s="1"/>
      <c r="F92" s="5">
        <f t="shared" si="55"/>
        <v>278.5846262341326</v>
      </c>
      <c r="G92" s="1"/>
      <c r="H92" s="1">
        <f>SUM(OSRRefH22_16x_0)</f>
        <v>31125.599999999999</v>
      </c>
      <c r="I92" s="1"/>
      <c r="J92" s="5">
        <f t="shared" si="56"/>
        <v>4.2669717569203021E-2</v>
      </c>
      <c r="K92" s="1"/>
      <c r="L92" s="1">
        <f t="shared" si="57"/>
        <v>-23224.94</v>
      </c>
      <c r="M92" s="1"/>
      <c r="N92" s="5">
        <f t="shared" si="58"/>
        <v>-0.74616842727529753</v>
      </c>
      <c r="O92" s="13"/>
      <c r="P92" s="1">
        <f>SUM(OSRRefP22_16x_0)</f>
        <v>243986.68</v>
      </c>
      <c r="Q92" s="1"/>
      <c r="R92" s="5">
        <f t="shared" si="59"/>
        <v>3.4934333326899721E-2</v>
      </c>
      <c r="S92" s="1"/>
      <c r="T92" s="1">
        <f>SUM(OSRRefT22_16x_0)</f>
        <v>311502</v>
      </c>
      <c r="U92" s="1"/>
      <c r="V92" s="5">
        <f t="shared" si="60"/>
        <v>3.2208238176264177E-2</v>
      </c>
      <c r="W92" s="1"/>
      <c r="X92" s="1">
        <f t="shared" si="61"/>
        <v>-67515.320000000007</v>
      </c>
      <c r="Y92" s="1"/>
      <c r="Z92" s="5">
        <f t="shared" si="62"/>
        <v>-0.21674120872418157</v>
      </c>
    </row>
    <row r="93" spans="1:26" s="24" customFormat="1" hidden="1" outlineLevel="2" x14ac:dyDescent="0.25">
      <c r="A93" s="26"/>
      <c r="B93" s="11" t="str">
        <f>CONCATENATE("          ", "6371", " - ", "COMPUTER SOFTWARE MAINTENANCE")</f>
        <v xml:space="preserve">          6371 - COMPUTER SOFTWARE MAINTENANCE</v>
      </c>
      <c r="C93" s="11"/>
      <c r="D93" s="6"/>
      <c r="E93" s="2"/>
      <c r="F93" s="7">
        <f t="shared" si="55"/>
        <v>0</v>
      </c>
      <c r="G93" s="2"/>
      <c r="H93" s="6">
        <v>10343.25</v>
      </c>
      <c r="I93" s="2"/>
      <c r="J93" s="7">
        <f t="shared" si="56"/>
        <v>1.4179439311938056E-2</v>
      </c>
      <c r="K93" s="2"/>
      <c r="L93" s="6">
        <f t="shared" si="57"/>
        <v>-10343.25</v>
      </c>
      <c r="M93" s="2"/>
      <c r="N93" s="7">
        <f t="shared" si="58"/>
        <v>-1</v>
      </c>
      <c r="O93" s="11"/>
      <c r="P93" s="6">
        <v>12244.62</v>
      </c>
      <c r="Q93" s="2"/>
      <c r="R93" s="7">
        <f t="shared" si="59"/>
        <v>1.7532007753096313E-3</v>
      </c>
      <c r="S93" s="2"/>
      <c r="T93" s="6">
        <v>28152.34</v>
      </c>
      <c r="U93" s="2"/>
      <c r="V93" s="7">
        <f t="shared" si="60"/>
        <v>2.9108553779403313E-3</v>
      </c>
      <c r="W93" s="2"/>
      <c r="X93" s="6">
        <f t="shared" si="61"/>
        <v>-15907.72</v>
      </c>
      <c r="Y93" s="2"/>
      <c r="Z93" s="7">
        <f t="shared" si="62"/>
        <v>-0.56505853509868098</v>
      </c>
    </row>
    <row r="94" spans="1:26" s="24" customFormat="1" hidden="1" outlineLevel="2" x14ac:dyDescent="0.25">
      <c r="A94" s="26"/>
      <c r="B94" s="11" t="str">
        <f>CONCATENATE("          ", "6372", " - ", "COMPUTER HARDWARE MAINTENANCE")</f>
        <v xml:space="preserve">          6372 - COMPUTER HARDWARE MAINTENANCE</v>
      </c>
      <c r="C94" s="11"/>
      <c r="D94" s="6"/>
      <c r="E94" s="2"/>
      <c r="F94" s="7">
        <f t="shared" si="55"/>
        <v>0</v>
      </c>
      <c r="G94" s="2"/>
      <c r="H94" s="6"/>
      <c r="I94" s="2"/>
      <c r="J94" s="7">
        <f t="shared" si="56"/>
        <v>0</v>
      </c>
      <c r="K94" s="2"/>
      <c r="L94" s="6">
        <f t="shared" si="57"/>
        <v>0</v>
      </c>
      <c r="M94" s="2"/>
      <c r="N94" s="7">
        <f t="shared" si="58"/>
        <v>0</v>
      </c>
      <c r="O94" s="11"/>
      <c r="P94" s="6">
        <v>8142.87</v>
      </c>
      <c r="Q94" s="2"/>
      <c r="R94" s="7">
        <f t="shared" si="59"/>
        <v>1.16590682252659E-3</v>
      </c>
      <c r="S94" s="2"/>
      <c r="T94" s="6">
        <v>880.96</v>
      </c>
      <c r="U94" s="2"/>
      <c r="V94" s="7">
        <f t="shared" si="60"/>
        <v>9.1088241821117336E-5</v>
      </c>
      <c r="W94" s="2"/>
      <c r="X94" s="6">
        <f t="shared" si="61"/>
        <v>7261.91</v>
      </c>
      <c r="Y94" s="2"/>
      <c r="Z94" s="7">
        <f t="shared" si="62"/>
        <v>8.2431778968398106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6">
        <v>6801.32</v>
      </c>
      <c r="E95" s="2"/>
      <c r="F95" s="7">
        <f t="shared" si="55"/>
        <v>239.82087447108603</v>
      </c>
      <c r="G95" s="2"/>
      <c r="H95" s="6">
        <v>10455.82</v>
      </c>
      <c r="I95" s="2"/>
      <c r="J95" s="7">
        <f t="shared" si="56"/>
        <v>1.4333760195929534E-2</v>
      </c>
      <c r="K95" s="2"/>
      <c r="L95" s="6">
        <f t="shared" si="57"/>
        <v>-3654.5</v>
      </c>
      <c r="M95" s="2"/>
      <c r="N95" s="7">
        <f t="shared" si="58"/>
        <v>-0.34951825873054432</v>
      </c>
      <c r="O95" s="11"/>
      <c r="P95" s="6">
        <v>94141.31</v>
      </c>
      <c r="Q95" s="2"/>
      <c r="R95" s="7">
        <f t="shared" si="59"/>
        <v>1.3479276423495733E-2</v>
      </c>
      <c r="S95" s="2"/>
      <c r="T95" s="6">
        <v>120193.79999999999</v>
      </c>
      <c r="U95" s="2"/>
      <c r="V95" s="7">
        <f t="shared" si="60"/>
        <v>1.2427626588947298E-2</v>
      </c>
      <c r="W95" s="2"/>
      <c r="X95" s="6">
        <f t="shared" si="61"/>
        <v>-26052.489999999991</v>
      </c>
      <c r="Y95" s="2"/>
      <c r="Z95" s="7">
        <f t="shared" si="62"/>
        <v>-0.21675402558201831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1099.3399999999999</v>
      </c>
      <c r="E96" s="2"/>
      <c r="F96" s="7">
        <f t="shared" si="55"/>
        <v>38.763751763046542</v>
      </c>
      <c r="G96" s="2"/>
      <c r="H96" s="6">
        <v>10326.530000000001</v>
      </c>
      <c r="I96" s="2"/>
      <c r="J96" s="7">
        <f t="shared" si="56"/>
        <v>1.4156518061335431E-2</v>
      </c>
      <c r="K96" s="2"/>
      <c r="L96" s="6">
        <f t="shared" si="57"/>
        <v>-9227.19</v>
      </c>
      <c r="M96" s="2"/>
      <c r="N96" s="7">
        <f t="shared" si="58"/>
        <v>-0.89354216760131433</v>
      </c>
      <c r="O96" s="11"/>
      <c r="P96" s="6">
        <v>129457.88</v>
      </c>
      <c r="Q96" s="2"/>
      <c r="R96" s="7">
        <f t="shared" si="59"/>
        <v>1.8535949305567768E-2</v>
      </c>
      <c r="S96" s="2"/>
      <c r="T96" s="6">
        <v>162274.9</v>
      </c>
      <c r="U96" s="2"/>
      <c r="V96" s="7">
        <f t="shared" si="60"/>
        <v>1.6778667967555429E-2</v>
      </c>
      <c r="W96" s="2"/>
      <c r="X96" s="6">
        <f t="shared" si="61"/>
        <v>-32817.01999999999</v>
      </c>
      <c r="Y96" s="2"/>
      <c r="Z96" s="7">
        <f t="shared" si="62"/>
        <v>-0.20223102895148906</v>
      </c>
    </row>
    <row r="97" spans="1:26" s="27" customFormat="1" outlineLevel="1" collapsed="1" x14ac:dyDescent="0.25">
      <c r="A97" s="25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SUM(OSRRefD22_17x_0)</f>
        <v>0</v>
      </c>
      <c r="E97" s="1"/>
      <c r="F97" s="5">
        <f t="shared" ref="F97:F99" si="63">IF(D$12=0,0,D97/D$12)</f>
        <v>0</v>
      </c>
      <c r="G97" s="1"/>
      <c r="H97" s="1">
        <f>SUM(OSRRefH22_17x_0)</f>
        <v>111046.37</v>
      </c>
      <c r="I97" s="1"/>
      <c r="J97" s="5">
        <f t="shared" ref="J97:J99" si="64">IF(H$12=0,0,H97/H$12)</f>
        <v>0.15223215761255104</v>
      </c>
      <c r="K97" s="1"/>
      <c r="L97" s="1">
        <f t="shared" ref="L97:L99" si="65">+D97-H97</f>
        <v>-111046.37</v>
      </c>
      <c r="M97" s="1"/>
      <c r="N97" s="5">
        <f t="shared" ref="N97:N99" si="66">IF(H97=0,0,L97/H97)</f>
        <v>-1</v>
      </c>
      <c r="O97" s="13"/>
      <c r="P97" s="1">
        <f>SUM(OSRRefP22_17x_0)</f>
        <v>258319.61</v>
      </c>
      <c r="Q97" s="1"/>
      <c r="R97" s="5">
        <f t="shared" ref="R97:R99" si="67">IF(P$12=0,0,P97/P$12)</f>
        <v>3.6986541071072972E-2</v>
      </c>
      <c r="S97" s="1"/>
      <c r="T97" s="1">
        <f>SUM(OSRRefT22_17x_0)</f>
        <v>459019.39</v>
      </c>
      <c r="U97" s="1"/>
      <c r="V97" s="5">
        <f t="shared" ref="V97:V99" si="68">IF(T$12=0,0,T97/T$12)</f>
        <v>4.7461030236221585E-2</v>
      </c>
      <c r="W97" s="1"/>
      <c r="X97" s="1">
        <f t="shared" ref="X97:X99" si="69">+P97-T97</f>
        <v>-200699.78000000003</v>
      </c>
      <c r="Y97" s="1"/>
      <c r="Z97" s="5">
        <f t="shared" ref="Z97:Z99" si="70">IF(T97=0,0,X97/T97)</f>
        <v>-0.43723595205858301</v>
      </c>
    </row>
    <row r="98" spans="1:26" s="24" customFormat="1" hidden="1" outlineLevel="2" x14ac:dyDescent="0.25">
      <c r="A98" s="26"/>
      <c r="B98" s="11" t="str">
        <f>CONCATENATE("          ", "6254", " - ", "ROYALTY &amp; COMMISSIONS")</f>
        <v xml:space="preserve">          6254 - ROYALTY &amp; COMMISSIONS</v>
      </c>
      <c r="C98" s="11"/>
      <c r="D98" s="6"/>
      <c r="E98" s="2"/>
      <c r="F98" s="7">
        <f t="shared" si="63"/>
        <v>0</v>
      </c>
      <c r="G98" s="2"/>
      <c r="H98" s="6">
        <v>102898.05</v>
      </c>
      <c r="I98" s="2"/>
      <c r="J98" s="7">
        <f t="shared" si="64"/>
        <v>0.14106172192413097</v>
      </c>
      <c r="K98" s="2"/>
      <c r="L98" s="6">
        <f t="shared" si="65"/>
        <v>-102898.05</v>
      </c>
      <c r="M98" s="2"/>
      <c r="N98" s="7">
        <f t="shared" si="66"/>
        <v>-1</v>
      </c>
      <c r="O98" s="11"/>
      <c r="P98" s="6">
        <v>153649.65</v>
      </c>
      <c r="Q98" s="2"/>
      <c r="R98" s="7">
        <f t="shared" si="67"/>
        <v>2.1999758710850435E-2</v>
      </c>
      <c r="S98" s="2"/>
      <c r="T98" s="6">
        <v>319270.43</v>
      </c>
      <c r="U98" s="2"/>
      <c r="V98" s="7">
        <f t="shared" si="68"/>
        <v>3.3011467188262929E-2</v>
      </c>
      <c r="W98" s="2"/>
      <c r="X98" s="6">
        <f t="shared" si="69"/>
        <v>-165620.78</v>
      </c>
      <c r="Y98" s="2"/>
      <c r="Z98" s="7">
        <f t="shared" si="70"/>
        <v>-0.51874763347172492</v>
      </c>
    </row>
    <row r="99" spans="1:26" s="24" customFormat="1" hidden="1" outlineLevel="2" x14ac:dyDescent="0.25">
      <c r="A99" s="26"/>
      <c r="B99" s="11" t="str">
        <f>CONCATENATE("          ", "6259", " - ", "ROYALTY &amp; COMMISSIONS")</f>
        <v xml:space="preserve">          6259 - ROYALTY &amp; COMMISSIONS</v>
      </c>
      <c r="C99" s="11"/>
      <c r="D99" s="6"/>
      <c r="E99" s="2"/>
      <c r="F99" s="7">
        <f t="shared" si="63"/>
        <v>0</v>
      </c>
      <c r="G99" s="2"/>
      <c r="H99" s="6">
        <v>8148.32</v>
      </c>
      <c r="I99" s="2"/>
      <c r="J99" s="7">
        <f t="shared" si="64"/>
        <v>1.1170435688420089E-2</v>
      </c>
      <c r="K99" s="2"/>
      <c r="L99" s="6">
        <f t="shared" si="65"/>
        <v>-8148.32</v>
      </c>
      <c r="M99" s="2"/>
      <c r="N99" s="7">
        <f t="shared" si="66"/>
        <v>-1</v>
      </c>
      <c r="O99" s="11"/>
      <c r="P99" s="6">
        <v>104669.95999999999</v>
      </c>
      <c r="Q99" s="2"/>
      <c r="R99" s="7">
        <f t="shared" si="67"/>
        <v>1.4986782360222535E-2</v>
      </c>
      <c r="S99" s="2"/>
      <c r="T99" s="6">
        <v>139748.96</v>
      </c>
      <c r="U99" s="2"/>
      <c r="V99" s="7">
        <f t="shared" si="68"/>
        <v>1.444956304795865E-2</v>
      </c>
      <c r="W99" s="2"/>
      <c r="X99" s="6">
        <f t="shared" si="69"/>
        <v>-35079</v>
      </c>
      <c r="Y99" s="2"/>
      <c r="Z99" s="7">
        <f t="shared" si="70"/>
        <v>-0.2510143903754275</v>
      </c>
    </row>
    <row r="100" spans="1:26" s="27" customFormat="1" outlineLevel="1" collapsed="1" x14ac:dyDescent="0.25">
      <c r="A100" s="25"/>
      <c r="B100" s="13" t="str">
        <f>CONCATENATE("     ","Services                                          ")</f>
        <v xml:space="preserve">     Services                                          </v>
      </c>
      <c r="C100" s="13"/>
      <c r="D100" s="1">
        <f>SUM(OSRRefD22_18x_0)</f>
        <v>6054.63</v>
      </c>
      <c r="E100" s="1"/>
      <c r="F100" s="5">
        <f t="shared" ref="F100:F105" si="71">IF(D$12=0,0,D100/D$12)</f>
        <v>213.49188998589563</v>
      </c>
      <c r="G100" s="1"/>
      <c r="H100" s="1">
        <f>SUM(OSRRefH22_18x_0)</f>
        <v>31803.72</v>
      </c>
      <c r="I100" s="1"/>
      <c r="J100" s="5">
        <f t="shared" ref="J100:J105" si="72">IF(H$12=0,0,H100/H$12)</f>
        <v>4.3599344271275528E-2</v>
      </c>
      <c r="K100" s="1"/>
      <c r="L100" s="1">
        <f t="shared" ref="L100:L105" si="73">+D100-H100</f>
        <v>-25749.09</v>
      </c>
      <c r="M100" s="1"/>
      <c r="N100" s="5">
        <f t="shared" ref="N100:N105" si="74">IF(H100=0,0,L100/H100)</f>
        <v>-0.80962510045994618</v>
      </c>
      <c r="O100" s="13"/>
      <c r="P100" s="1">
        <f>SUM(OSRRefP22_18x_0)</f>
        <v>235021.18</v>
      </c>
      <c r="Q100" s="1"/>
      <c r="R100" s="5">
        <f t="shared" ref="R100:R105" si="75">IF(P$12=0,0,P100/P$12)</f>
        <v>3.3650641260421665E-2</v>
      </c>
      <c r="S100" s="1"/>
      <c r="T100" s="1">
        <f>SUM(OSRRefT22_18x_0)</f>
        <v>276493</v>
      </c>
      <c r="U100" s="1"/>
      <c r="V100" s="5">
        <f t="shared" ref="V100:V105" si="76">IF(T$12=0,0,T100/T$12)</f>
        <v>2.8588427676450909E-2</v>
      </c>
      <c r="W100" s="1"/>
      <c r="X100" s="1">
        <f t="shared" ref="X100:X105" si="77">+P100-T100</f>
        <v>-41471.820000000007</v>
      </c>
      <c r="Y100" s="1"/>
      <c r="Z100" s="5">
        <f t="shared" ref="Z100:Z105" si="78">IF(T100=0,0,X100/T100)</f>
        <v>-0.14999229636916669</v>
      </c>
    </row>
    <row r="101" spans="1:26" s="24" customFormat="1" hidden="1" outlineLevel="2" x14ac:dyDescent="0.25">
      <c r="A101" s="26"/>
      <c r="B101" s="11" t="str">
        <f>CONCATENATE("          ", "6282", " - ", "JANITORIAL/EXTERMINATOR EXPENS")</f>
        <v xml:space="preserve">          6282 - JANITORIAL/EXTERMINATOR EXPENS</v>
      </c>
      <c r="C101" s="11"/>
      <c r="D101" s="6">
        <v>372</v>
      </c>
      <c r="E101" s="2"/>
      <c r="F101" s="7">
        <f t="shared" si="71"/>
        <v>13.117066290550071</v>
      </c>
      <c r="G101" s="2"/>
      <c r="H101" s="6">
        <v>3195.32</v>
      </c>
      <c r="I101" s="2"/>
      <c r="J101" s="7">
        <f t="shared" si="72"/>
        <v>4.380426463850522E-3</v>
      </c>
      <c r="K101" s="2"/>
      <c r="L101" s="6">
        <f t="shared" si="73"/>
        <v>-2823.32</v>
      </c>
      <c r="M101" s="2"/>
      <c r="N101" s="7">
        <f t="shared" si="74"/>
        <v>-0.8835797353629683</v>
      </c>
      <c r="O101" s="11"/>
      <c r="P101" s="6">
        <v>19096.830000000002</v>
      </c>
      <c r="Q101" s="2"/>
      <c r="R101" s="7">
        <f t="shared" si="75"/>
        <v>2.7343092037120159E-3</v>
      </c>
      <c r="S101" s="2"/>
      <c r="T101" s="6">
        <v>20376.34</v>
      </c>
      <c r="U101" s="2"/>
      <c r="V101" s="7">
        <f t="shared" si="76"/>
        <v>2.106843653910854E-3</v>
      </c>
      <c r="W101" s="2"/>
      <c r="X101" s="6">
        <f t="shared" si="77"/>
        <v>-1279.5099999999984</v>
      </c>
      <c r="Y101" s="2"/>
      <c r="Z101" s="7">
        <f t="shared" si="78"/>
        <v>-6.2793907051020864E-2</v>
      </c>
    </row>
    <row r="102" spans="1:26" s="24" customFormat="1" hidden="1" outlineLevel="2" x14ac:dyDescent="0.25">
      <c r="A102" s="26"/>
      <c r="B102" s="11" t="str">
        <f>CONCATENATE("          ", "6283", " - ", "PLANT SERVICE")</f>
        <v xml:space="preserve">          6283 - PLANT SERVICE</v>
      </c>
      <c r="C102" s="11"/>
      <c r="D102" s="6"/>
      <c r="E102" s="2"/>
      <c r="F102" s="7">
        <f t="shared" si="71"/>
        <v>0</v>
      </c>
      <c r="G102" s="2"/>
      <c r="H102" s="6">
        <v>176</v>
      </c>
      <c r="I102" s="2"/>
      <c r="J102" s="7">
        <f t="shared" si="72"/>
        <v>2.4127632213289806E-4</v>
      </c>
      <c r="K102" s="2"/>
      <c r="L102" s="6">
        <f t="shared" si="73"/>
        <v>-176</v>
      </c>
      <c r="M102" s="2"/>
      <c r="N102" s="7">
        <f t="shared" si="74"/>
        <v>-1</v>
      </c>
      <c r="O102" s="11"/>
      <c r="P102" s="6">
        <v>1798.02</v>
      </c>
      <c r="Q102" s="2"/>
      <c r="R102" s="7">
        <f t="shared" si="75"/>
        <v>2.5744286535819182E-4</v>
      </c>
      <c r="S102" s="2"/>
      <c r="T102" s="6">
        <v>1936</v>
      </c>
      <c r="U102" s="2"/>
      <c r="V102" s="7">
        <f t="shared" si="76"/>
        <v>2.0017575845178345E-4</v>
      </c>
      <c r="W102" s="2"/>
      <c r="X102" s="6">
        <f t="shared" si="77"/>
        <v>-137.98000000000002</v>
      </c>
      <c r="Y102" s="2"/>
      <c r="Z102" s="7">
        <f t="shared" si="78"/>
        <v>-7.1270661157024809E-2</v>
      </c>
    </row>
    <row r="103" spans="1:26" s="24" customFormat="1" hidden="1" outlineLevel="2" x14ac:dyDescent="0.25">
      <c r="A103" s="26"/>
      <c r="B103" s="11" t="str">
        <f>CONCATENATE("          ", "6284", " - ", "TRASH REMOVAL EXPENSE")</f>
        <v xml:space="preserve">          6284 - TRASH REMOVAL EXPENSE</v>
      </c>
      <c r="C103" s="11"/>
      <c r="D103" s="6">
        <v>5419</v>
      </c>
      <c r="E103" s="2"/>
      <c r="F103" s="7">
        <f t="shared" si="71"/>
        <v>191.0789844851904</v>
      </c>
      <c r="G103" s="2"/>
      <c r="H103" s="6">
        <v>4436</v>
      </c>
      <c r="I103" s="2"/>
      <c r="J103" s="7">
        <f t="shared" si="72"/>
        <v>6.0812600283041808E-3</v>
      </c>
      <c r="K103" s="2"/>
      <c r="L103" s="6">
        <f t="shared" si="73"/>
        <v>983</v>
      </c>
      <c r="M103" s="2"/>
      <c r="N103" s="7">
        <f t="shared" si="74"/>
        <v>0.22159603246167719</v>
      </c>
      <c r="O103" s="11"/>
      <c r="P103" s="6">
        <v>51719</v>
      </c>
      <c r="Q103" s="2"/>
      <c r="R103" s="7">
        <f t="shared" si="75"/>
        <v>7.4051943546013521E-3</v>
      </c>
      <c r="S103" s="2"/>
      <c r="T103" s="6">
        <v>58156</v>
      </c>
      <c r="U103" s="2"/>
      <c r="V103" s="7">
        <f t="shared" si="76"/>
        <v>6.0131308928315693E-3</v>
      </c>
      <c r="W103" s="2"/>
      <c r="X103" s="6">
        <f t="shared" si="77"/>
        <v>-6437</v>
      </c>
      <c r="Y103" s="2"/>
      <c r="Z103" s="7">
        <f t="shared" si="78"/>
        <v>-0.11068505399270927</v>
      </c>
    </row>
    <row r="104" spans="1:26" s="24" customFormat="1" hidden="1" outlineLevel="2" x14ac:dyDescent="0.25">
      <c r="A104" s="26"/>
      <c r="B104" s="11" t="str">
        <f>CONCATENATE("          ", "6285", " - ", "JANITORIAL SERVICES")</f>
        <v xml:space="preserve">          6285 - JANITORIAL SERVICES</v>
      </c>
      <c r="C104" s="11"/>
      <c r="D104" s="6">
        <v>134.1</v>
      </c>
      <c r="E104" s="2"/>
      <c r="F104" s="7">
        <f t="shared" si="71"/>
        <v>4.7284908321579691</v>
      </c>
      <c r="G104" s="2"/>
      <c r="H104" s="6">
        <v>17346.990000000002</v>
      </c>
      <c r="I104" s="2"/>
      <c r="J104" s="7">
        <f t="shared" si="72"/>
        <v>2.3780783791341829E-2</v>
      </c>
      <c r="K104" s="2"/>
      <c r="L104" s="6">
        <f t="shared" si="73"/>
        <v>-17212.890000000003</v>
      </c>
      <c r="M104" s="2"/>
      <c r="N104" s="7">
        <f t="shared" si="74"/>
        <v>-0.99226955223932234</v>
      </c>
      <c r="O104" s="11"/>
      <c r="P104" s="6">
        <v>129209.54999999999</v>
      </c>
      <c r="Q104" s="2"/>
      <c r="R104" s="7">
        <f t="shared" si="75"/>
        <v>1.8500393089978171E-2</v>
      </c>
      <c r="S104" s="2"/>
      <c r="T104" s="6">
        <v>146514.04</v>
      </c>
      <c r="U104" s="2"/>
      <c r="V104" s="7">
        <f t="shared" si="76"/>
        <v>1.5149049112001519E-2</v>
      </c>
      <c r="W104" s="2"/>
      <c r="X104" s="6">
        <f t="shared" si="77"/>
        <v>-17304.49000000002</v>
      </c>
      <c r="Y104" s="2"/>
      <c r="Z104" s="7">
        <f t="shared" si="78"/>
        <v>-0.11810806663989348</v>
      </c>
    </row>
    <row r="105" spans="1:26" s="24" customFormat="1" hidden="1" outlineLevel="2" x14ac:dyDescent="0.25">
      <c r="A105" s="26"/>
      <c r="B105" s="11" t="str">
        <f>CONCATENATE("          ", "6286", " - ", "LAUNDRY EXPENSE")</f>
        <v xml:space="preserve">          6286 - LAUNDRY EXPENSE</v>
      </c>
      <c r="C105" s="11"/>
      <c r="D105" s="6">
        <v>129.53</v>
      </c>
      <c r="E105" s="2"/>
      <c r="F105" s="7">
        <f t="shared" si="71"/>
        <v>4.5673483779971793</v>
      </c>
      <c r="G105" s="2"/>
      <c r="H105" s="6">
        <v>6649.41</v>
      </c>
      <c r="I105" s="2"/>
      <c r="J105" s="7">
        <f t="shared" si="72"/>
        <v>9.1155976656461003E-3</v>
      </c>
      <c r="K105" s="2"/>
      <c r="L105" s="6">
        <f t="shared" si="73"/>
        <v>-6519.88</v>
      </c>
      <c r="M105" s="2"/>
      <c r="N105" s="7">
        <f t="shared" si="74"/>
        <v>-0.98052007621728854</v>
      </c>
      <c r="O105" s="11"/>
      <c r="P105" s="6">
        <v>33197.78</v>
      </c>
      <c r="Q105" s="2"/>
      <c r="R105" s="7">
        <f t="shared" si="75"/>
        <v>4.7533017467719348E-3</v>
      </c>
      <c r="S105" s="2"/>
      <c r="T105" s="6">
        <v>49510.62</v>
      </c>
      <c r="U105" s="2"/>
      <c r="V105" s="7">
        <f t="shared" si="76"/>
        <v>5.1192282592551859E-3</v>
      </c>
      <c r="W105" s="2"/>
      <c r="X105" s="6">
        <f t="shared" si="77"/>
        <v>-16312.840000000004</v>
      </c>
      <c r="Y105" s="2"/>
      <c r="Z105" s="7">
        <f t="shared" si="78"/>
        <v>-0.32948163444529682</v>
      </c>
    </row>
    <row r="106" spans="1:26" s="27" customFormat="1" outlineLevel="1" collapsed="1" x14ac:dyDescent="0.25">
      <c r="A106" s="25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SUM(OSRRefD22_19x_0)</f>
        <v>0</v>
      </c>
      <c r="E106" s="1"/>
      <c r="F106" s="5">
        <f t="shared" ref="F106:F108" si="79">IF(D$12=0,0,D106/D$12)</f>
        <v>0</v>
      </c>
      <c r="G106" s="1"/>
      <c r="H106" s="1">
        <f>SUM(OSRRefH22_19x_0)</f>
        <v>569.82000000000005</v>
      </c>
      <c r="I106" s="1"/>
      <c r="J106" s="5">
        <f t="shared" ref="J106:J108" si="80">IF(H$12=0,0,H106/H$12)</f>
        <v>7.8115951066913623E-4</v>
      </c>
      <c r="K106" s="1"/>
      <c r="L106" s="1">
        <f t="shared" ref="L106:L108" si="81">+D106-H106</f>
        <v>-569.82000000000005</v>
      </c>
      <c r="M106" s="1"/>
      <c r="N106" s="5">
        <f t="shared" ref="N106:N108" si="82">IF(H106=0,0,L106/H106)</f>
        <v>-1</v>
      </c>
      <c r="O106" s="13"/>
      <c r="P106" s="1">
        <f>SUM(OSRRefP22_19x_0)</f>
        <v>8711.75</v>
      </c>
      <c r="Q106" s="1"/>
      <c r="R106" s="5">
        <f t="shared" ref="R106:R108" si="83">IF(P$12=0,0,P106/P$12)</f>
        <v>1.2473598081691125E-3</v>
      </c>
      <c r="S106" s="1"/>
      <c r="T106" s="1">
        <f>SUM(OSRRefT22_19x_0)</f>
        <v>6811.74</v>
      </c>
      <c r="U106" s="1"/>
      <c r="V106" s="5">
        <f t="shared" ref="V106:V108" si="84">IF(T$12=0,0,T106/T$12)</f>
        <v>7.0431054797332198E-4</v>
      </c>
      <c r="W106" s="1"/>
      <c r="X106" s="1">
        <f t="shared" ref="X106:X108" si="85">+P106-T106</f>
        <v>1900.0100000000002</v>
      </c>
      <c r="Y106" s="1"/>
      <c r="Z106" s="5">
        <f t="shared" ref="Z106:Z108" si="86">IF(T106=0,0,X106/T106)</f>
        <v>0.27893166797323449</v>
      </c>
    </row>
    <row r="107" spans="1:26" s="24" customFormat="1" hidden="1" outlineLevel="2" x14ac:dyDescent="0.25">
      <c r="A107" s="26"/>
      <c r="B107" s="11" t="str">
        <f>CONCATENATE("          ", "6258", " - ", "MEMBERSHIP DUES")</f>
        <v xml:space="preserve">          6258 - MEMBERSHIP DUES</v>
      </c>
      <c r="C107" s="11"/>
      <c r="D107" s="6"/>
      <c r="E107" s="2"/>
      <c r="F107" s="7">
        <f t="shared" si="79"/>
        <v>0</v>
      </c>
      <c r="G107" s="2"/>
      <c r="H107" s="6"/>
      <c r="I107" s="2"/>
      <c r="J107" s="7">
        <f t="shared" si="80"/>
        <v>0</v>
      </c>
      <c r="K107" s="2"/>
      <c r="L107" s="6">
        <f t="shared" si="81"/>
        <v>0</v>
      </c>
      <c r="M107" s="2"/>
      <c r="N107" s="7">
        <f t="shared" si="82"/>
        <v>0</v>
      </c>
      <c r="O107" s="11"/>
      <c r="P107" s="6">
        <v>3730</v>
      </c>
      <c r="Q107" s="2"/>
      <c r="R107" s="7">
        <f t="shared" si="83"/>
        <v>5.3406629947723363E-4</v>
      </c>
      <c r="S107" s="2"/>
      <c r="T107" s="6">
        <v>383.2</v>
      </c>
      <c r="U107" s="2"/>
      <c r="V107" s="7">
        <f t="shared" si="84"/>
        <v>3.9621565412563746E-5</v>
      </c>
      <c r="W107" s="2"/>
      <c r="X107" s="6">
        <f t="shared" si="85"/>
        <v>3346.8</v>
      </c>
      <c r="Y107" s="2"/>
      <c r="Z107" s="7">
        <f t="shared" si="86"/>
        <v>8.7338204592901878</v>
      </c>
    </row>
    <row r="108" spans="1:26" s="24" customFormat="1" hidden="1" outlineLevel="2" x14ac:dyDescent="0.25">
      <c r="A108" s="26"/>
      <c r="B108" s="11" t="str">
        <f>CONCATENATE("          ", "6275", " - ", "SUBSCRIPTIONS")</f>
        <v xml:space="preserve">          6275 - SUBSCRIPTIONS</v>
      </c>
      <c r="C108" s="11"/>
      <c r="D108" s="6"/>
      <c r="E108" s="2"/>
      <c r="F108" s="7">
        <f t="shared" si="79"/>
        <v>0</v>
      </c>
      <c r="G108" s="2"/>
      <c r="H108" s="6">
        <v>569.82000000000005</v>
      </c>
      <c r="I108" s="2"/>
      <c r="J108" s="7">
        <f t="shared" si="80"/>
        <v>7.8115951066913623E-4</v>
      </c>
      <c r="K108" s="2"/>
      <c r="L108" s="6">
        <f t="shared" si="81"/>
        <v>-569.82000000000005</v>
      </c>
      <c r="M108" s="2"/>
      <c r="N108" s="7">
        <f t="shared" si="82"/>
        <v>-1</v>
      </c>
      <c r="O108" s="11"/>
      <c r="P108" s="6">
        <v>4981.75</v>
      </c>
      <c r="Q108" s="2"/>
      <c r="R108" s="7">
        <f t="shared" si="83"/>
        <v>7.1329350869187892E-4</v>
      </c>
      <c r="S108" s="2"/>
      <c r="T108" s="6">
        <v>6428.54</v>
      </c>
      <c r="U108" s="2"/>
      <c r="V108" s="7">
        <f t="shared" si="84"/>
        <v>6.6468898256075821E-4</v>
      </c>
      <c r="W108" s="2"/>
      <c r="X108" s="6">
        <f t="shared" si="85"/>
        <v>-1446.79</v>
      </c>
      <c r="Y108" s="2"/>
      <c r="Z108" s="7">
        <f t="shared" si="86"/>
        <v>-0.22505732250246557</v>
      </c>
    </row>
    <row r="109" spans="1:26" s="27" customFormat="1" outlineLevel="1" collapsed="1" x14ac:dyDescent="0.25">
      <c r="A109" s="25"/>
      <c r="B109" s="13" t="str">
        <f>CONCATENATE("     ","Supplies                                          ")</f>
        <v xml:space="preserve">     Supplies                                          </v>
      </c>
      <c r="C109" s="13"/>
      <c r="D109" s="1">
        <f>SUM(OSRRefD22_20x_0)</f>
        <v>1676.7399999999998</v>
      </c>
      <c r="E109" s="1"/>
      <c r="F109" s="5">
        <f t="shared" ref="F109:F119" si="87">IF(D$12=0,0,D109/D$12)</f>
        <v>59.123413258110006</v>
      </c>
      <c r="G109" s="1"/>
      <c r="H109" s="1">
        <f>SUM(OSRRefH22_20x_0)</f>
        <v>24705.950000000004</v>
      </c>
      <c r="I109" s="1"/>
      <c r="J109" s="5">
        <f t="shared" ref="J109:J119" si="88">IF(H$12=0,0,H109/H$12)</f>
        <v>3.3869095174995874E-2</v>
      </c>
      <c r="K109" s="1"/>
      <c r="L109" s="1">
        <f t="shared" ref="L109:L119" si="89">+D109-H109</f>
        <v>-23029.210000000006</v>
      </c>
      <c r="M109" s="1"/>
      <c r="N109" s="5">
        <f t="shared" ref="N109:N119" si="90">IF(H109=0,0,L109/H109)</f>
        <v>-0.93213213820962171</v>
      </c>
      <c r="O109" s="13"/>
      <c r="P109" s="1">
        <f>SUM(OSRRefP22_20x_0)</f>
        <v>219115.03999999998</v>
      </c>
      <c r="Q109" s="1"/>
      <c r="R109" s="5">
        <f t="shared" ref="R109:R119" si="91">IF(P$12=0,0,P109/P$12)</f>
        <v>3.1373179241985523E-2</v>
      </c>
      <c r="S109" s="1"/>
      <c r="T109" s="1">
        <f>SUM(OSRRefT22_20x_0)</f>
        <v>259343.92</v>
      </c>
      <c r="U109" s="1"/>
      <c r="V109" s="5">
        <f t="shared" ref="V109:V119" si="92">IF(T$12=0,0,T109/T$12)</f>
        <v>2.681527163525757E-2</v>
      </c>
      <c r="W109" s="1"/>
      <c r="X109" s="1">
        <f t="shared" ref="X109:X119" si="93">+P109-T109</f>
        <v>-40228.880000000034</v>
      </c>
      <c r="Y109" s="1"/>
      <c r="Z109" s="5">
        <f t="shared" ref="Z109:Z119" si="94">IF(T109=0,0,X109/T109)</f>
        <v>-0.15511788361955828</v>
      </c>
    </row>
    <row r="110" spans="1:26" s="24" customFormat="1" hidden="1" outlineLevel="2" x14ac:dyDescent="0.25">
      <c r="A110" s="26"/>
      <c r="B110" s="11" t="str">
        <f>CONCATENATE("          ", "6234", " - ", "EXPENDABLE SUPPLIES &amp; EQUIPMEN")</f>
        <v xml:space="preserve">          6234 - EXPENDABLE SUPPLIES &amp; EQUIPMEN</v>
      </c>
      <c r="C110" s="11"/>
      <c r="D110" s="6"/>
      <c r="E110" s="2"/>
      <c r="F110" s="7">
        <f t="shared" si="87"/>
        <v>0</v>
      </c>
      <c r="G110" s="2"/>
      <c r="H110" s="6">
        <v>206.32</v>
      </c>
      <c r="I110" s="2"/>
      <c r="J110" s="7">
        <f t="shared" si="88"/>
        <v>2.8284165217306548E-4</v>
      </c>
      <c r="K110" s="2"/>
      <c r="L110" s="6">
        <f t="shared" si="89"/>
        <v>-206.32</v>
      </c>
      <c r="M110" s="2"/>
      <c r="N110" s="7">
        <f t="shared" si="90"/>
        <v>-1</v>
      </c>
      <c r="O110" s="11"/>
      <c r="P110" s="6">
        <v>15778.950000000003</v>
      </c>
      <c r="Q110" s="2"/>
      <c r="R110" s="7">
        <f t="shared" si="91"/>
        <v>2.2592507871679081E-3</v>
      </c>
      <c r="S110" s="2"/>
      <c r="T110" s="6">
        <v>8882.5400000000009</v>
      </c>
      <c r="U110" s="2"/>
      <c r="V110" s="7">
        <f t="shared" si="92"/>
        <v>9.1842416398672767E-4</v>
      </c>
      <c r="W110" s="2"/>
      <c r="X110" s="6">
        <f t="shared" si="93"/>
        <v>6896.4100000000017</v>
      </c>
      <c r="Y110" s="2"/>
      <c r="Z110" s="7">
        <f t="shared" si="94"/>
        <v>0.77640066917796047</v>
      </c>
    </row>
    <row r="111" spans="1:26" s="24" customFormat="1" hidden="1" outlineLevel="2" x14ac:dyDescent="0.25">
      <c r="A111" s="26"/>
      <c r="B111" s="11" t="str">
        <f>CONCATENATE("          ", "6235", " - ", "COVID-19 EXPENSES")</f>
        <v xml:space="preserve">          6235 - COVID-19 EXPENSES</v>
      </c>
      <c r="C111" s="11"/>
      <c r="D111" s="6">
        <v>1095.08</v>
      </c>
      <c r="E111" s="2"/>
      <c r="F111" s="7">
        <f t="shared" si="87"/>
        <v>38.613540197461212</v>
      </c>
      <c r="G111" s="2"/>
      <c r="H111" s="6"/>
      <c r="I111" s="2"/>
      <c r="J111" s="7">
        <f t="shared" si="88"/>
        <v>0</v>
      </c>
      <c r="K111" s="2"/>
      <c r="L111" s="6">
        <f t="shared" si="89"/>
        <v>1095.08</v>
      </c>
      <c r="M111" s="2"/>
      <c r="N111" s="7">
        <f t="shared" si="90"/>
        <v>0</v>
      </c>
      <c r="O111" s="11"/>
      <c r="P111" s="6">
        <v>1095.08</v>
      </c>
      <c r="Q111" s="2"/>
      <c r="R111" s="7">
        <f t="shared" si="91"/>
        <v>1.5679499282346621E-4</v>
      </c>
      <c r="S111" s="2"/>
      <c r="T111" s="6"/>
      <c r="U111" s="2"/>
      <c r="V111" s="7">
        <f t="shared" si="92"/>
        <v>0</v>
      </c>
      <c r="W111" s="2"/>
      <c r="X111" s="6">
        <f t="shared" si="93"/>
        <v>1095.08</v>
      </c>
      <c r="Y111" s="2"/>
      <c r="Z111" s="7">
        <f t="shared" si="94"/>
        <v>0</v>
      </c>
    </row>
    <row r="112" spans="1:26" s="24" customFormat="1" hidden="1" outlineLevel="2" x14ac:dyDescent="0.25">
      <c r="A112" s="26"/>
      <c r="B112" s="11" t="str">
        <f>CONCATENATE("          ", "6237", " - ", "JANITORIAL SUPPLIES")</f>
        <v xml:space="preserve">          6237 - JANITORIAL SUPPLIES</v>
      </c>
      <c r="C112" s="11"/>
      <c r="D112" s="6">
        <v>47.1</v>
      </c>
      <c r="E112" s="2"/>
      <c r="F112" s="7">
        <f t="shared" si="87"/>
        <v>1.6607898448519043</v>
      </c>
      <c r="G112" s="2"/>
      <c r="H112" s="6">
        <v>1922.77</v>
      </c>
      <c r="I112" s="2"/>
      <c r="J112" s="7">
        <f t="shared" si="88"/>
        <v>2.6359026926560929E-3</v>
      </c>
      <c r="K112" s="2"/>
      <c r="L112" s="6">
        <f t="shared" si="89"/>
        <v>-1875.67</v>
      </c>
      <c r="M112" s="2"/>
      <c r="N112" s="7">
        <f t="shared" si="90"/>
        <v>-0.97550409045283637</v>
      </c>
      <c r="O112" s="11"/>
      <c r="P112" s="6">
        <v>52899.67</v>
      </c>
      <c r="Q112" s="2"/>
      <c r="R112" s="7">
        <f t="shared" si="91"/>
        <v>7.5742442360500883E-3</v>
      </c>
      <c r="S112" s="2"/>
      <c r="T112" s="6">
        <v>57923.839999999997</v>
      </c>
      <c r="U112" s="2"/>
      <c r="V112" s="7">
        <f t="shared" si="92"/>
        <v>5.9891263452684666E-3</v>
      </c>
      <c r="W112" s="2"/>
      <c r="X112" s="6">
        <f t="shared" si="93"/>
        <v>-5024.1699999999983</v>
      </c>
      <c r="Y112" s="2"/>
      <c r="Z112" s="7">
        <f t="shared" si="94"/>
        <v>-8.6737516021037256E-2</v>
      </c>
    </row>
    <row r="113" spans="1:26" s="24" customFormat="1" hidden="1" outlineLevel="2" x14ac:dyDescent="0.25">
      <c r="A113" s="26"/>
      <c r="B113" s="11" t="str">
        <f>CONCATENATE("          ", "6239", " - ", "KITCHEN SUPPLIES")</f>
        <v xml:space="preserve">          6239 - KITCHEN SUPPLIES</v>
      </c>
      <c r="C113" s="11"/>
      <c r="D113" s="6"/>
      <c r="E113" s="2"/>
      <c r="F113" s="7">
        <f t="shared" si="87"/>
        <v>0</v>
      </c>
      <c r="G113" s="2"/>
      <c r="H113" s="6">
        <v>13493.11</v>
      </c>
      <c r="I113" s="2"/>
      <c r="J113" s="7">
        <f t="shared" si="88"/>
        <v>1.8497545198492206E-2</v>
      </c>
      <c r="K113" s="2"/>
      <c r="L113" s="6">
        <f t="shared" si="89"/>
        <v>-13493.11</v>
      </c>
      <c r="M113" s="2"/>
      <c r="N113" s="7">
        <f t="shared" si="90"/>
        <v>-1</v>
      </c>
      <c r="O113" s="11"/>
      <c r="P113" s="6">
        <v>45966.83</v>
      </c>
      <c r="Q113" s="2"/>
      <c r="R113" s="7">
        <f t="shared" si="91"/>
        <v>6.5815910983375563E-3</v>
      </c>
      <c r="S113" s="2"/>
      <c r="T113" s="6">
        <v>59995.06</v>
      </c>
      <c r="U113" s="2"/>
      <c r="V113" s="7">
        <f t="shared" si="92"/>
        <v>6.2032833878410409E-3</v>
      </c>
      <c r="W113" s="2"/>
      <c r="X113" s="6">
        <f t="shared" si="93"/>
        <v>-14028.229999999996</v>
      </c>
      <c r="Y113" s="2"/>
      <c r="Z113" s="7">
        <f t="shared" si="94"/>
        <v>-0.23382308476731245</v>
      </c>
    </row>
    <row r="114" spans="1:26" s="24" customFormat="1" hidden="1" outlineLevel="2" x14ac:dyDescent="0.25">
      <c r="A114" s="26"/>
      <c r="B114" s="11" t="str">
        <f>CONCATENATE("          ", "6241", " - ", "OFFICE EXPENSE")</f>
        <v xml:space="preserve">          6241 - OFFICE EXPENSE</v>
      </c>
      <c r="C114" s="11"/>
      <c r="D114" s="6">
        <v>0</v>
      </c>
      <c r="E114" s="2"/>
      <c r="F114" s="7">
        <f t="shared" si="87"/>
        <v>0</v>
      </c>
      <c r="G114" s="2"/>
      <c r="H114" s="6">
        <v>4635.42</v>
      </c>
      <c r="I114" s="2"/>
      <c r="J114" s="7">
        <f t="shared" si="88"/>
        <v>6.354642551939081E-3</v>
      </c>
      <c r="K114" s="2"/>
      <c r="L114" s="6">
        <f t="shared" si="89"/>
        <v>-4635.42</v>
      </c>
      <c r="M114" s="2"/>
      <c r="N114" s="7">
        <f t="shared" si="90"/>
        <v>-1</v>
      </c>
      <c r="O114" s="11"/>
      <c r="P114" s="6">
        <v>20136.28</v>
      </c>
      <c r="Q114" s="2"/>
      <c r="R114" s="7">
        <f t="shared" si="91"/>
        <v>2.8831390200636537E-3</v>
      </c>
      <c r="S114" s="2"/>
      <c r="T114" s="6">
        <v>35387.29</v>
      </c>
      <c r="U114" s="2"/>
      <c r="V114" s="7">
        <f t="shared" si="92"/>
        <v>3.658924388069841E-3</v>
      </c>
      <c r="W114" s="2"/>
      <c r="X114" s="6">
        <f t="shared" si="93"/>
        <v>-15251.010000000002</v>
      </c>
      <c r="Y114" s="2"/>
      <c r="Z114" s="7">
        <f t="shared" si="94"/>
        <v>-0.43097422831756832</v>
      </c>
    </row>
    <row r="115" spans="1:26" s="24" customFormat="1" hidden="1" outlineLevel="2" x14ac:dyDescent="0.25">
      <c r="A115" s="26"/>
      <c r="B115" s="11" t="str">
        <f>CONCATENATE("          ", "6243", " - ", "PAPER SUPPLIES")</f>
        <v xml:space="preserve">          6243 - PAPER SUPPLIES</v>
      </c>
      <c r="C115" s="11"/>
      <c r="D115" s="6"/>
      <c r="E115" s="2"/>
      <c r="F115" s="7">
        <f t="shared" si="87"/>
        <v>0</v>
      </c>
      <c r="G115" s="2"/>
      <c r="H115" s="6">
        <v>4081.86</v>
      </c>
      <c r="I115" s="2"/>
      <c r="J115" s="7">
        <f t="shared" si="88"/>
        <v>5.5957736833033593E-3</v>
      </c>
      <c r="K115" s="2"/>
      <c r="L115" s="6">
        <f t="shared" si="89"/>
        <v>-4081.86</v>
      </c>
      <c r="M115" s="2"/>
      <c r="N115" s="7">
        <f t="shared" si="90"/>
        <v>-1</v>
      </c>
      <c r="O115" s="11"/>
      <c r="P115" s="6">
        <v>34117.769999999997</v>
      </c>
      <c r="Q115" s="2"/>
      <c r="R115" s="7">
        <f t="shared" si="91"/>
        <v>4.8850271234089472E-3</v>
      </c>
      <c r="S115" s="2"/>
      <c r="T115" s="6">
        <v>57961.630000000005</v>
      </c>
      <c r="U115" s="2"/>
      <c r="V115" s="7">
        <f t="shared" si="92"/>
        <v>5.9930337016279164E-3</v>
      </c>
      <c r="W115" s="2"/>
      <c r="X115" s="6">
        <f t="shared" si="93"/>
        <v>-23843.860000000008</v>
      </c>
      <c r="Y115" s="2"/>
      <c r="Z115" s="7">
        <f t="shared" si="94"/>
        <v>-0.41137317911866877</v>
      </c>
    </row>
    <row r="116" spans="1:26" s="24" customFormat="1" hidden="1" outlineLevel="2" x14ac:dyDescent="0.25">
      <c r="A116" s="26"/>
      <c r="B116" s="11" t="str">
        <f>CONCATENATE("          ", "6245", " - ", "PRINTING")</f>
        <v xml:space="preserve">          6245 - PRINTING</v>
      </c>
      <c r="C116" s="11"/>
      <c r="D116" s="6"/>
      <c r="E116" s="2"/>
      <c r="F116" s="7">
        <f t="shared" si="87"/>
        <v>0</v>
      </c>
      <c r="G116" s="2"/>
      <c r="H116" s="6"/>
      <c r="I116" s="2"/>
      <c r="J116" s="7">
        <f t="shared" si="88"/>
        <v>0</v>
      </c>
      <c r="K116" s="2"/>
      <c r="L116" s="6">
        <f t="shared" si="89"/>
        <v>0</v>
      </c>
      <c r="M116" s="2"/>
      <c r="N116" s="7">
        <f t="shared" si="90"/>
        <v>0</v>
      </c>
      <c r="O116" s="11"/>
      <c r="P116" s="6">
        <v>613.02</v>
      </c>
      <c r="Q116" s="2"/>
      <c r="R116" s="7">
        <f t="shared" si="91"/>
        <v>8.7773008821858908E-5</v>
      </c>
      <c r="S116" s="2"/>
      <c r="T116" s="6">
        <v>344.21</v>
      </c>
      <c r="U116" s="2"/>
      <c r="V116" s="7">
        <f t="shared" si="92"/>
        <v>3.5590133169777055E-5</v>
      </c>
      <c r="W116" s="2"/>
      <c r="X116" s="6">
        <f t="shared" si="93"/>
        <v>268.81</v>
      </c>
      <c r="Y116" s="2"/>
      <c r="Z116" s="7">
        <f t="shared" si="94"/>
        <v>0.78094767729002645</v>
      </c>
    </row>
    <row r="117" spans="1:26" s="24" customFormat="1" hidden="1" outlineLevel="2" x14ac:dyDescent="0.25">
      <c r="A117" s="26"/>
      <c r="B117" s="11" t="str">
        <f>CONCATENATE("          ", "6246", " - ", "REPLACEMENTS")</f>
        <v xml:space="preserve">          6246 - REPLACEMENTS</v>
      </c>
      <c r="C117" s="11"/>
      <c r="D117" s="6"/>
      <c r="E117" s="2"/>
      <c r="F117" s="7">
        <f t="shared" si="87"/>
        <v>0</v>
      </c>
      <c r="G117" s="2"/>
      <c r="H117" s="6"/>
      <c r="I117" s="2"/>
      <c r="J117" s="7">
        <f t="shared" si="88"/>
        <v>0</v>
      </c>
      <c r="K117" s="2"/>
      <c r="L117" s="6">
        <f t="shared" si="89"/>
        <v>0</v>
      </c>
      <c r="M117" s="2"/>
      <c r="N117" s="7">
        <f t="shared" si="90"/>
        <v>0</v>
      </c>
      <c r="O117" s="11"/>
      <c r="P117" s="6">
        <v>25.87</v>
      </c>
      <c r="Q117" s="2"/>
      <c r="R117" s="7">
        <f t="shared" si="91"/>
        <v>3.7041005810927706E-6</v>
      </c>
      <c r="S117" s="2"/>
      <c r="T117" s="6"/>
      <c r="U117" s="2"/>
      <c r="V117" s="7">
        <f t="shared" si="92"/>
        <v>0</v>
      </c>
      <c r="W117" s="2"/>
      <c r="X117" s="6">
        <f t="shared" si="93"/>
        <v>25.87</v>
      </c>
      <c r="Y117" s="2"/>
      <c r="Z117" s="7">
        <f t="shared" si="94"/>
        <v>0</v>
      </c>
    </row>
    <row r="118" spans="1:26" s="24" customFormat="1" hidden="1" outlineLevel="2" x14ac:dyDescent="0.25">
      <c r="A118" s="26"/>
      <c r="B118" s="11" t="str">
        <f>CONCATENATE("          ", "6247", " - ", "STORE SUPPLIES")</f>
        <v xml:space="preserve">          6247 - STORE SUPPLIES</v>
      </c>
      <c r="C118" s="11"/>
      <c r="D118" s="6">
        <v>493.49</v>
      </c>
      <c r="E118" s="2"/>
      <c r="F118" s="7">
        <f t="shared" si="87"/>
        <v>17.400916784203105</v>
      </c>
      <c r="G118" s="2"/>
      <c r="H118" s="6">
        <v>-238.35</v>
      </c>
      <c r="I118" s="2"/>
      <c r="J118" s="7">
        <f t="shared" si="88"/>
        <v>-3.2675120102486506E-4</v>
      </c>
      <c r="K118" s="2"/>
      <c r="L118" s="6">
        <f t="shared" si="89"/>
        <v>731.84</v>
      </c>
      <c r="M118" s="2"/>
      <c r="N118" s="7">
        <f t="shared" si="90"/>
        <v>-3.0704426263897631</v>
      </c>
      <c r="O118" s="11"/>
      <c r="P118" s="6">
        <v>43563.5</v>
      </c>
      <c r="Q118" s="2"/>
      <c r="R118" s="7">
        <f t="shared" si="91"/>
        <v>6.2374791520848436E-3</v>
      </c>
      <c r="S118" s="2"/>
      <c r="T118" s="6">
        <v>27923.14</v>
      </c>
      <c r="U118" s="2"/>
      <c r="V118" s="7">
        <f t="shared" si="92"/>
        <v>2.8871568842227958E-3</v>
      </c>
      <c r="W118" s="2"/>
      <c r="X118" s="6">
        <f t="shared" si="93"/>
        <v>15640.36</v>
      </c>
      <c r="Y118" s="2"/>
      <c r="Z118" s="7">
        <f t="shared" si="94"/>
        <v>0.56012182011048905</v>
      </c>
    </row>
    <row r="119" spans="1:26" s="24" customFormat="1" hidden="1" outlineLevel="2" x14ac:dyDescent="0.25">
      <c r="A119" s="26"/>
      <c r="B119" s="11" t="str">
        <f>CONCATENATE("          ", "6248", " - ", "UNIFORMS")</f>
        <v xml:space="preserve">          6248 - UNIFORMS</v>
      </c>
      <c r="C119" s="11"/>
      <c r="D119" s="6">
        <v>41.07</v>
      </c>
      <c r="E119" s="2"/>
      <c r="F119" s="7">
        <f t="shared" si="87"/>
        <v>1.4481664315937941</v>
      </c>
      <c r="G119" s="2"/>
      <c r="H119" s="6">
        <v>604.82000000000005</v>
      </c>
      <c r="I119" s="2"/>
      <c r="J119" s="7">
        <f t="shared" si="88"/>
        <v>8.2914059745692846E-4</v>
      </c>
      <c r="K119" s="2"/>
      <c r="L119" s="6">
        <f t="shared" si="89"/>
        <v>-563.75</v>
      </c>
      <c r="M119" s="2"/>
      <c r="N119" s="7">
        <f t="shared" si="90"/>
        <v>-0.93209549948745074</v>
      </c>
      <c r="O119" s="11"/>
      <c r="P119" s="6">
        <v>4918.07</v>
      </c>
      <c r="Q119" s="2"/>
      <c r="R119" s="7">
        <f t="shared" si="91"/>
        <v>7.0417572264611214E-4</v>
      </c>
      <c r="S119" s="2"/>
      <c r="T119" s="6">
        <v>10926.21</v>
      </c>
      <c r="U119" s="2"/>
      <c r="V119" s="7">
        <f t="shared" si="92"/>
        <v>1.1297326310710024E-3</v>
      </c>
      <c r="W119" s="2"/>
      <c r="X119" s="6">
        <f t="shared" si="93"/>
        <v>-6008.1399999999994</v>
      </c>
      <c r="Y119" s="2"/>
      <c r="Z119" s="7">
        <f t="shared" si="94"/>
        <v>-0.54988326235721263</v>
      </c>
    </row>
    <row r="120" spans="1:26" s="27" customFormat="1" outlineLevel="1" collapsed="1" x14ac:dyDescent="0.25">
      <c r="A120" s="25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SUM(OSRRefD22_21x_0)</f>
        <v>1994.65</v>
      </c>
      <c r="E120" s="1"/>
      <c r="F120" s="5">
        <f t="shared" ref="F120:F127" si="95">IF(D$12=0,0,D120/D$12)</f>
        <v>70.333215796897036</v>
      </c>
      <c r="G120" s="1"/>
      <c r="H120" s="1">
        <f>SUM(OSRRefH22_21x_0)</f>
        <v>2347.54</v>
      </c>
      <c r="I120" s="1"/>
      <c r="J120" s="5">
        <f t="shared" ref="J120:J127" si="96">IF(H$12=0,0,H120/H$12)</f>
        <v>3.218214870794679E-3</v>
      </c>
      <c r="K120" s="1"/>
      <c r="L120" s="1">
        <f t="shared" ref="L120:L127" si="97">+D120-H120</f>
        <v>-352.88999999999987</v>
      </c>
      <c r="M120" s="1"/>
      <c r="N120" s="5">
        <f t="shared" ref="N120:N127" si="98">IF(H120=0,0,L120/H120)</f>
        <v>-0.15032331717457417</v>
      </c>
      <c r="O120" s="13"/>
      <c r="P120" s="1">
        <f>SUM(OSRRefP22_21x_0)</f>
        <v>24985.84</v>
      </c>
      <c r="Q120" s="1"/>
      <c r="R120" s="5">
        <f t="shared" ref="R120:R127" si="99">IF(P$12=0,0,P120/P$12)</f>
        <v>3.577505390919636E-3</v>
      </c>
      <c r="S120" s="1"/>
      <c r="T120" s="1">
        <f>SUM(OSRRefT22_21x_0)</f>
        <v>25003.7</v>
      </c>
      <c r="U120" s="1"/>
      <c r="V120" s="5">
        <f t="shared" ref="V120:V127" si="100">IF(T$12=0,0,T120/T$12)</f>
        <v>2.58529680351284E-3</v>
      </c>
      <c r="W120" s="1"/>
      <c r="X120" s="1">
        <f t="shared" ref="X120:X127" si="101">+P120-T120</f>
        <v>-17.860000000000582</v>
      </c>
      <c r="Y120" s="1"/>
      <c r="Z120" s="5">
        <f t="shared" ref="Z120:Z127" si="102">IF(T120=0,0,X120/T120)</f>
        <v>-7.1429428444592523E-4</v>
      </c>
    </row>
    <row r="121" spans="1:26" s="24" customFormat="1" hidden="1" outlineLevel="2" x14ac:dyDescent="0.25">
      <c r="A121" s="26"/>
      <c r="B121" s="11" t="str">
        <f>CONCATENATE("          ", "6309", " - ", "TELEPHONE")</f>
        <v xml:space="preserve">          6309 - TELEPHONE</v>
      </c>
      <c r="C121" s="11"/>
      <c r="D121" s="6">
        <v>1994.65</v>
      </c>
      <c r="E121" s="2"/>
      <c r="F121" s="7">
        <f t="shared" si="95"/>
        <v>70.333215796897036</v>
      </c>
      <c r="G121" s="2"/>
      <c r="H121" s="6">
        <v>2347.54</v>
      </c>
      <c r="I121" s="2"/>
      <c r="J121" s="7">
        <f t="shared" si="96"/>
        <v>3.218214870794679E-3</v>
      </c>
      <c r="K121" s="2"/>
      <c r="L121" s="6">
        <f t="shared" si="97"/>
        <v>-352.88999999999987</v>
      </c>
      <c r="M121" s="2"/>
      <c r="N121" s="7">
        <f t="shared" si="98"/>
        <v>-0.15032331717457417</v>
      </c>
      <c r="O121" s="11"/>
      <c r="P121" s="6">
        <v>24985.84</v>
      </c>
      <c r="Q121" s="2"/>
      <c r="R121" s="7">
        <f t="shared" si="99"/>
        <v>3.577505390919636E-3</v>
      </c>
      <c r="S121" s="2"/>
      <c r="T121" s="6">
        <v>25003.7</v>
      </c>
      <c r="U121" s="2"/>
      <c r="V121" s="7">
        <f t="shared" si="100"/>
        <v>2.58529680351284E-3</v>
      </c>
      <c r="W121" s="2"/>
      <c r="X121" s="6">
        <f t="shared" si="101"/>
        <v>-17.860000000000582</v>
      </c>
      <c r="Y121" s="2"/>
      <c r="Z121" s="7">
        <f t="shared" si="102"/>
        <v>-7.1429428444592523E-4</v>
      </c>
    </row>
    <row r="122" spans="1:26" s="27" customFormat="1" outlineLevel="1" collapsed="1" x14ac:dyDescent="0.25">
      <c r="A122" s="25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SUM(OSRRefD22_22x_0)</f>
        <v>0</v>
      </c>
      <c r="E122" s="1"/>
      <c r="F122" s="5">
        <f t="shared" si="95"/>
        <v>0</v>
      </c>
      <c r="G122" s="1"/>
      <c r="H122" s="1">
        <f>SUM(OSRRefH22_22x_0)</f>
        <v>0</v>
      </c>
      <c r="I122" s="1"/>
      <c r="J122" s="5">
        <f t="shared" si="96"/>
        <v>0</v>
      </c>
      <c r="K122" s="1"/>
      <c r="L122" s="1">
        <f t="shared" si="97"/>
        <v>0</v>
      </c>
      <c r="M122" s="1"/>
      <c r="N122" s="5">
        <f t="shared" si="98"/>
        <v>0</v>
      </c>
      <c r="O122" s="13"/>
      <c r="P122" s="1">
        <f>SUM(OSRRefP22_22x_0)</f>
        <v>2233.0100000000002</v>
      </c>
      <c r="Q122" s="1"/>
      <c r="R122" s="5">
        <f t="shared" si="99"/>
        <v>3.1972530493181166E-4</v>
      </c>
      <c r="S122" s="1"/>
      <c r="T122" s="1">
        <f>SUM(OSRRefT22_22x_0)</f>
        <v>1608.63</v>
      </c>
      <c r="U122" s="1"/>
      <c r="V122" s="5">
        <f t="shared" si="100"/>
        <v>1.6632682351151468E-4</v>
      </c>
      <c r="W122" s="1"/>
      <c r="X122" s="1">
        <f t="shared" si="101"/>
        <v>624.38000000000011</v>
      </c>
      <c r="Y122" s="1"/>
      <c r="Z122" s="5">
        <f t="shared" si="102"/>
        <v>0.3881439485773609</v>
      </c>
    </row>
    <row r="123" spans="1:26" s="24" customFormat="1" hidden="1" outlineLevel="2" x14ac:dyDescent="0.25">
      <c r="A123" s="26"/>
      <c r="B123" s="11" t="str">
        <f>CONCATENATE("          ", "6376", " - ", "TRAINING")</f>
        <v xml:space="preserve">          6376 - TRAINING</v>
      </c>
      <c r="C123" s="11"/>
      <c r="D123" s="6"/>
      <c r="E123" s="2"/>
      <c r="F123" s="7">
        <f t="shared" si="95"/>
        <v>0</v>
      </c>
      <c r="G123" s="2"/>
      <c r="H123" s="6"/>
      <c r="I123" s="2"/>
      <c r="J123" s="7">
        <f t="shared" si="96"/>
        <v>0</v>
      </c>
      <c r="K123" s="2"/>
      <c r="L123" s="6">
        <f t="shared" si="97"/>
        <v>0</v>
      </c>
      <c r="M123" s="2"/>
      <c r="N123" s="7">
        <f t="shared" si="98"/>
        <v>0</v>
      </c>
      <c r="O123" s="11"/>
      <c r="P123" s="6">
        <v>2233.0100000000002</v>
      </c>
      <c r="Q123" s="2"/>
      <c r="R123" s="7">
        <f t="shared" si="99"/>
        <v>3.1972530493181166E-4</v>
      </c>
      <c r="S123" s="2"/>
      <c r="T123" s="6">
        <v>1608.63</v>
      </c>
      <c r="U123" s="2"/>
      <c r="V123" s="7">
        <f t="shared" si="100"/>
        <v>1.6632682351151468E-4</v>
      </c>
      <c r="W123" s="2"/>
      <c r="X123" s="6">
        <f t="shared" si="101"/>
        <v>624.38000000000011</v>
      </c>
      <c r="Y123" s="2"/>
      <c r="Z123" s="7">
        <f t="shared" si="102"/>
        <v>0.3881439485773609</v>
      </c>
    </row>
    <row r="124" spans="1:26" s="27" customFormat="1" outlineLevel="1" collapsed="1" x14ac:dyDescent="0.25">
      <c r="A124" s="25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SUM(OSRRefD22_23x_0)</f>
        <v>0</v>
      </c>
      <c r="E124" s="1"/>
      <c r="F124" s="5">
        <f t="shared" si="95"/>
        <v>0</v>
      </c>
      <c r="G124" s="1"/>
      <c r="H124" s="1">
        <f>SUM(OSRRefH22_23x_0)</f>
        <v>271.87</v>
      </c>
      <c r="I124" s="1"/>
      <c r="J124" s="5">
        <f t="shared" si="96"/>
        <v>3.7270337328563065E-4</v>
      </c>
      <c r="K124" s="1"/>
      <c r="L124" s="1">
        <f t="shared" si="97"/>
        <v>-271.87</v>
      </c>
      <c r="M124" s="1"/>
      <c r="N124" s="5">
        <f t="shared" si="98"/>
        <v>-1</v>
      </c>
      <c r="O124" s="13"/>
      <c r="P124" s="1">
        <f>SUM(OSRRefP22_23x_0)</f>
        <v>6407.32</v>
      </c>
      <c r="Q124" s="1"/>
      <c r="R124" s="5">
        <f t="shared" si="99"/>
        <v>9.174084938247904E-4</v>
      </c>
      <c r="S124" s="1"/>
      <c r="T124" s="1">
        <f>SUM(OSRRefT22_23x_0)</f>
        <v>4083.5299999999997</v>
      </c>
      <c r="U124" s="1"/>
      <c r="V124" s="5">
        <f t="shared" si="100"/>
        <v>4.2222299323895206E-4</v>
      </c>
      <c r="W124" s="1"/>
      <c r="X124" s="1">
        <f t="shared" si="101"/>
        <v>2323.79</v>
      </c>
      <c r="Y124" s="1"/>
      <c r="Z124" s="5">
        <f t="shared" si="102"/>
        <v>0.5690640205900287</v>
      </c>
    </row>
    <row r="125" spans="1:26" s="24" customFormat="1" hidden="1" outlineLevel="2" x14ac:dyDescent="0.25">
      <c r="A125" s="26"/>
      <c r="B125" s="11" t="str">
        <f>CONCATENATE("          ", "6292", " - ", "TRAVEL/CONFERENCE")</f>
        <v xml:space="preserve">          6292 - TRAVEL/CONFERENCE</v>
      </c>
      <c r="C125" s="11"/>
      <c r="D125" s="6"/>
      <c r="E125" s="2"/>
      <c r="F125" s="7">
        <f t="shared" si="95"/>
        <v>0</v>
      </c>
      <c r="G125" s="2"/>
      <c r="H125" s="6">
        <v>60.73</v>
      </c>
      <c r="I125" s="2"/>
      <c r="J125" s="7">
        <f t="shared" si="96"/>
        <v>8.3254040017789198E-5</v>
      </c>
      <c r="K125" s="2"/>
      <c r="L125" s="6">
        <f t="shared" si="97"/>
        <v>-60.73</v>
      </c>
      <c r="M125" s="2"/>
      <c r="N125" s="7">
        <f t="shared" si="98"/>
        <v>-1</v>
      </c>
      <c r="O125" s="11"/>
      <c r="P125" s="6">
        <v>4995.68</v>
      </c>
      <c r="Q125" s="2"/>
      <c r="R125" s="7">
        <f t="shared" si="99"/>
        <v>7.1528802438939048E-4</v>
      </c>
      <c r="S125" s="2"/>
      <c r="T125" s="6">
        <v>1493.8</v>
      </c>
      <c r="U125" s="2"/>
      <c r="V125" s="7">
        <f t="shared" si="100"/>
        <v>1.5445379544177382E-4</v>
      </c>
      <c r="W125" s="2"/>
      <c r="X125" s="6">
        <f t="shared" si="101"/>
        <v>3501.88</v>
      </c>
      <c r="Y125" s="2"/>
      <c r="Z125" s="7">
        <f t="shared" si="102"/>
        <v>2.3442763422144868</v>
      </c>
    </row>
    <row r="126" spans="1:26" s="24" customFormat="1" hidden="1" outlineLevel="2" x14ac:dyDescent="0.25">
      <c r="A126" s="26"/>
      <c r="B126" s="11" t="str">
        <f>CONCATENATE("          ", "6294", " - ", "TRAVEL OPERATIONAL")</f>
        <v xml:space="preserve">          6294 - TRAVEL OPERATIONAL</v>
      </c>
      <c r="C126" s="11"/>
      <c r="D126" s="6"/>
      <c r="E126" s="2"/>
      <c r="F126" s="7">
        <f t="shared" si="95"/>
        <v>0</v>
      </c>
      <c r="G126" s="2"/>
      <c r="H126" s="6"/>
      <c r="I126" s="2"/>
      <c r="J126" s="7">
        <f t="shared" si="96"/>
        <v>0</v>
      </c>
      <c r="K126" s="2"/>
      <c r="L126" s="6">
        <f t="shared" si="97"/>
        <v>0</v>
      </c>
      <c r="M126" s="2"/>
      <c r="N126" s="7">
        <f t="shared" si="98"/>
        <v>0</v>
      </c>
      <c r="O126" s="11"/>
      <c r="P126" s="6">
        <v>56.99</v>
      </c>
      <c r="Q126" s="2"/>
      <c r="R126" s="7">
        <f t="shared" si="99"/>
        <v>8.1599030582325862E-6</v>
      </c>
      <c r="S126" s="2"/>
      <c r="T126" s="6">
        <v>1299.02</v>
      </c>
      <c r="U126" s="2"/>
      <c r="V126" s="7">
        <f t="shared" si="100"/>
        <v>1.3431421164464657E-4</v>
      </c>
      <c r="W126" s="2"/>
      <c r="X126" s="6">
        <f t="shared" si="101"/>
        <v>-1242.03</v>
      </c>
      <c r="Y126" s="2"/>
      <c r="Z126" s="7">
        <f t="shared" si="102"/>
        <v>-0.95612846607442536</v>
      </c>
    </row>
    <row r="127" spans="1:26" s="24" customFormat="1" hidden="1" outlineLevel="2" x14ac:dyDescent="0.25">
      <c r="A127" s="26"/>
      <c r="B127" s="11" t="str">
        <f>CONCATENATE("          ", "6298", " - ", "VEHICLE MILEAGE")</f>
        <v xml:space="preserve">          6298 - VEHICLE MILEAGE</v>
      </c>
      <c r="C127" s="11"/>
      <c r="D127" s="6"/>
      <c r="E127" s="2"/>
      <c r="F127" s="7">
        <f t="shared" si="95"/>
        <v>0</v>
      </c>
      <c r="G127" s="2"/>
      <c r="H127" s="6">
        <v>211.14</v>
      </c>
      <c r="I127" s="2"/>
      <c r="J127" s="7">
        <f t="shared" si="96"/>
        <v>2.8944933326784144E-4</v>
      </c>
      <c r="K127" s="2"/>
      <c r="L127" s="6">
        <f t="shared" si="97"/>
        <v>-211.14</v>
      </c>
      <c r="M127" s="2"/>
      <c r="N127" s="7">
        <f t="shared" si="98"/>
        <v>-1</v>
      </c>
      <c r="O127" s="11"/>
      <c r="P127" s="6">
        <v>1354.65</v>
      </c>
      <c r="Q127" s="2"/>
      <c r="R127" s="7">
        <f t="shared" si="99"/>
        <v>1.9396056637716744E-4</v>
      </c>
      <c r="S127" s="2"/>
      <c r="T127" s="6">
        <v>1290.71</v>
      </c>
      <c r="U127" s="2"/>
      <c r="V127" s="7">
        <f t="shared" si="100"/>
        <v>1.3345498615253173E-4</v>
      </c>
      <c r="W127" s="2"/>
      <c r="X127" s="6">
        <f t="shared" si="101"/>
        <v>63.940000000000055</v>
      </c>
      <c r="Y127" s="2"/>
      <c r="Z127" s="7">
        <f t="shared" si="102"/>
        <v>4.9538626027535275E-2</v>
      </c>
    </row>
    <row r="128" spans="1:26" s="27" customFormat="1" outlineLevel="1" collapsed="1" x14ac:dyDescent="0.25">
      <c r="A128" s="25"/>
      <c r="B128" s="13" t="str">
        <f>CONCATENATE("     ","Utilities                                         ")</f>
        <v xml:space="preserve">     Utilities                                         </v>
      </c>
      <c r="C128" s="13"/>
      <c r="D128" s="1">
        <f>SUM(OSRRefD22_24x_0)</f>
        <v>16692</v>
      </c>
      <c r="E128" s="1"/>
      <c r="F128" s="5">
        <f t="shared" ref="F128:F129" si="103">IF(D$12=0,0,D128/D$12)</f>
        <v>588.57545839210161</v>
      </c>
      <c r="G128" s="1"/>
      <c r="H128" s="1">
        <f>SUM(OSRRefH22_24x_0)</f>
        <v>14748</v>
      </c>
      <c r="I128" s="1"/>
      <c r="J128" s="5">
        <f t="shared" ref="J128:J129" si="104">IF(H$12=0,0,H128/H$12)</f>
        <v>2.0217859084181708E-2</v>
      </c>
      <c r="K128" s="1"/>
      <c r="L128" s="1">
        <f t="shared" ref="L128:L129" si="105">+D128-H128</f>
        <v>1944</v>
      </c>
      <c r="M128" s="1"/>
      <c r="N128" s="5">
        <f t="shared" ref="N128:N129" si="106">IF(H128=0,0,L128/H128)</f>
        <v>0.13181448331977216</v>
      </c>
      <c r="O128" s="13"/>
      <c r="P128" s="1">
        <f>SUM(OSRRefP22_24x_0)</f>
        <v>186405.74</v>
      </c>
      <c r="Q128" s="1"/>
      <c r="R128" s="5">
        <f t="shared" ref="R128:R129" si="107">IF(P$12=0,0,P128/P$12)</f>
        <v>2.6689818703248078E-2</v>
      </c>
      <c r="S128" s="1"/>
      <c r="T128" s="1">
        <f>SUM(OSRRefT22_24x_0)</f>
        <v>137057.10999999999</v>
      </c>
      <c r="U128" s="1"/>
      <c r="V128" s="5">
        <f t="shared" ref="V128:V129" si="108">IF(T$12=0,0,T128/T$12)</f>
        <v>1.4171234992489417E-2</v>
      </c>
      <c r="W128" s="1"/>
      <c r="X128" s="1">
        <f t="shared" ref="X128:X129" si="109">+P128-T128</f>
        <v>49348.630000000005</v>
      </c>
      <c r="Y128" s="1"/>
      <c r="Z128" s="5">
        <f t="shared" ref="Z128:Z129" si="110">IF(T128=0,0,X128/T128)</f>
        <v>0.36005888348295106</v>
      </c>
    </row>
    <row r="129" spans="1:26" s="24" customFormat="1" hidden="1" outlineLevel="2" x14ac:dyDescent="0.25">
      <c r="A129" s="26"/>
      <c r="B129" s="11" t="str">
        <f>CONCATENATE("          ", "6274", " - ", "UTILITIES")</f>
        <v xml:space="preserve">          6274 - UTILITIES</v>
      </c>
      <c r="C129" s="11"/>
      <c r="D129" s="6">
        <v>16692</v>
      </c>
      <c r="E129" s="2"/>
      <c r="F129" s="7">
        <f t="shared" si="103"/>
        <v>588.57545839210161</v>
      </c>
      <c r="G129" s="2"/>
      <c r="H129" s="6">
        <v>14748</v>
      </c>
      <c r="I129" s="2"/>
      <c r="J129" s="7">
        <f t="shared" si="104"/>
        <v>2.0217859084181708E-2</v>
      </c>
      <c r="K129" s="2"/>
      <c r="L129" s="6">
        <f t="shared" si="105"/>
        <v>1944</v>
      </c>
      <c r="M129" s="2"/>
      <c r="N129" s="7">
        <f t="shared" si="106"/>
        <v>0.13181448331977216</v>
      </c>
      <c r="O129" s="11"/>
      <c r="P129" s="6">
        <v>186405.74</v>
      </c>
      <c r="Q129" s="2"/>
      <c r="R129" s="7">
        <f t="shared" si="107"/>
        <v>2.6689818703248078E-2</v>
      </c>
      <c r="S129" s="2"/>
      <c r="T129" s="6">
        <v>137057.10999999999</v>
      </c>
      <c r="U129" s="2"/>
      <c r="V129" s="7">
        <f t="shared" si="108"/>
        <v>1.4171234992489417E-2</v>
      </c>
      <c r="W129" s="2"/>
      <c r="X129" s="6">
        <f t="shared" si="109"/>
        <v>49348.630000000005</v>
      </c>
      <c r="Y129" s="2"/>
      <c r="Z129" s="7">
        <f t="shared" si="110"/>
        <v>0.36005888348295106</v>
      </c>
    </row>
    <row r="130" spans="1:26" s="58" customFormat="1" x14ac:dyDescent="0.25">
      <c r="A130" s="37"/>
      <c r="B130" s="37"/>
      <c r="C130" s="37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7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8" t="s">
        <v>0</v>
      </c>
      <c r="C131" s="10"/>
      <c r="D131" s="4">
        <f>SUM(OSRRefD25x_0)</f>
        <v>6624.89</v>
      </c>
      <c r="E131" s="4"/>
      <c r="F131" s="12">
        <f t="shared" ref="F131:F134" si="111">IF(D$12=0,0,D131/D$12)</f>
        <v>233.59978843441468</v>
      </c>
      <c r="G131" s="4"/>
      <c r="H131" s="4">
        <f>SUM(OSRRefH25x_0)</f>
        <v>49624.46</v>
      </c>
      <c r="I131" s="4"/>
      <c r="J131" s="12">
        <f t="shared" ref="J131:J134" si="112">IF(H$12=0,0,H131/H$12)</f>
        <v>6.8029586344494963E-2</v>
      </c>
      <c r="K131" s="4"/>
      <c r="L131" s="4">
        <f t="shared" ref="L131:L134" si="113">+D131-H131</f>
        <v>-42999.57</v>
      </c>
      <c r="M131" s="4"/>
      <c r="N131" s="12">
        <f t="shared" ref="N131:N134" si="114">IF(H131=0,0,L131/H131)</f>
        <v>-0.86649950447823509</v>
      </c>
      <c r="O131" s="10"/>
      <c r="P131" s="4">
        <f>SUM(OSRRefP25x_0)</f>
        <v>687198.88</v>
      </c>
      <c r="Q131" s="4"/>
      <c r="R131" s="12">
        <f t="shared" ref="R131:R134" si="115">IF(P$12=0,0,P131/P$12)</f>
        <v>9.8394038296648667E-2</v>
      </c>
      <c r="S131" s="4"/>
      <c r="T131" s="4">
        <f>SUM(OSRRefT25x_0)</f>
        <v>678746.83</v>
      </c>
      <c r="U131" s="4"/>
      <c r="V131" s="12">
        <f t="shared" ref="V131:V134" si="116">IF(T$12=0,0,T131/T$12)</f>
        <v>7.0180093745864522E-2</v>
      </c>
      <c r="W131" s="4"/>
      <c r="X131" s="4">
        <f t="shared" ref="X131:X134" si="117">+P131-T131</f>
        <v>8452.0500000000466</v>
      </c>
      <c r="Y131" s="4"/>
      <c r="Z131" s="12">
        <f t="shared" ref="Z131:Z134" si="118">IF(T131=0,0,X131/T131)</f>
        <v>1.2452433847831079E-2</v>
      </c>
    </row>
    <row r="132" spans="1:26" s="24" customFormat="1" hidden="1" outlineLevel="1" x14ac:dyDescent="0.25">
      <c r="A132" s="44"/>
      <c r="B132" s="11" t="str">
        <f>CONCATENATE("          ", "9150", " - ", "MISC. INCOME")</f>
        <v xml:space="preserve">          9150 - MISC. INCOME</v>
      </c>
      <c r="C132" s="11"/>
      <c r="D132" s="2">
        <f t="shared" ref="D132:D133" si="119">0</f>
        <v>0</v>
      </c>
      <c r="E132" s="2"/>
      <c r="F132" s="19">
        <f t="shared" si="111"/>
        <v>0</v>
      </c>
      <c r="G132" s="2"/>
      <c r="H132" s="2">
        <f>--44818.61</f>
        <v>44818.61</v>
      </c>
      <c r="I132" s="2"/>
      <c r="J132" s="19">
        <f t="shared" si="112"/>
        <v>6.1441303317663218E-2</v>
      </c>
      <c r="K132" s="2"/>
      <c r="L132" s="2">
        <f t="shared" si="113"/>
        <v>-44818.61</v>
      </c>
      <c r="M132" s="2"/>
      <c r="N132" s="19">
        <f t="shared" si="114"/>
        <v>-1</v>
      </c>
      <c r="O132" s="11"/>
      <c r="P132" s="2">
        <f>--313984.54</f>
        <v>313984.53999999998</v>
      </c>
      <c r="Q132" s="2"/>
      <c r="R132" s="19">
        <f t="shared" si="115"/>
        <v>4.4956718866182688E-2</v>
      </c>
      <c r="S132" s="2"/>
      <c r="T132" s="2">
        <f>--347172.16</f>
        <v>347172.16</v>
      </c>
      <c r="U132" s="2"/>
      <c r="V132" s="19">
        <f t="shared" si="116"/>
        <v>3.589641035193384E-2</v>
      </c>
      <c r="W132" s="2"/>
      <c r="X132" s="2">
        <f t="shared" si="117"/>
        <v>-33187.619999999995</v>
      </c>
      <c r="Y132" s="2"/>
      <c r="Z132" s="19">
        <f t="shared" si="118"/>
        <v>-9.5594128284940807E-2</v>
      </c>
    </row>
    <row r="133" spans="1:26" s="24" customFormat="1" hidden="1" outlineLevel="1" x14ac:dyDescent="0.25">
      <c r="A133" s="44"/>
      <c r="B133" s="11" t="str">
        <f>CONCATENATE("          ", "9160", " - ", "MISC. INCOME")</f>
        <v xml:space="preserve">          9160 - MISC. INCOME</v>
      </c>
      <c r="C133" s="11"/>
      <c r="D133" s="2">
        <f t="shared" si="119"/>
        <v>0</v>
      </c>
      <c r="E133" s="2"/>
      <c r="F133" s="19">
        <f t="shared" si="111"/>
        <v>0</v>
      </c>
      <c r="G133" s="2"/>
      <c r="H133" s="2">
        <f>0</f>
        <v>0</v>
      </c>
      <c r="I133" s="2"/>
      <c r="J133" s="19">
        <f t="shared" si="112"/>
        <v>0</v>
      </c>
      <c r="K133" s="2"/>
      <c r="L133" s="2">
        <f t="shared" si="113"/>
        <v>0</v>
      </c>
      <c r="M133" s="2"/>
      <c r="N133" s="19">
        <f t="shared" si="114"/>
        <v>0</v>
      </c>
      <c r="O133" s="11"/>
      <c r="P133" s="2">
        <f>--130089.32</f>
        <v>130089.32</v>
      </c>
      <c r="Q133" s="2"/>
      <c r="R133" s="19">
        <f t="shared" si="115"/>
        <v>1.8626359714184901E-2</v>
      </c>
      <c r="S133" s="2"/>
      <c r="T133" s="2">
        <f>--86579.56</f>
        <v>86579.56</v>
      </c>
      <c r="U133" s="2"/>
      <c r="V133" s="19">
        <f t="shared" si="116"/>
        <v>8.9520294883376501E-3</v>
      </c>
      <c r="W133" s="2"/>
      <c r="X133" s="2">
        <f t="shared" si="117"/>
        <v>43509.760000000009</v>
      </c>
      <c r="Y133" s="2"/>
      <c r="Z133" s="19">
        <f t="shared" si="118"/>
        <v>0.50254078445305117</v>
      </c>
    </row>
    <row r="134" spans="1:26" s="24" customFormat="1" hidden="1" outlineLevel="1" x14ac:dyDescent="0.25">
      <c r="A134" s="44"/>
      <c r="B134" s="11" t="str">
        <f>CONCATENATE("          ", "9165", " - ", "OTHER INCOME")</f>
        <v xml:space="preserve">          9165 - OTHER INCOME</v>
      </c>
      <c r="C134" s="11"/>
      <c r="D134" s="2">
        <f>--6624.89</f>
        <v>6624.89</v>
      </c>
      <c r="E134" s="2"/>
      <c r="F134" s="19">
        <f t="shared" si="111"/>
        <v>233.59978843441468</v>
      </c>
      <c r="G134" s="2"/>
      <c r="H134" s="2">
        <f>--4805.85</f>
        <v>4805.8500000000004</v>
      </c>
      <c r="I134" s="2"/>
      <c r="J134" s="19">
        <f t="shared" si="112"/>
        <v>6.5882830268317507E-3</v>
      </c>
      <c r="K134" s="2"/>
      <c r="L134" s="2">
        <f t="shared" si="113"/>
        <v>1819.04</v>
      </c>
      <c r="M134" s="2"/>
      <c r="N134" s="19">
        <f t="shared" si="114"/>
        <v>0.37850536325519935</v>
      </c>
      <c r="O134" s="11"/>
      <c r="P134" s="2">
        <f>--243125.02</f>
        <v>243125.02</v>
      </c>
      <c r="Q134" s="2"/>
      <c r="R134" s="19">
        <f t="shared" si="115"/>
        <v>3.4810959716281072E-2</v>
      </c>
      <c r="S134" s="2"/>
      <c r="T134" s="2">
        <f>--244995.11</f>
        <v>244995.11</v>
      </c>
      <c r="U134" s="2"/>
      <c r="V134" s="19">
        <f t="shared" si="116"/>
        <v>2.5331653905593034E-2</v>
      </c>
      <c r="W134" s="2"/>
      <c r="X134" s="2">
        <f t="shared" si="117"/>
        <v>-1870.0899999999965</v>
      </c>
      <c r="Y134" s="2"/>
      <c r="Z134" s="19">
        <f t="shared" si="118"/>
        <v>-7.6331727600603807E-3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9" t="s">
        <v>3</v>
      </c>
      <c r="C136" s="29"/>
      <c r="D136" s="21">
        <f>+D39-D41+D131</f>
        <v>-182639.73999999996</v>
      </c>
      <c r="E136" s="14"/>
      <c r="F136" s="20">
        <f>IF(D$12=0,0,D136/D$12)</f>
        <v>-6440.0472496473894</v>
      </c>
      <c r="G136" s="14"/>
      <c r="H136" s="21">
        <f>+H39-H41+H131</f>
        <v>-243248.19000000003</v>
      </c>
      <c r="I136" s="14"/>
      <c r="J136" s="20">
        <f>IF(H$12=0,0,H136/H$12)</f>
        <v>-0.33346607186752497</v>
      </c>
      <c r="K136" s="16"/>
      <c r="L136" s="21">
        <f>+D136-H136</f>
        <v>60608.45000000007</v>
      </c>
      <c r="M136" s="16"/>
      <c r="N136" s="20">
        <f>IF(H136=0,0,L136/H136)</f>
        <v>-0.24916300507724257</v>
      </c>
      <c r="O136" s="28"/>
      <c r="P136" s="21">
        <f>+P39-P41+P131</f>
        <v>-932553.34000000113</v>
      </c>
      <c r="Q136" s="14"/>
      <c r="R136" s="20">
        <f>IF(P$12=0,0,P136/P$12)</f>
        <v>-0.13352421216057239</v>
      </c>
      <c r="S136" s="14"/>
      <c r="T136" s="21">
        <f>+T39-T41+T131</f>
        <v>380961.61000000115</v>
      </c>
      <c r="U136" s="14"/>
      <c r="V136" s="20">
        <f>IF(T$12=0,0,T136/T$12)</f>
        <v>3.939012356547663E-2</v>
      </c>
      <c r="W136" s="16"/>
      <c r="X136" s="21">
        <f>+P136-T136</f>
        <v>-1313514.9500000023</v>
      </c>
      <c r="Y136" s="16"/>
      <c r="Z136" s="20">
        <f>IF(T136=0,0,X136/T136)</f>
        <v>-3.4478932142270144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1"/>
      <c r="B138" s="10" t="s">
        <v>13</v>
      </c>
      <c r="C138" s="10"/>
      <c r="D138" s="4">
        <v>34035.43</v>
      </c>
      <c r="E138" s="4"/>
      <c r="F138" s="12">
        <f>IF(D$12=0,0,D138/D$12)</f>
        <v>1200.1209449929479</v>
      </c>
      <c r="G138" s="4"/>
      <c r="H138" s="4">
        <v>76374.83</v>
      </c>
      <c r="I138" s="4"/>
      <c r="J138" s="12">
        <f>IF(H$12=0,0,H138/H$12)</f>
        <v>0.10470135276093935</v>
      </c>
      <c r="K138" s="4"/>
      <c r="L138" s="4">
        <f>+D138-H138</f>
        <v>-42339.4</v>
      </c>
      <c r="M138" s="4"/>
      <c r="N138" s="12">
        <f>IF(H138=0,0,L138/H138)</f>
        <v>-0.55436326339449793</v>
      </c>
      <c r="O138" s="10"/>
      <c r="P138" s="4">
        <v>827032.63</v>
      </c>
      <c r="Q138" s="4"/>
      <c r="R138" s="12">
        <f>IF(P$12=0,0,P138/P$12)</f>
        <v>0.11841561829786169</v>
      </c>
      <c r="S138" s="4"/>
      <c r="T138" s="4">
        <v>1005977.05</v>
      </c>
      <c r="U138" s="4"/>
      <c r="V138" s="12">
        <f>IF(T$12=0,0,T138/T$12)</f>
        <v>0.10401457591365583</v>
      </c>
      <c r="W138" s="4"/>
      <c r="X138" s="4">
        <f>+P138-T138</f>
        <v>-178944.42000000004</v>
      </c>
      <c r="Y138" s="4"/>
      <c r="Z138" s="12">
        <f>IF(T138=0,0,X138/T138)</f>
        <v>-0.17788121508338589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4</v>
      </c>
      <c r="C140" s="29"/>
      <c r="D140" s="35">
        <f>+D136-D138</f>
        <v>-216675.16999999995</v>
      </c>
      <c r="E140" s="14"/>
      <c r="F140" s="32">
        <f>IF(D$12=0,0,D140/D$12)</f>
        <v>-7640.1681946403369</v>
      </c>
      <c r="G140" s="14"/>
      <c r="H140" s="35">
        <f>+H136-H138</f>
        <v>-319623.02</v>
      </c>
      <c r="I140" s="14"/>
      <c r="J140" s="32">
        <f>IF(H$12=0,0,H140/H$12)</f>
        <v>-0.43816742462846431</v>
      </c>
      <c r="K140" s="16"/>
      <c r="L140" s="35">
        <f>D140-H140</f>
        <v>102947.85000000006</v>
      </c>
      <c r="M140" s="16"/>
      <c r="N140" s="32">
        <f>IF(H140=0,0,L140/H140)</f>
        <v>-0.32209147513843045</v>
      </c>
      <c r="O140" s="28"/>
      <c r="P140" s="35">
        <f>+P136-P138</f>
        <v>-1759585.9700000011</v>
      </c>
      <c r="Q140" s="14"/>
      <c r="R140" s="32">
        <f>IF(P$12=0,0,P140/P$12)</f>
        <v>-0.2519398304584341</v>
      </c>
      <c r="S140" s="14"/>
      <c r="T140" s="35">
        <f>+T136-T138</f>
        <v>-625015.4399999989</v>
      </c>
      <c r="U140" s="14"/>
      <c r="V140" s="32">
        <f>IF(T$12=0,0,T140/T$12)</f>
        <v>-6.4624452348179193E-2</v>
      </c>
      <c r="W140" s="16"/>
      <c r="X140" s="35">
        <f>P140-T140</f>
        <v>-1134570.5300000021</v>
      </c>
      <c r="Y140" s="16"/>
      <c r="Z140" s="32">
        <f>IF(T140=0,0,X140/T140)</f>
        <v>1.8152680036192452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5</v>
      </c>
      <c r="C143" s="29"/>
      <c r="D143" s="36">
        <f>SUM(D140:D142)</f>
        <v>-216675.16999999995</v>
      </c>
      <c r="E143" s="14"/>
      <c r="F143" s="33">
        <f>IF(D$12=0,0,D143/D$12)</f>
        <v>-7640.1681946403369</v>
      </c>
      <c r="G143" s="14"/>
      <c r="H143" s="36">
        <f>SUM(H140:H142)</f>
        <v>-319623.02</v>
      </c>
      <c r="I143" s="14"/>
      <c r="J143" s="33">
        <f>IF(H$12=0,0,H143/H$12)</f>
        <v>-0.43816742462846431</v>
      </c>
      <c r="K143" s="16"/>
      <c r="L143" s="36">
        <f>+D143-H143</f>
        <v>102947.85000000006</v>
      </c>
      <c r="M143" s="16"/>
      <c r="N143" s="33">
        <f>IF(H143=0,0,L143/H143)</f>
        <v>-0.32209147513843045</v>
      </c>
      <c r="O143" s="28"/>
      <c r="P143" s="36">
        <f>SUM(P140:P142)</f>
        <v>-1759585.9700000011</v>
      </c>
      <c r="Q143" s="14"/>
      <c r="R143" s="33">
        <f>IF(P$12=0,0,P143/P$12)</f>
        <v>-0.2519398304584341</v>
      </c>
      <c r="S143" s="14"/>
      <c r="T143" s="36">
        <f>SUM(T140:T142)</f>
        <v>-625015.4399999989</v>
      </c>
      <c r="U143" s="14"/>
      <c r="V143" s="33">
        <f>IF(T$12=0,0,T143/T$12)</f>
        <v>-6.4624452348179193E-2</v>
      </c>
      <c r="W143" s="16"/>
      <c r="X143" s="36">
        <f>+P143-T143</f>
        <v>-1134570.5300000021</v>
      </c>
      <c r="Y143" s="16"/>
      <c r="Z143" s="33">
        <f>IF(T143=0,0,X143/T143)</f>
        <v>1.8152680036192452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55">
        <v>43992.374976307867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62" t="s">
        <v>313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3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43" sqref="D43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519417.32999999996</v>
      </c>
      <c r="I12" s="4"/>
      <c r="J12" s="12"/>
      <c r="K12" s="4"/>
      <c r="L12" s="4">
        <f t="shared" ref="L12:L24" si="0">+D12-H12</f>
        <v>-519417.32999999996</v>
      </c>
      <c r="M12" s="4"/>
      <c r="N12" s="12">
        <f t="shared" ref="N12:N24" si="1">IF(H12=0,0,L12/H12)</f>
        <v>-1</v>
      </c>
      <c r="O12" s="10"/>
      <c r="P12" s="4">
        <f>SUM(OSRRefP13x_0)</f>
        <v>4619542.3499999996</v>
      </c>
      <c r="Q12" s="4"/>
      <c r="R12" s="12"/>
      <c r="S12" s="4"/>
      <c r="T12" s="4">
        <f>SUM(OSRRefT13x_0)</f>
        <v>6689068.8099999996</v>
      </c>
      <c r="U12" s="4"/>
      <c r="V12" s="12"/>
      <c r="W12" s="4"/>
      <c r="X12" s="4">
        <f t="shared" ref="X12:X24" si="2">+P12-T12</f>
        <v>-2069526.46</v>
      </c>
      <c r="Y12" s="4"/>
      <c r="Z12" s="12">
        <f t="shared" ref="Z12:Z24" si="3">IF(T12=0,0,X12/T12)</f>
        <v>-0.30938932141139092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24" si="4">0</f>
        <v>0</v>
      </c>
      <c r="E13" s="2"/>
      <c r="F13" s="19"/>
      <c r="G13" s="2"/>
      <c r="H13" s="2">
        <f>--72675.23</f>
        <v>72675.23</v>
      </c>
      <c r="I13" s="2"/>
      <c r="J13" s="19"/>
      <c r="K13" s="2"/>
      <c r="L13" s="2">
        <f t="shared" si="0"/>
        <v>-72675.23</v>
      </c>
      <c r="M13" s="2"/>
      <c r="N13" s="19">
        <f t="shared" si="1"/>
        <v>-1</v>
      </c>
      <c r="O13" s="11"/>
      <c r="P13" s="2">
        <f>--454738.68</f>
        <v>454738.68</v>
      </c>
      <c r="Q13" s="2"/>
      <c r="R13" s="19"/>
      <c r="S13" s="2"/>
      <c r="T13" s="2">
        <f>--670554.85</f>
        <v>670554.85</v>
      </c>
      <c r="U13" s="2"/>
      <c r="V13" s="19"/>
      <c r="W13" s="2"/>
      <c r="X13" s="2">
        <f t="shared" si="2"/>
        <v>-215816.16999999998</v>
      </c>
      <c r="Y13" s="2"/>
      <c r="Z13" s="19">
        <f t="shared" si="3"/>
        <v>-0.32184715389054303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--163430.84</f>
        <v>163430.84</v>
      </c>
      <c r="I14" s="2"/>
      <c r="J14" s="19"/>
      <c r="K14" s="2"/>
      <c r="L14" s="2">
        <f t="shared" si="0"/>
        <v>-163430.84</v>
      </c>
      <c r="M14" s="2"/>
      <c r="N14" s="19">
        <f t="shared" si="1"/>
        <v>-1</v>
      </c>
      <c r="O14" s="11"/>
      <c r="P14" s="2">
        <f>--836487.29</f>
        <v>836487.29</v>
      </c>
      <c r="Q14" s="2"/>
      <c r="R14" s="19"/>
      <c r="S14" s="2"/>
      <c r="T14" s="2">
        <f>--1520771.04</f>
        <v>1520771.04</v>
      </c>
      <c r="U14" s="2"/>
      <c r="V14" s="19"/>
      <c r="W14" s="2"/>
      <c r="X14" s="2">
        <f t="shared" si="2"/>
        <v>-684283.75</v>
      </c>
      <c r="Y14" s="2"/>
      <c r="Z14" s="19">
        <f t="shared" si="3"/>
        <v>-0.44995843029730498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--25265.42</f>
        <v>25265.42</v>
      </c>
      <c r="I15" s="2"/>
      <c r="J15" s="19"/>
      <c r="K15" s="2"/>
      <c r="L15" s="2">
        <f t="shared" si="0"/>
        <v>-25265.42</v>
      </c>
      <c r="M15" s="2"/>
      <c r="N15" s="19">
        <f t="shared" si="1"/>
        <v>-1</v>
      </c>
      <c r="O15" s="11"/>
      <c r="P15" s="2">
        <f>--253270.4</f>
        <v>253270.39999999999</v>
      </c>
      <c r="Q15" s="2"/>
      <c r="R15" s="19"/>
      <c r="S15" s="2"/>
      <c r="T15" s="2">
        <f>--313752.32</f>
        <v>313752.32000000001</v>
      </c>
      <c r="U15" s="2"/>
      <c r="V15" s="19"/>
      <c r="W15" s="2"/>
      <c r="X15" s="2">
        <f t="shared" si="2"/>
        <v>-60481.920000000013</v>
      </c>
      <c r="Y15" s="2"/>
      <c r="Z15" s="19">
        <f t="shared" si="3"/>
        <v>-0.19276963434087122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--44427.98</f>
        <v>44427.98</v>
      </c>
      <c r="I16" s="2"/>
      <c r="J16" s="19"/>
      <c r="K16" s="2"/>
      <c r="L16" s="2">
        <f t="shared" si="0"/>
        <v>-44427.98</v>
      </c>
      <c r="M16" s="2"/>
      <c r="N16" s="19">
        <f t="shared" si="1"/>
        <v>-1</v>
      </c>
      <c r="O16" s="11"/>
      <c r="P16" s="2">
        <f>--381406.04</f>
        <v>381406.04</v>
      </c>
      <c r="Q16" s="2"/>
      <c r="R16" s="19"/>
      <c r="S16" s="2"/>
      <c r="T16" s="2">
        <f>--609662.95</f>
        <v>609662.94999999995</v>
      </c>
      <c r="U16" s="2"/>
      <c r="V16" s="19"/>
      <c r="W16" s="2"/>
      <c r="X16" s="2">
        <f t="shared" si="2"/>
        <v>-228256.90999999997</v>
      </c>
      <c r="Y16" s="2"/>
      <c r="Z16" s="19">
        <f t="shared" si="3"/>
        <v>-0.37439852626766967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>
        <f>--5581.94</f>
        <v>5581.94</v>
      </c>
      <c r="I18" s="2"/>
      <c r="J18" s="19"/>
      <c r="K18" s="2"/>
      <c r="L18" s="2">
        <f t="shared" si="0"/>
        <v>-5581.94</v>
      </c>
      <c r="M18" s="2"/>
      <c r="N18" s="19">
        <f t="shared" si="1"/>
        <v>-1</v>
      </c>
      <c r="O18" s="11"/>
      <c r="P18" s="2">
        <f>--117077.57</f>
        <v>117077.57</v>
      </c>
      <c r="Q18" s="2"/>
      <c r="R18" s="19"/>
      <c r="S18" s="2"/>
      <c r="T18" s="2">
        <f>--200045.36</f>
        <v>200045.36</v>
      </c>
      <c r="U18" s="2"/>
      <c r="V18" s="19"/>
      <c r="W18" s="2"/>
      <c r="X18" s="2">
        <f t="shared" si="2"/>
        <v>-82967.789999999979</v>
      </c>
      <c r="Y18" s="2"/>
      <c r="Z18" s="19">
        <f t="shared" si="3"/>
        <v>-0.41474488585988689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--110218.93</f>
        <v>110218.93</v>
      </c>
      <c r="I19" s="2"/>
      <c r="J19" s="19"/>
      <c r="K19" s="2"/>
      <c r="L19" s="2">
        <f t="shared" si="0"/>
        <v>-110218.93</v>
      </c>
      <c r="M19" s="2"/>
      <c r="N19" s="19">
        <f t="shared" si="1"/>
        <v>-1</v>
      </c>
      <c r="O19" s="11"/>
      <c r="P19" s="2">
        <f>--1363402.11</f>
        <v>1363402.11</v>
      </c>
      <c r="Q19" s="2"/>
      <c r="R19" s="19"/>
      <c r="S19" s="2"/>
      <c r="T19" s="2">
        <f>--1797437.45</f>
        <v>1797437.45</v>
      </c>
      <c r="U19" s="2"/>
      <c r="V19" s="19"/>
      <c r="W19" s="2"/>
      <c r="X19" s="2">
        <f t="shared" si="2"/>
        <v>-434035.33999999985</v>
      </c>
      <c r="Y19" s="2"/>
      <c r="Z19" s="19">
        <f t="shared" si="3"/>
        <v>-0.24147451695746067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 t="shared" si="4"/>
        <v>0</v>
      </c>
      <c r="E20" s="2"/>
      <c r="F20" s="19"/>
      <c r="G20" s="2"/>
      <c r="H20" s="2">
        <f>--5712.79</f>
        <v>5712.79</v>
      </c>
      <c r="I20" s="2"/>
      <c r="J20" s="19"/>
      <c r="K20" s="2"/>
      <c r="L20" s="2">
        <f t="shared" si="0"/>
        <v>-5712.79</v>
      </c>
      <c r="M20" s="2"/>
      <c r="N20" s="19">
        <f t="shared" si="1"/>
        <v>-1</v>
      </c>
      <c r="O20" s="11"/>
      <c r="P20" s="2">
        <f>--51415.27</f>
        <v>51415.27</v>
      </c>
      <c r="Q20" s="2"/>
      <c r="R20" s="19"/>
      <c r="S20" s="2"/>
      <c r="T20" s="2">
        <f>--76276.34</f>
        <v>76276.34</v>
      </c>
      <c r="U20" s="2"/>
      <c r="V20" s="19"/>
      <c r="W20" s="2"/>
      <c r="X20" s="2">
        <f t="shared" si="2"/>
        <v>-24861.07</v>
      </c>
      <c r="Y20" s="2"/>
      <c r="Z20" s="19">
        <f t="shared" si="3"/>
        <v>-0.32593422809746769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-498.41</f>
        <v>-498.41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-1025.54</v>
      </c>
      <c r="Y21" s="2"/>
      <c r="Z21" s="19">
        <f t="shared" si="3"/>
        <v>-1.9455162863050859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 t="shared" si="4"/>
        <v>0</v>
      </c>
      <c r="E22" s="2"/>
      <c r="F22" s="19"/>
      <c r="G22" s="2"/>
      <c r="H22" s="2">
        <f>--64150.33</f>
        <v>64150.33</v>
      </c>
      <c r="I22" s="2"/>
      <c r="J22" s="19"/>
      <c r="K22" s="2"/>
      <c r="L22" s="2">
        <f t="shared" si="0"/>
        <v>-64150.33</v>
      </c>
      <c r="M22" s="2"/>
      <c r="N22" s="19">
        <f t="shared" si="1"/>
        <v>-1</v>
      </c>
      <c r="O22" s="11"/>
      <c r="P22" s="2">
        <f>--687389.73</f>
        <v>687389.73</v>
      </c>
      <c r="Q22" s="2"/>
      <c r="R22" s="19"/>
      <c r="S22" s="2"/>
      <c r="T22" s="2">
        <f>--890526.11</f>
        <v>890526.11</v>
      </c>
      <c r="U22" s="2"/>
      <c r="V22" s="19"/>
      <c r="W22" s="2"/>
      <c r="X22" s="2">
        <f t="shared" si="2"/>
        <v>-203136.38</v>
      </c>
      <c r="Y22" s="2"/>
      <c r="Z22" s="19">
        <f t="shared" si="3"/>
        <v>-0.22810828084535331</v>
      </c>
    </row>
    <row r="23" spans="1:26" s="24" customFormat="1" hidden="1" outlineLevel="1" x14ac:dyDescent="0.25">
      <c r="A23" s="44"/>
      <c r="B23" s="11" t="str">
        <f>CONCATENATE("          ", "4157", " - ", "NON-TAXABLE SALES-FOOD")</f>
        <v xml:space="preserve">          4157 - NON-TAXABLE SALES-FOOD</v>
      </c>
      <c r="C23" s="11"/>
      <c r="D23" s="2">
        <f t="shared" si="4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--208</f>
        <v>208</v>
      </c>
      <c r="U23" s="2"/>
      <c r="V23" s="19"/>
      <c r="W23" s="2"/>
      <c r="X23" s="2">
        <f t="shared" si="2"/>
        <v>-208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>
        <f>--27953.87</f>
        <v>27953.87</v>
      </c>
      <c r="I24" s="2"/>
      <c r="J24" s="19"/>
      <c r="K24" s="2"/>
      <c r="L24" s="2">
        <f t="shared" si="0"/>
        <v>-27953.87</v>
      </c>
      <c r="M24" s="2"/>
      <c r="N24" s="19">
        <f t="shared" si="1"/>
        <v>-1</v>
      </c>
      <c r="O24" s="11"/>
      <c r="P24" s="2">
        <f>--474853.67</f>
        <v>474853.67</v>
      </c>
      <c r="Q24" s="2"/>
      <c r="R24" s="19"/>
      <c r="S24" s="2"/>
      <c r="T24" s="2">
        <f>--597801.18</f>
        <v>597801.18000000005</v>
      </c>
      <c r="U24" s="2"/>
      <c r="V24" s="19"/>
      <c r="W24" s="2"/>
      <c r="X24" s="2">
        <f t="shared" si="2"/>
        <v>-122947.51000000007</v>
      </c>
      <c r="Y24" s="2"/>
      <c r="Z24" s="19">
        <f t="shared" si="3"/>
        <v>-0.20566622166921794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17386.59</v>
      </c>
      <c r="E26" s="4"/>
      <c r="F26" s="12">
        <f t="shared" ref="F26:F28" si="5">IF(D$12=0,0,D26/D$12)</f>
        <v>0</v>
      </c>
      <c r="G26" s="4"/>
      <c r="H26" s="4">
        <f>SUM(OSRRefH16x_0)</f>
        <v>170608.72999999998</v>
      </c>
      <c r="I26" s="4"/>
      <c r="J26" s="12">
        <f t="shared" ref="J26:J28" si="6">IF(H$12=0,0,H26/H$12)</f>
        <v>0.32846175925628046</v>
      </c>
      <c r="K26" s="4"/>
      <c r="L26" s="4">
        <f t="shared" ref="L26:L28" si="7">+D26-H26</f>
        <v>-153222.13999999998</v>
      </c>
      <c r="M26" s="4"/>
      <c r="N26" s="12">
        <f t="shared" ref="N26:N28" si="8">IF(H26=0,0,L26/H26)</f>
        <v>-0.89809085385021037</v>
      </c>
      <c r="O26" s="10"/>
      <c r="P26" s="4">
        <f>SUM(OSRRefP16x_0)</f>
        <v>1644832.26</v>
      </c>
      <c r="Q26" s="4"/>
      <c r="R26" s="12">
        <f t="shared" ref="R26:R28" si="9">IF(P$12=0,0,P26/P$12)</f>
        <v>0.35605956940734618</v>
      </c>
      <c r="S26" s="4"/>
      <c r="T26" s="4">
        <f>SUM(OSRRefT16x_0)</f>
        <v>2100355.75</v>
      </c>
      <c r="U26" s="4"/>
      <c r="V26" s="12">
        <f t="shared" ref="V26:V28" si="10">IF(T$12=0,0,T26/T$12)</f>
        <v>0.31399822750515255</v>
      </c>
      <c r="W26" s="4"/>
      <c r="X26" s="4">
        <f t="shared" ref="X26:X28" si="11">+P26-T26</f>
        <v>-455523.49</v>
      </c>
      <c r="Y26" s="4"/>
      <c r="Z26" s="12">
        <f t="shared" ref="Z26:Z28" si="12">IF(T26=0,0,X26/T26)</f>
        <v>-0.21687920724858156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4713.59</v>
      </c>
      <c r="E27" s="2"/>
      <c r="F27" s="19">
        <f t="shared" si="5"/>
        <v>0</v>
      </c>
      <c r="G27" s="2"/>
      <c r="H27" s="2">
        <v>155819.43</v>
      </c>
      <c r="I27" s="2"/>
      <c r="J27" s="19">
        <f t="shared" si="6"/>
        <v>0.29998889332398671</v>
      </c>
      <c r="K27" s="2"/>
      <c r="L27" s="2">
        <f t="shared" si="7"/>
        <v>-151105.84</v>
      </c>
      <c r="M27" s="2"/>
      <c r="N27" s="19">
        <f t="shared" si="8"/>
        <v>-0.96974966472409763</v>
      </c>
      <c r="O27" s="11"/>
      <c r="P27" s="2">
        <v>1601459.27</v>
      </c>
      <c r="Q27" s="2"/>
      <c r="R27" s="19">
        <f t="shared" si="9"/>
        <v>0.34667054627175353</v>
      </c>
      <c r="S27" s="2"/>
      <c r="T27" s="2">
        <v>2138769.38</v>
      </c>
      <c r="U27" s="2"/>
      <c r="V27" s="19">
        <f t="shared" si="10"/>
        <v>0.31974097452885974</v>
      </c>
      <c r="W27" s="2"/>
      <c r="X27" s="2">
        <f t="shared" si="11"/>
        <v>-537310.10999999987</v>
      </c>
      <c r="Y27" s="2"/>
      <c r="Z27" s="19">
        <f t="shared" si="12"/>
        <v>-0.25122395851767798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12673</v>
      </c>
      <c r="E28" s="2"/>
      <c r="F28" s="19">
        <f t="shared" si="5"/>
        <v>0</v>
      </c>
      <c r="G28" s="2"/>
      <c r="H28" s="2">
        <v>14789.3</v>
      </c>
      <c r="I28" s="2"/>
      <c r="J28" s="19">
        <f t="shared" si="6"/>
        <v>2.8472865932293787E-2</v>
      </c>
      <c r="K28" s="2"/>
      <c r="L28" s="2">
        <f t="shared" si="7"/>
        <v>-2116.2999999999993</v>
      </c>
      <c r="M28" s="2"/>
      <c r="N28" s="19">
        <f t="shared" si="8"/>
        <v>-0.14309669828862753</v>
      </c>
      <c r="O28" s="11"/>
      <c r="P28" s="2">
        <v>43372.990000000005</v>
      </c>
      <c r="Q28" s="2"/>
      <c r="R28" s="19">
        <f t="shared" si="9"/>
        <v>9.3890231355926428E-3</v>
      </c>
      <c r="S28" s="2"/>
      <c r="T28" s="2">
        <v>-38413.630000000005</v>
      </c>
      <c r="U28" s="2"/>
      <c r="V28" s="19">
        <f t="shared" si="10"/>
        <v>-5.7427470237071771E-3</v>
      </c>
      <c r="W28" s="2"/>
      <c r="X28" s="2">
        <f t="shared" si="11"/>
        <v>81786.62000000001</v>
      </c>
      <c r="Y28" s="2"/>
      <c r="Z28" s="19">
        <f t="shared" si="12"/>
        <v>-2.1291041747421424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D12-D26</f>
        <v>-17386.59</v>
      </c>
      <c r="E30" s="14"/>
      <c r="F30" s="20">
        <f>IF(D$12=0,0,D30/D$12)</f>
        <v>0</v>
      </c>
      <c r="G30" s="14"/>
      <c r="H30" s="21">
        <f>H12-H26</f>
        <v>348808.6</v>
      </c>
      <c r="I30" s="14"/>
      <c r="J30" s="20">
        <f>IF(H$12=0,0,H30/H$12)</f>
        <v>0.67153824074371948</v>
      </c>
      <c r="K30" s="16"/>
      <c r="L30" s="21">
        <f>+D30-H30</f>
        <v>-366195.19</v>
      </c>
      <c r="M30" s="16"/>
      <c r="N30" s="20">
        <f>IF(H30=0,0,L30/H30)</f>
        <v>-1.0498456460075813</v>
      </c>
      <c r="O30" s="28"/>
      <c r="P30" s="21">
        <f>P12-P26</f>
        <v>2974710.09</v>
      </c>
      <c r="Q30" s="14"/>
      <c r="R30" s="20">
        <f>IF(P$12=0,0,P30/P$12)</f>
        <v>0.64394043059265382</v>
      </c>
      <c r="S30" s="14"/>
      <c r="T30" s="21">
        <f>T12-T26</f>
        <v>4588713.0599999996</v>
      </c>
      <c r="U30" s="14"/>
      <c r="V30" s="20">
        <f>IF(T$12=0,0,T30/T$12)</f>
        <v>0.68600177249484739</v>
      </c>
      <c r="W30" s="16"/>
      <c r="X30" s="21">
        <f>+P30-T30</f>
        <v>-1614002.9699999997</v>
      </c>
      <c r="Y30" s="16"/>
      <c r="Z30" s="20">
        <f>IF(T30=0,0,X30/T30)</f>
        <v>-0.35173325263445432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138193.29000000004</v>
      </c>
      <c r="E32" s="22"/>
      <c r="F32" s="31">
        <f t="shared" ref="F32:F42" si="13">IF(D$12=0,0,D32/D$12)</f>
        <v>0</v>
      </c>
      <c r="G32" s="22"/>
      <c r="H32" s="22">
        <f>SUM(OSRRefH22x_0)</f>
        <v>634917.66999999993</v>
      </c>
      <c r="I32" s="22"/>
      <c r="J32" s="31">
        <f t="shared" ref="J32:J42" si="14">IF(H$12=0,0,H32/H$12)</f>
        <v>1.2223652029476952</v>
      </c>
      <c r="K32" s="4"/>
      <c r="L32" s="22">
        <f t="shared" ref="L32:L42" si="15">+D32-H32</f>
        <v>-496724.37999999989</v>
      </c>
      <c r="M32" s="4"/>
      <c r="N32" s="31">
        <f t="shared" ref="N32:N42" si="16">IF(H32=0,0,L32/H32)</f>
        <v>-0.78234455185347096</v>
      </c>
      <c r="O32" s="10"/>
      <c r="P32" s="22">
        <f>SUM(OSRRefP22x_0)</f>
        <v>4695062.4100000011</v>
      </c>
      <c r="Q32" s="22"/>
      <c r="R32" s="31">
        <f t="shared" ref="R32:R42" si="17">IF(P$12=0,0,P32/P$12)</f>
        <v>1.0163479527360544</v>
      </c>
      <c r="S32" s="22"/>
      <c r="T32" s="22">
        <f>SUM(OSRRefT22x_0)</f>
        <v>5299452.1499999966</v>
      </c>
      <c r="U32" s="22"/>
      <c r="V32" s="31">
        <f t="shared" ref="V32:V42" si="18">IF(T$12=0,0,T32/T$12)</f>
        <v>0.79225558901075155</v>
      </c>
      <c r="W32" s="4"/>
      <c r="X32" s="22">
        <f t="shared" ref="X32:X42" si="19">+P32-T32</f>
        <v>-604389.73999999557</v>
      </c>
      <c r="Y32" s="4"/>
      <c r="Z32" s="31">
        <f t="shared" ref="Z32:Z42" si="20">IF(T32=0,0,X32/T32)</f>
        <v>-0.11404758886255742</v>
      </c>
    </row>
    <row r="33" spans="1:26" s="27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25570.010000000002</v>
      </c>
      <c r="E33" s="1"/>
      <c r="F33" s="5">
        <f t="shared" si="13"/>
        <v>0</v>
      </c>
      <c r="G33" s="1"/>
      <c r="H33" s="1">
        <f>SUM(OSRRefH22_0x_0)</f>
        <v>72997.72</v>
      </c>
      <c r="I33" s="1"/>
      <c r="J33" s="5">
        <f t="shared" si="14"/>
        <v>0.14053770597141996</v>
      </c>
      <c r="K33" s="1"/>
      <c r="L33" s="1">
        <f t="shared" si="15"/>
        <v>-47427.71</v>
      </c>
      <c r="M33" s="1"/>
      <c r="N33" s="5">
        <f t="shared" si="16"/>
        <v>-0.64971495000117807</v>
      </c>
      <c r="O33" s="13"/>
      <c r="P33" s="1">
        <f>SUM(OSRRefP22_0x_0)</f>
        <v>618079.1399999999</v>
      </c>
      <c r="Q33" s="1"/>
      <c r="R33" s="5">
        <f t="shared" si="17"/>
        <v>0.1337966173207612</v>
      </c>
      <c r="S33" s="1"/>
      <c r="T33" s="1">
        <f>SUM(OSRRefT22_0x_0)</f>
        <v>670464.44999999995</v>
      </c>
      <c r="U33" s="1"/>
      <c r="V33" s="5">
        <f t="shared" si="18"/>
        <v>0.10023285288942932</v>
      </c>
      <c r="W33" s="1"/>
      <c r="X33" s="1">
        <f t="shared" si="19"/>
        <v>-52385.310000000056</v>
      </c>
      <c r="Y33" s="1"/>
      <c r="Z33" s="5">
        <f t="shared" si="20"/>
        <v>-7.8132867447334539E-2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2765.22</v>
      </c>
      <c r="E34" s="2"/>
      <c r="F34" s="7">
        <f t="shared" si="13"/>
        <v>0</v>
      </c>
      <c r="G34" s="2"/>
      <c r="H34" s="6">
        <v>19308.169999999998</v>
      </c>
      <c r="I34" s="2"/>
      <c r="J34" s="7">
        <f t="shared" si="14"/>
        <v>3.7172748933887133E-2</v>
      </c>
      <c r="K34" s="2"/>
      <c r="L34" s="6">
        <f t="shared" si="15"/>
        <v>-16542.949999999997</v>
      </c>
      <c r="M34" s="2"/>
      <c r="N34" s="7">
        <f t="shared" si="16"/>
        <v>-0.85678497755095373</v>
      </c>
      <c r="O34" s="11"/>
      <c r="P34" s="6">
        <v>134319.51999999999</v>
      </c>
      <c r="Q34" s="2"/>
      <c r="R34" s="7">
        <f t="shared" si="17"/>
        <v>2.9076369437331818E-2</v>
      </c>
      <c r="S34" s="2"/>
      <c r="T34" s="6">
        <v>130255.14000000001</v>
      </c>
      <c r="U34" s="2"/>
      <c r="V34" s="7">
        <f t="shared" si="18"/>
        <v>1.9472836010487986E-2</v>
      </c>
      <c r="W34" s="2"/>
      <c r="X34" s="6">
        <f t="shared" si="19"/>
        <v>4064.3799999999756</v>
      </c>
      <c r="Y34" s="2"/>
      <c r="Z34" s="7">
        <f t="shared" si="20"/>
        <v>3.1203221615668873E-2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1175.01</v>
      </c>
      <c r="E35" s="2"/>
      <c r="F35" s="7">
        <f t="shared" si="13"/>
        <v>0</v>
      </c>
      <c r="G35" s="2"/>
      <c r="H35" s="6">
        <v>8796.59</v>
      </c>
      <c r="I35" s="2"/>
      <c r="J35" s="7">
        <f t="shared" si="14"/>
        <v>1.6935495779472742E-2</v>
      </c>
      <c r="K35" s="2"/>
      <c r="L35" s="6">
        <f t="shared" si="15"/>
        <v>-7621.58</v>
      </c>
      <c r="M35" s="2"/>
      <c r="N35" s="7">
        <f t="shared" si="16"/>
        <v>-0.86642437580926246</v>
      </c>
      <c r="O35" s="11"/>
      <c r="P35" s="6">
        <v>71111.59</v>
      </c>
      <c r="Q35" s="2"/>
      <c r="R35" s="7">
        <f t="shared" si="17"/>
        <v>1.539364391799547E-2</v>
      </c>
      <c r="S35" s="2"/>
      <c r="T35" s="6">
        <v>75273.849999999991</v>
      </c>
      <c r="U35" s="2"/>
      <c r="V35" s="7">
        <f t="shared" si="18"/>
        <v>1.1253262918669243E-2</v>
      </c>
      <c r="W35" s="2"/>
      <c r="X35" s="6">
        <f t="shared" si="19"/>
        <v>-4162.2599999999948</v>
      </c>
      <c r="Y35" s="2"/>
      <c r="Z35" s="7">
        <f t="shared" si="20"/>
        <v>-5.5294899888872366E-2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13618.48</v>
      </c>
      <c r="E36" s="2"/>
      <c r="F36" s="7">
        <f t="shared" si="13"/>
        <v>0</v>
      </c>
      <c r="G36" s="2"/>
      <c r="H36" s="6">
        <v>20938.54</v>
      </c>
      <c r="I36" s="2"/>
      <c r="J36" s="7">
        <f t="shared" si="14"/>
        <v>4.0311592992093664E-2</v>
      </c>
      <c r="K36" s="2"/>
      <c r="L36" s="6">
        <f t="shared" si="15"/>
        <v>-7320.0600000000013</v>
      </c>
      <c r="M36" s="2"/>
      <c r="N36" s="7">
        <f t="shared" si="16"/>
        <v>-0.3495974408912943</v>
      </c>
      <c r="O36" s="11"/>
      <c r="P36" s="6">
        <v>235713.3</v>
      </c>
      <c r="Q36" s="2"/>
      <c r="R36" s="7">
        <f t="shared" si="17"/>
        <v>5.1025249286869294E-2</v>
      </c>
      <c r="S36" s="2"/>
      <c r="T36" s="6">
        <v>234003.91999999998</v>
      </c>
      <c r="U36" s="2"/>
      <c r="V36" s="7">
        <f t="shared" si="18"/>
        <v>3.498303375952265E-2</v>
      </c>
      <c r="W36" s="2"/>
      <c r="X36" s="6">
        <f t="shared" si="19"/>
        <v>1709.3800000000047</v>
      </c>
      <c r="Y36" s="2"/>
      <c r="Z36" s="7">
        <f t="shared" si="20"/>
        <v>7.3049203620178874E-3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140</v>
      </c>
      <c r="E37" s="2"/>
      <c r="F37" s="7">
        <f t="shared" si="13"/>
        <v>0</v>
      </c>
      <c r="G37" s="2"/>
      <c r="H37" s="6">
        <v>661.92</v>
      </c>
      <c r="I37" s="2"/>
      <c r="J37" s="7">
        <f t="shared" si="14"/>
        <v>1.2743510117384802E-3</v>
      </c>
      <c r="K37" s="2"/>
      <c r="L37" s="6">
        <f t="shared" si="15"/>
        <v>-521.91999999999996</v>
      </c>
      <c r="M37" s="2"/>
      <c r="N37" s="7">
        <f t="shared" si="16"/>
        <v>-0.78849407783417935</v>
      </c>
      <c r="O37" s="11"/>
      <c r="P37" s="6">
        <v>6145.79</v>
      </c>
      <c r="Q37" s="2"/>
      <c r="R37" s="7">
        <f t="shared" si="17"/>
        <v>1.3303893620544469E-3</v>
      </c>
      <c r="S37" s="2"/>
      <c r="T37" s="6">
        <v>6390.92</v>
      </c>
      <c r="U37" s="2"/>
      <c r="V37" s="7">
        <f t="shared" si="18"/>
        <v>9.5542745657597745E-4</v>
      </c>
      <c r="W37" s="2"/>
      <c r="X37" s="6">
        <f t="shared" si="19"/>
        <v>-245.13000000000011</v>
      </c>
      <c r="Y37" s="2"/>
      <c r="Z37" s="7">
        <f t="shared" si="20"/>
        <v>-3.835598004669126E-2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3064.65</v>
      </c>
      <c r="E38" s="2"/>
      <c r="F38" s="7">
        <f t="shared" si="13"/>
        <v>0</v>
      </c>
      <c r="G38" s="2"/>
      <c r="H38" s="6">
        <v>7205.13</v>
      </c>
      <c r="I38" s="2"/>
      <c r="J38" s="7">
        <f t="shared" si="14"/>
        <v>1.3871562583404756E-2</v>
      </c>
      <c r="K38" s="2"/>
      <c r="L38" s="6">
        <f t="shared" si="15"/>
        <v>-4140.4799999999996</v>
      </c>
      <c r="M38" s="2"/>
      <c r="N38" s="7">
        <f t="shared" si="16"/>
        <v>-0.5746572233949977</v>
      </c>
      <c r="O38" s="11"/>
      <c r="P38" s="6">
        <v>75933.180000000008</v>
      </c>
      <c r="Q38" s="2"/>
      <c r="R38" s="7">
        <f t="shared" si="17"/>
        <v>1.643738150814875E-2</v>
      </c>
      <c r="S38" s="2"/>
      <c r="T38" s="6">
        <v>76237.14</v>
      </c>
      <c r="U38" s="2"/>
      <c r="V38" s="7">
        <f t="shared" si="18"/>
        <v>1.13972725001763E-2</v>
      </c>
      <c r="W38" s="2"/>
      <c r="X38" s="6">
        <f t="shared" si="19"/>
        <v>-303.95999999999185</v>
      </c>
      <c r="Y38" s="2"/>
      <c r="Z38" s="7">
        <f t="shared" si="20"/>
        <v>-3.9870330917449398E-3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6"/>
      <c r="E39" s="2"/>
      <c r="F39" s="7">
        <f t="shared" si="13"/>
        <v>0</v>
      </c>
      <c r="G39" s="2"/>
      <c r="H39" s="6">
        <v>56</v>
      </c>
      <c r="I39" s="2"/>
      <c r="J39" s="7">
        <f t="shared" si="14"/>
        <v>1.0781311436027752E-4</v>
      </c>
      <c r="K39" s="2"/>
      <c r="L39" s="6">
        <f t="shared" si="15"/>
        <v>-56</v>
      </c>
      <c r="M39" s="2"/>
      <c r="N39" s="7">
        <f t="shared" si="16"/>
        <v>-1</v>
      </c>
      <c r="O39" s="11"/>
      <c r="P39" s="6">
        <v>1352.45</v>
      </c>
      <c r="Q39" s="2"/>
      <c r="R39" s="7">
        <f t="shared" si="17"/>
        <v>2.9276709629039339E-4</v>
      </c>
      <c r="S39" s="2"/>
      <c r="T39" s="6">
        <v>672</v>
      </c>
      <c r="U39" s="2"/>
      <c r="V39" s="7">
        <f t="shared" si="18"/>
        <v>1.0046241399032641E-4</v>
      </c>
      <c r="W39" s="2"/>
      <c r="X39" s="6">
        <f t="shared" si="19"/>
        <v>680.45</v>
      </c>
      <c r="Y39" s="2"/>
      <c r="Z39" s="7">
        <f t="shared" si="20"/>
        <v>1.0125744047619047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2558.84</v>
      </c>
      <c r="E40" s="2"/>
      <c r="F40" s="7">
        <f t="shared" si="13"/>
        <v>0</v>
      </c>
      <c r="G40" s="2"/>
      <c r="H40" s="6">
        <v>7396.51</v>
      </c>
      <c r="I40" s="2"/>
      <c r="J40" s="7">
        <f t="shared" si="14"/>
        <v>1.4240013901731005E-2</v>
      </c>
      <c r="K40" s="2"/>
      <c r="L40" s="6">
        <f t="shared" si="15"/>
        <v>-4837.67</v>
      </c>
      <c r="M40" s="2"/>
      <c r="N40" s="7">
        <f t="shared" si="16"/>
        <v>-0.65404765220353922</v>
      </c>
      <c r="O40" s="11"/>
      <c r="P40" s="6">
        <v>75447.960000000006</v>
      </c>
      <c r="Q40" s="2"/>
      <c r="R40" s="7">
        <f t="shared" si="17"/>
        <v>1.6332345129382787E-2</v>
      </c>
      <c r="S40" s="2"/>
      <c r="T40" s="6">
        <v>66579.19</v>
      </c>
      <c r="U40" s="2"/>
      <c r="V40" s="7">
        <f t="shared" si="18"/>
        <v>9.9534317692270835E-3</v>
      </c>
      <c r="W40" s="2"/>
      <c r="X40" s="6">
        <f t="shared" si="19"/>
        <v>8868.7700000000041</v>
      </c>
      <c r="Y40" s="2"/>
      <c r="Z40" s="7">
        <f t="shared" si="20"/>
        <v>0.13320633669469401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1655.82</v>
      </c>
      <c r="E41" s="2"/>
      <c r="F41" s="7">
        <f t="shared" si="13"/>
        <v>0</v>
      </c>
      <c r="G41" s="2"/>
      <c r="H41" s="6">
        <v>5987.56</v>
      </c>
      <c r="I41" s="2"/>
      <c r="J41" s="7">
        <f t="shared" si="14"/>
        <v>1.1527455196768273E-2</v>
      </c>
      <c r="K41" s="2"/>
      <c r="L41" s="6">
        <f t="shared" si="15"/>
        <v>-4331.7400000000007</v>
      </c>
      <c r="M41" s="2"/>
      <c r="N41" s="7">
        <f t="shared" si="16"/>
        <v>-0.72345663341995747</v>
      </c>
      <c r="O41" s="11"/>
      <c r="P41" s="6">
        <v>-7941.17</v>
      </c>
      <c r="Q41" s="2"/>
      <c r="R41" s="7">
        <f t="shared" si="17"/>
        <v>-1.719038250618051E-3</v>
      </c>
      <c r="S41" s="2"/>
      <c r="T41" s="6">
        <v>51382.76</v>
      </c>
      <c r="U41" s="2"/>
      <c r="V41" s="7">
        <f t="shared" si="18"/>
        <v>7.6816013498297387E-3</v>
      </c>
      <c r="W41" s="2"/>
      <c r="X41" s="6">
        <f t="shared" si="19"/>
        <v>-59323.93</v>
      </c>
      <c r="Y41" s="2"/>
      <c r="Z41" s="7">
        <f t="shared" si="20"/>
        <v>-1.1545493079780067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591.99</v>
      </c>
      <c r="E42" s="2"/>
      <c r="F42" s="7">
        <f t="shared" si="13"/>
        <v>0</v>
      </c>
      <c r="G42" s="2"/>
      <c r="H42" s="6">
        <v>2647.3</v>
      </c>
      <c r="I42" s="2"/>
      <c r="J42" s="7">
        <f t="shared" si="14"/>
        <v>5.0966724579636193E-3</v>
      </c>
      <c r="K42" s="2"/>
      <c r="L42" s="6">
        <f t="shared" si="15"/>
        <v>-2055.3100000000004</v>
      </c>
      <c r="M42" s="2"/>
      <c r="N42" s="7">
        <f t="shared" si="16"/>
        <v>-0.77637970762663855</v>
      </c>
      <c r="O42" s="11"/>
      <c r="P42" s="6">
        <v>25996.52</v>
      </c>
      <c r="Q42" s="2"/>
      <c r="R42" s="7">
        <f t="shared" si="17"/>
        <v>5.6275098333063234E-3</v>
      </c>
      <c r="S42" s="2"/>
      <c r="T42" s="6">
        <v>29669.53</v>
      </c>
      <c r="U42" s="2"/>
      <c r="V42" s="7">
        <f t="shared" si="18"/>
        <v>4.4355247109500139E-3</v>
      </c>
      <c r="W42" s="2"/>
      <c r="X42" s="6">
        <f t="shared" si="19"/>
        <v>-3673.0099999999984</v>
      </c>
      <c r="Y42" s="2"/>
      <c r="Z42" s="7">
        <f t="shared" si="20"/>
        <v>-0.12379737730931357</v>
      </c>
    </row>
    <row r="43" spans="1:26" s="27" customFormat="1" outlineLevel="1" collapsed="1" x14ac:dyDescent="0.25">
      <c r="A43" s="25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29203.090000000004</v>
      </c>
      <c r="E43" s="1"/>
      <c r="F43" s="5">
        <f t="shared" ref="F43:F50" si="21">IF(D$12=0,0,D43/D$12)</f>
        <v>0</v>
      </c>
      <c r="G43" s="1"/>
      <c r="H43" s="1">
        <f>SUM(OSRRefH22_1x_0)</f>
        <v>261104.93999999997</v>
      </c>
      <c r="I43" s="1"/>
      <c r="J43" s="5">
        <f t="shared" ref="J43:J50" si="22">IF(H$12=0,0,H43/H$12)</f>
        <v>0.50268815636166775</v>
      </c>
      <c r="K43" s="1"/>
      <c r="L43" s="1">
        <f t="shared" ref="L43:L50" si="23">+D43-H43</f>
        <v>-231901.84999999998</v>
      </c>
      <c r="M43" s="1"/>
      <c r="N43" s="5">
        <f t="shared" ref="N43:N50" si="24">IF(H43=0,0,L43/H43)</f>
        <v>-0.88815573539129522</v>
      </c>
      <c r="O43" s="13"/>
      <c r="P43" s="1">
        <f>SUM(OSRRefP22_1x_0)</f>
        <v>2133745.7700000005</v>
      </c>
      <c r="Q43" s="1"/>
      <c r="R43" s="5">
        <f t="shared" ref="R43:R50" si="25">IF(P$12=0,0,P43/P$12)</f>
        <v>0.46189548841347905</v>
      </c>
      <c r="S43" s="1"/>
      <c r="T43" s="1">
        <f>SUM(OSRRefT22_1x_0)</f>
        <v>2350223.77</v>
      </c>
      <c r="U43" s="1"/>
      <c r="V43" s="5">
        <f t="shared" ref="V43:V50" si="26">IF(T$12=0,0,T43/T$12)</f>
        <v>0.35135290677328229</v>
      </c>
      <c r="W43" s="1"/>
      <c r="X43" s="1">
        <f t="shared" ref="X43:X50" si="27">+P43-T43</f>
        <v>-216477.99999999953</v>
      </c>
      <c r="Y43" s="1"/>
      <c r="Z43" s="5">
        <f t="shared" ref="Z43:Z50" si="28">IF(T43=0,0,X43/T43)</f>
        <v>-9.2109527085584508E-2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6">
        <v>9962.35</v>
      </c>
      <c r="E44" s="2"/>
      <c r="F44" s="7">
        <f t="shared" si="21"/>
        <v>0</v>
      </c>
      <c r="G44" s="2"/>
      <c r="H44" s="6">
        <v>21149.41</v>
      </c>
      <c r="I44" s="2"/>
      <c r="J44" s="7">
        <f t="shared" si="22"/>
        <v>4.0717567124685661E-2</v>
      </c>
      <c r="K44" s="2"/>
      <c r="L44" s="6">
        <f t="shared" si="23"/>
        <v>-11187.06</v>
      </c>
      <c r="M44" s="2"/>
      <c r="N44" s="7">
        <f t="shared" si="24"/>
        <v>-0.52895376277636108</v>
      </c>
      <c r="O44" s="11"/>
      <c r="P44" s="6">
        <v>179437.74</v>
      </c>
      <c r="Q44" s="2"/>
      <c r="R44" s="7">
        <f t="shared" si="25"/>
        <v>3.8843185407749323E-2</v>
      </c>
      <c r="S44" s="2"/>
      <c r="T44" s="6">
        <v>187197.22</v>
      </c>
      <c r="U44" s="2"/>
      <c r="V44" s="7">
        <f t="shared" si="26"/>
        <v>2.798554257958067E-2</v>
      </c>
      <c r="W44" s="2"/>
      <c r="X44" s="6">
        <f t="shared" si="27"/>
        <v>-7759.4800000000105</v>
      </c>
      <c r="Y44" s="2"/>
      <c r="Z44" s="7">
        <f t="shared" si="28"/>
        <v>-4.1450829237741939E-2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18990.740000000002</v>
      </c>
      <c r="E45" s="2"/>
      <c r="F45" s="7">
        <f t="shared" si="21"/>
        <v>0</v>
      </c>
      <c r="G45" s="2"/>
      <c r="H45" s="6">
        <v>67731.789999999994</v>
      </c>
      <c r="I45" s="2"/>
      <c r="J45" s="7">
        <f t="shared" si="22"/>
        <v>0.1303995575195768</v>
      </c>
      <c r="K45" s="2"/>
      <c r="L45" s="6">
        <f t="shared" si="23"/>
        <v>-48741.049999999988</v>
      </c>
      <c r="M45" s="2"/>
      <c r="N45" s="7">
        <f t="shared" si="24"/>
        <v>-0.71961851296119583</v>
      </c>
      <c r="O45" s="11"/>
      <c r="P45" s="6">
        <v>603899.72</v>
      </c>
      <c r="Q45" s="2"/>
      <c r="R45" s="7">
        <f t="shared" si="25"/>
        <v>0.13072717473842405</v>
      </c>
      <c r="S45" s="2"/>
      <c r="T45" s="6">
        <v>650414.73</v>
      </c>
      <c r="U45" s="2"/>
      <c r="V45" s="7">
        <f t="shared" si="26"/>
        <v>9.7235467069444012E-2</v>
      </c>
      <c r="W45" s="2"/>
      <c r="X45" s="6">
        <f t="shared" si="27"/>
        <v>-46515.010000000009</v>
      </c>
      <c r="Y45" s="2"/>
      <c r="Z45" s="7">
        <f t="shared" si="28"/>
        <v>-7.1515923386298474E-2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>
        <v>250</v>
      </c>
      <c r="E46" s="2"/>
      <c r="F46" s="7">
        <f t="shared" si="21"/>
        <v>0</v>
      </c>
      <c r="G46" s="2"/>
      <c r="H46" s="6">
        <v>21139.649999999998</v>
      </c>
      <c r="I46" s="2"/>
      <c r="J46" s="7">
        <f t="shared" si="22"/>
        <v>4.0698776839040003E-2</v>
      </c>
      <c r="K46" s="2"/>
      <c r="L46" s="6">
        <f t="shared" si="23"/>
        <v>-20889.649999999998</v>
      </c>
      <c r="M46" s="2"/>
      <c r="N46" s="7">
        <f t="shared" si="24"/>
        <v>-0.98817388178139187</v>
      </c>
      <c r="O46" s="11"/>
      <c r="P46" s="6">
        <v>221154.82</v>
      </c>
      <c r="Q46" s="2"/>
      <c r="R46" s="7">
        <f t="shared" si="25"/>
        <v>4.7873750957170037E-2</v>
      </c>
      <c r="S46" s="2"/>
      <c r="T46" s="6">
        <v>157225.32</v>
      </c>
      <c r="U46" s="2"/>
      <c r="V46" s="7">
        <f t="shared" si="26"/>
        <v>2.3504814267264206E-2</v>
      </c>
      <c r="W46" s="2"/>
      <c r="X46" s="6">
        <f t="shared" si="27"/>
        <v>63929.5</v>
      </c>
      <c r="Y46" s="2"/>
      <c r="Z46" s="7">
        <f t="shared" si="28"/>
        <v>0.40661071639097313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1"/>
        <v>0</v>
      </c>
      <c r="G47" s="2"/>
      <c r="H47" s="6">
        <v>76282.179999999993</v>
      </c>
      <c r="I47" s="2"/>
      <c r="J47" s="7">
        <f t="shared" si="22"/>
        <v>0.14686106064270132</v>
      </c>
      <c r="K47" s="2"/>
      <c r="L47" s="6">
        <f t="shared" si="23"/>
        <v>-76282.179999999993</v>
      </c>
      <c r="M47" s="2"/>
      <c r="N47" s="7">
        <f t="shared" si="24"/>
        <v>-1</v>
      </c>
      <c r="O47" s="11"/>
      <c r="P47" s="6">
        <v>437740.4</v>
      </c>
      <c r="Q47" s="2"/>
      <c r="R47" s="7">
        <f t="shared" si="25"/>
        <v>9.4758390947536186E-2</v>
      </c>
      <c r="S47" s="2"/>
      <c r="T47" s="6">
        <v>464263.37</v>
      </c>
      <c r="U47" s="2"/>
      <c r="V47" s="7">
        <f t="shared" si="26"/>
        <v>6.9406278091494175E-2</v>
      </c>
      <c r="W47" s="2"/>
      <c r="X47" s="6">
        <f t="shared" si="27"/>
        <v>-26522.969999999972</v>
      </c>
      <c r="Y47" s="2"/>
      <c r="Z47" s="7">
        <f t="shared" si="28"/>
        <v>-5.7129146329162203E-2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21"/>
        <v>0</v>
      </c>
      <c r="G48" s="2"/>
      <c r="H48" s="6">
        <v>3982.19</v>
      </c>
      <c r="I48" s="2"/>
      <c r="J48" s="7">
        <f t="shared" si="22"/>
        <v>7.6666483191848841E-3</v>
      </c>
      <c r="K48" s="2"/>
      <c r="L48" s="6">
        <f t="shared" si="23"/>
        <v>-3982.19</v>
      </c>
      <c r="M48" s="2"/>
      <c r="N48" s="7">
        <f t="shared" si="24"/>
        <v>-1</v>
      </c>
      <c r="O48" s="11"/>
      <c r="P48" s="6">
        <v>11826.56</v>
      </c>
      <c r="Q48" s="2"/>
      <c r="R48" s="7">
        <f t="shared" si="25"/>
        <v>2.5601150728708009E-3</v>
      </c>
      <c r="S48" s="2"/>
      <c r="T48" s="6">
        <v>16327.21</v>
      </c>
      <c r="U48" s="2"/>
      <c r="V48" s="7">
        <f t="shared" si="26"/>
        <v>2.4408793606056508E-3</v>
      </c>
      <c r="W48" s="2"/>
      <c r="X48" s="6">
        <f t="shared" si="27"/>
        <v>-4500.6499999999996</v>
      </c>
      <c r="Y48" s="2"/>
      <c r="Z48" s="7">
        <f t="shared" si="28"/>
        <v>-0.27565334187531121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/>
      <c r="E49" s="2"/>
      <c r="F49" s="7">
        <f t="shared" si="21"/>
        <v>0</v>
      </c>
      <c r="G49" s="2"/>
      <c r="H49" s="6">
        <v>63761.26</v>
      </c>
      <c r="I49" s="2"/>
      <c r="J49" s="7">
        <f t="shared" si="22"/>
        <v>0.12275535743098907</v>
      </c>
      <c r="K49" s="2"/>
      <c r="L49" s="6">
        <f t="shared" si="23"/>
        <v>-63761.26</v>
      </c>
      <c r="M49" s="2"/>
      <c r="N49" s="7">
        <f t="shared" si="24"/>
        <v>-1</v>
      </c>
      <c r="O49" s="11"/>
      <c r="P49" s="6">
        <v>643229.24</v>
      </c>
      <c r="Q49" s="2"/>
      <c r="R49" s="7">
        <f t="shared" si="25"/>
        <v>0.13924090121178348</v>
      </c>
      <c r="S49" s="2"/>
      <c r="T49" s="6">
        <v>807955.35000000009</v>
      </c>
      <c r="U49" s="2"/>
      <c r="V49" s="7">
        <f t="shared" si="26"/>
        <v>0.12078741794255815</v>
      </c>
      <c r="W49" s="2"/>
      <c r="X49" s="6">
        <f t="shared" si="27"/>
        <v>-164726.1100000001</v>
      </c>
      <c r="Y49" s="2"/>
      <c r="Z49" s="7">
        <f t="shared" si="28"/>
        <v>-0.2038802144202648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21"/>
        <v>0</v>
      </c>
      <c r="G50" s="2"/>
      <c r="H50" s="6">
        <v>7058.46</v>
      </c>
      <c r="I50" s="2"/>
      <c r="J50" s="7">
        <f t="shared" si="22"/>
        <v>1.3589188485490079E-2</v>
      </c>
      <c r="K50" s="2"/>
      <c r="L50" s="6">
        <f t="shared" si="23"/>
        <v>-7058.46</v>
      </c>
      <c r="M50" s="2"/>
      <c r="N50" s="7">
        <f t="shared" si="24"/>
        <v>-1</v>
      </c>
      <c r="O50" s="11"/>
      <c r="P50" s="6">
        <v>36457.29</v>
      </c>
      <c r="Q50" s="2"/>
      <c r="R50" s="7">
        <f t="shared" si="25"/>
        <v>7.89197007794506E-3</v>
      </c>
      <c r="S50" s="2"/>
      <c r="T50" s="6">
        <v>66840.569999999992</v>
      </c>
      <c r="U50" s="2"/>
      <c r="V50" s="7">
        <f t="shared" si="26"/>
        <v>9.9925074623354038E-3</v>
      </c>
      <c r="W50" s="2"/>
      <c r="X50" s="6">
        <f t="shared" si="27"/>
        <v>-30383.279999999992</v>
      </c>
      <c r="Y50" s="2"/>
      <c r="Z50" s="7">
        <f t="shared" si="28"/>
        <v>-0.45456344851637254</v>
      </c>
    </row>
    <row r="51" spans="1:26" s="27" customFormat="1" outlineLevel="1" collapsed="1" x14ac:dyDescent="0.25">
      <c r="A51" s="25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109.76</v>
      </c>
      <c r="E51" s="1"/>
      <c r="F51" s="5">
        <f t="shared" ref="F51:F60" si="29">IF(D$12=0,0,D51/D$12)</f>
        <v>0</v>
      </c>
      <c r="G51" s="1"/>
      <c r="H51" s="1">
        <f>SUM(OSRRefH22_2x_0)</f>
        <v>3327.09</v>
      </c>
      <c r="I51" s="1"/>
      <c r="J51" s="5">
        <f t="shared" ref="J51:J60" si="30">IF(H$12=0,0,H51/H$12)</f>
        <v>6.4054274045881382E-3</v>
      </c>
      <c r="K51" s="1"/>
      <c r="L51" s="1">
        <f t="shared" ref="L51:L60" si="31">+D51-H51</f>
        <v>-3217.33</v>
      </c>
      <c r="M51" s="1"/>
      <c r="N51" s="5">
        <f t="shared" ref="N51:N60" si="32">IF(H51=0,0,L51/H51)</f>
        <v>-0.96701021012356136</v>
      </c>
      <c r="O51" s="13"/>
      <c r="P51" s="1">
        <f>SUM(OSRRefP22_2x_0)</f>
        <v>28503.73</v>
      </c>
      <c r="Q51" s="1"/>
      <c r="R51" s="5">
        <f t="shared" ref="R51:R60" si="33">IF(P$12=0,0,P51/P$12)</f>
        <v>6.1702497434621426E-3</v>
      </c>
      <c r="S51" s="1"/>
      <c r="T51" s="1">
        <f>SUM(OSRRefT22_2x_0)</f>
        <v>34394.120000000003</v>
      </c>
      <c r="U51" s="1"/>
      <c r="V51" s="5">
        <f t="shared" ref="V51:V60" si="34">IF(T$12=0,0,T51/T$12)</f>
        <v>5.141839765287151E-3</v>
      </c>
      <c r="W51" s="1"/>
      <c r="X51" s="1">
        <f t="shared" ref="X51:X60" si="35">+P51-T51</f>
        <v>-5890.3900000000031</v>
      </c>
      <c r="Y51" s="1"/>
      <c r="Z51" s="5">
        <f t="shared" ref="Z51:Z60" si="36">IF(T51=0,0,X51/T51)</f>
        <v>-0.17126154121692902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6">
        <v>109.76</v>
      </c>
      <c r="E52" s="2"/>
      <c r="F52" s="7">
        <f t="shared" si="29"/>
        <v>0</v>
      </c>
      <c r="G52" s="2"/>
      <c r="H52" s="6">
        <v>3327.09</v>
      </c>
      <c r="I52" s="2"/>
      <c r="J52" s="7">
        <f t="shared" si="30"/>
        <v>6.4054274045881382E-3</v>
      </c>
      <c r="K52" s="2"/>
      <c r="L52" s="6">
        <f t="shared" si="31"/>
        <v>-3217.33</v>
      </c>
      <c r="M52" s="2"/>
      <c r="N52" s="7">
        <f t="shared" si="32"/>
        <v>-0.96701021012356136</v>
      </c>
      <c r="O52" s="11"/>
      <c r="P52" s="6">
        <v>28503.73</v>
      </c>
      <c r="Q52" s="2"/>
      <c r="R52" s="7">
        <f t="shared" si="33"/>
        <v>6.1702497434621426E-3</v>
      </c>
      <c r="S52" s="2"/>
      <c r="T52" s="6">
        <v>34394.120000000003</v>
      </c>
      <c r="U52" s="2"/>
      <c r="V52" s="7">
        <f t="shared" si="34"/>
        <v>5.141839765287151E-3</v>
      </c>
      <c r="W52" s="2"/>
      <c r="X52" s="6">
        <f t="shared" si="35"/>
        <v>-5890.3900000000031</v>
      </c>
      <c r="Y52" s="2"/>
      <c r="Z52" s="7">
        <f t="shared" si="36"/>
        <v>-0.17126154121692902</v>
      </c>
    </row>
    <row r="53" spans="1:26" s="27" customFormat="1" outlineLevel="1" collapsed="1" x14ac:dyDescent="0.25">
      <c r="A53" s="25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0</v>
      </c>
      <c r="E53" s="1"/>
      <c r="F53" s="5">
        <f t="shared" si="29"/>
        <v>0</v>
      </c>
      <c r="G53" s="1"/>
      <c r="H53" s="1">
        <f>SUM(OSRRefH22_3x_0)</f>
        <v>17.940000000000001</v>
      </c>
      <c r="I53" s="1"/>
      <c r="J53" s="5">
        <f t="shared" si="30"/>
        <v>3.4538701278988907E-5</v>
      </c>
      <c r="K53" s="1"/>
      <c r="L53" s="1">
        <f t="shared" si="31"/>
        <v>-17.940000000000001</v>
      </c>
      <c r="M53" s="1"/>
      <c r="N53" s="5">
        <f t="shared" si="32"/>
        <v>-1</v>
      </c>
      <c r="O53" s="13"/>
      <c r="P53" s="1">
        <f>SUM(OSRRefP22_3x_0)</f>
        <v>-260.64999999999998</v>
      </c>
      <c r="Q53" s="1"/>
      <c r="R53" s="5">
        <f t="shared" si="33"/>
        <v>-5.6423338125691175E-5</v>
      </c>
      <c r="S53" s="1"/>
      <c r="T53" s="1">
        <f>SUM(OSRRefT22_3x_0)</f>
        <v>1324.71</v>
      </c>
      <c r="U53" s="1"/>
      <c r="V53" s="5">
        <f t="shared" si="34"/>
        <v>1.9804101850762695E-4</v>
      </c>
      <c r="W53" s="1"/>
      <c r="X53" s="1">
        <f t="shared" si="35"/>
        <v>-1585.3600000000001</v>
      </c>
      <c r="Y53" s="1"/>
      <c r="Z53" s="5">
        <f t="shared" si="36"/>
        <v>-1.196760045594885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6"/>
      <c r="E54" s="2"/>
      <c r="F54" s="7">
        <f t="shared" si="29"/>
        <v>0</v>
      </c>
      <c r="G54" s="2"/>
      <c r="H54" s="6">
        <v>17.940000000000001</v>
      </c>
      <c r="I54" s="2"/>
      <c r="J54" s="7">
        <f t="shared" si="30"/>
        <v>3.4538701278988907E-5</v>
      </c>
      <c r="K54" s="2"/>
      <c r="L54" s="6">
        <f t="shared" si="31"/>
        <v>-17.940000000000001</v>
      </c>
      <c r="M54" s="2"/>
      <c r="N54" s="7">
        <f t="shared" si="32"/>
        <v>-1</v>
      </c>
      <c r="O54" s="11"/>
      <c r="P54" s="6">
        <v>-260.64999999999998</v>
      </c>
      <c r="Q54" s="2"/>
      <c r="R54" s="7">
        <f t="shared" si="33"/>
        <v>-5.6423338125691175E-5</v>
      </c>
      <c r="S54" s="2"/>
      <c r="T54" s="6">
        <v>1324.71</v>
      </c>
      <c r="U54" s="2"/>
      <c r="V54" s="7">
        <f t="shared" si="34"/>
        <v>1.9804101850762695E-4</v>
      </c>
      <c r="W54" s="2"/>
      <c r="X54" s="6">
        <f t="shared" si="35"/>
        <v>-1585.3600000000001</v>
      </c>
      <c r="Y54" s="2"/>
      <c r="Z54" s="7">
        <f t="shared" si="36"/>
        <v>-1.196760045594885</v>
      </c>
    </row>
    <row r="55" spans="1:26" s="27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252.5</v>
      </c>
      <c r="E55" s="1"/>
      <c r="F55" s="5">
        <f t="shared" si="29"/>
        <v>0</v>
      </c>
      <c r="G55" s="1"/>
      <c r="H55" s="1">
        <f>SUM(OSRRefH22_4x_0)</f>
        <v>24238.769999999997</v>
      </c>
      <c r="I55" s="1"/>
      <c r="J55" s="5">
        <f t="shared" si="30"/>
        <v>4.6665308606472562E-2</v>
      </c>
      <c r="K55" s="1"/>
      <c r="L55" s="1">
        <f t="shared" si="31"/>
        <v>-23986.269999999997</v>
      </c>
      <c r="M55" s="1"/>
      <c r="N55" s="5">
        <f t="shared" si="32"/>
        <v>-0.98958280473802918</v>
      </c>
      <c r="O55" s="13"/>
      <c r="P55" s="1">
        <f>SUM(OSRRefP22_4x_0)</f>
        <v>149344.53</v>
      </c>
      <c r="Q55" s="1"/>
      <c r="R55" s="5">
        <f t="shared" si="33"/>
        <v>3.2328858290475465E-2</v>
      </c>
      <c r="S55" s="1"/>
      <c r="T55" s="1">
        <f>SUM(OSRRefT22_4x_0)</f>
        <v>214052.18</v>
      </c>
      <c r="U55" s="1"/>
      <c r="V55" s="5">
        <f t="shared" si="34"/>
        <v>3.2000295718291466E-2</v>
      </c>
      <c r="W55" s="1"/>
      <c r="X55" s="1">
        <f t="shared" si="35"/>
        <v>-64707.649999999994</v>
      </c>
      <c r="Y55" s="1"/>
      <c r="Z55" s="5">
        <f t="shared" si="36"/>
        <v>-0.30229848628497963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252.5</v>
      </c>
      <c r="E56" s="2"/>
      <c r="F56" s="7">
        <f t="shared" si="29"/>
        <v>0</v>
      </c>
      <c r="G56" s="2"/>
      <c r="H56" s="6">
        <v>24238.769999999997</v>
      </c>
      <c r="I56" s="2"/>
      <c r="J56" s="7">
        <f t="shared" si="30"/>
        <v>4.6665308606472562E-2</v>
      </c>
      <c r="K56" s="2"/>
      <c r="L56" s="6">
        <f t="shared" si="31"/>
        <v>-23986.269999999997</v>
      </c>
      <c r="M56" s="2"/>
      <c r="N56" s="7">
        <f t="shared" si="32"/>
        <v>-0.98958280473802918</v>
      </c>
      <c r="O56" s="11"/>
      <c r="P56" s="6">
        <v>149344.53</v>
      </c>
      <c r="Q56" s="2"/>
      <c r="R56" s="7">
        <f t="shared" si="33"/>
        <v>3.2328858290475465E-2</v>
      </c>
      <c r="S56" s="2"/>
      <c r="T56" s="6">
        <v>214052.18</v>
      </c>
      <c r="U56" s="2"/>
      <c r="V56" s="7">
        <f t="shared" si="34"/>
        <v>3.2000295718291466E-2</v>
      </c>
      <c r="W56" s="2"/>
      <c r="X56" s="6">
        <f t="shared" si="35"/>
        <v>-64707.649999999994</v>
      </c>
      <c r="Y56" s="2"/>
      <c r="Z56" s="7">
        <f t="shared" si="36"/>
        <v>-0.30229848628497963</v>
      </c>
    </row>
    <row r="57" spans="1:26" s="27" customFormat="1" outlineLevel="1" collapsed="1" x14ac:dyDescent="0.25">
      <c r="A57" s="25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37717.19</v>
      </c>
      <c r="E57" s="1"/>
      <c r="F57" s="5">
        <f t="shared" si="29"/>
        <v>0</v>
      </c>
      <c r="G57" s="1"/>
      <c r="H57" s="1">
        <f>SUM(OSRRefH22_5x_0)</f>
        <v>41842.33</v>
      </c>
      <c r="I57" s="1"/>
      <c r="J57" s="5">
        <f t="shared" si="30"/>
        <v>8.055628409625841E-2</v>
      </c>
      <c r="K57" s="1"/>
      <c r="L57" s="1">
        <f t="shared" si="31"/>
        <v>-4125.1399999999994</v>
      </c>
      <c r="M57" s="1"/>
      <c r="N57" s="5">
        <f t="shared" si="32"/>
        <v>-9.8587722050851354E-2</v>
      </c>
      <c r="O57" s="13"/>
      <c r="P57" s="1">
        <f>SUM(OSRRefP22_5x_0)</f>
        <v>439610.29999999993</v>
      </c>
      <c r="Q57" s="1"/>
      <c r="R57" s="5">
        <f t="shared" si="33"/>
        <v>9.5163171304187735E-2</v>
      </c>
      <c r="S57" s="1"/>
      <c r="T57" s="1">
        <f>SUM(OSRRefT22_5x_0)</f>
        <v>433123.61</v>
      </c>
      <c r="U57" s="1"/>
      <c r="V57" s="5">
        <f t="shared" si="34"/>
        <v>6.475095746548315E-2</v>
      </c>
      <c r="W57" s="1"/>
      <c r="X57" s="1">
        <f t="shared" si="35"/>
        <v>6486.6899999999441</v>
      </c>
      <c r="Y57" s="1"/>
      <c r="Z57" s="5">
        <f t="shared" si="36"/>
        <v>1.4976532911701453E-2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9"/>
        <v>0</v>
      </c>
      <c r="G58" s="2"/>
      <c r="H58" s="6">
        <v>26899.85</v>
      </c>
      <c r="I58" s="2"/>
      <c r="J58" s="7">
        <f t="shared" si="30"/>
        <v>5.1788510791505551E-2</v>
      </c>
      <c r="K58" s="2"/>
      <c r="L58" s="6">
        <f t="shared" si="31"/>
        <v>-2856.8899999999994</v>
      </c>
      <c r="M58" s="2"/>
      <c r="N58" s="7">
        <f t="shared" si="32"/>
        <v>-0.10620468143874406</v>
      </c>
      <c r="O58" s="11"/>
      <c r="P58" s="6">
        <v>264472.56</v>
      </c>
      <c r="Q58" s="2"/>
      <c r="R58" s="7">
        <f t="shared" si="33"/>
        <v>5.7250814033558979E-2</v>
      </c>
      <c r="S58" s="2"/>
      <c r="T58" s="6">
        <v>276799.15000000002</v>
      </c>
      <c r="U58" s="2"/>
      <c r="V58" s="7">
        <f t="shared" si="34"/>
        <v>4.138081964206914E-2</v>
      </c>
      <c r="W58" s="2"/>
      <c r="X58" s="6">
        <f t="shared" si="35"/>
        <v>-12326.590000000026</v>
      </c>
      <c r="Y58" s="2"/>
      <c r="Z58" s="7">
        <f t="shared" si="36"/>
        <v>-4.4532615074865743E-2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13674.23</v>
      </c>
      <c r="E59" s="2"/>
      <c r="F59" s="7">
        <f t="shared" si="29"/>
        <v>0</v>
      </c>
      <c r="G59" s="2"/>
      <c r="H59" s="6">
        <v>14518.23</v>
      </c>
      <c r="I59" s="2"/>
      <c r="J59" s="7">
        <f t="shared" si="30"/>
        <v>2.7950992701764495E-2</v>
      </c>
      <c r="K59" s="2"/>
      <c r="L59" s="6">
        <f t="shared" si="31"/>
        <v>-844</v>
      </c>
      <c r="M59" s="2"/>
      <c r="N59" s="7">
        <f t="shared" si="32"/>
        <v>-5.8133808322364366E-2</v>
      </c>
      <c r="O59" s="11"/>
      <c r="P59" s="6">
        <v>170895.25999999998</v>
      </c>
      <c r="Q59" s="2"/>
      <c r="R59" s="7">
        <f t="shared" si="33"/>
        <v>3.6993980583379646E-2</v>
      </c>
      <c r="S59" s="2"/>
      <c r="T59" s="6">
        <v>151657.71</v>
      </c>
      <c r="U59" s="2"/>
      <c r="V59" s="7">
        <f t="shared" si="34"/>
        <v>2.2672469712566763E-2</v>
      </c>
      <c r="W59" s="2"/>
      <c r="X59" s="6">
        <f t="shared" si="35"/>
        <v>19237.549999999988</v>
      </c>
      <c r="Y59" s="2"/>
      <c r="Z59" s="7">
        <f t="shared" si="36"/>
        <v>0.12684848004100807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6"/>
      <c r="E60" s="2"/>
      <c r="F60" s="7">
        <f t="shared" si="29"/>
        <v>0</v>
      </c>
      <c r="G60" s="2"/>
      <c r="H60" s="6">
        <v>424.25</v>
      </c>
      <c r="I60" s="2"/>
      <c r="J60" s="7">
        <f t="shared" si="30"/>
        <v>8.1678060298835242E-4</v>
      </c>
      <c r="K60" s="2"/>
      <c r="L60" s="6">
        <f t="shared" si="31"/>
        <v>-424.25</v>
      </c>
      <c r="M60" s="2"/>
      <c r="N60" s="7">
        <f t="shared" si="32"/>
        <v>-1</v>
      </c>
      <c r="O60" s="11"/>
      <c r="P60" s="6">
        <v>4242.4799999999996</v>
      </c>
      <c r="Q60" s="2"/>
      <c r="R60" s="7">
        <f t="shared" si="33"/>
        <v>9.1837668724911682E-4</v>
      </c>
      <c r="S60" s="2"/>
      <c r="T60" s="6">
        <v>4666.75</v>
      </c>
      <c r="U60" s="2"/>
      <c r="V60" s="7">
        <f t="shared" si="34"/>
        <v>6.9766811084725567E-4</v>
      </c>
      <c r="W60" s="2"/>
      <c r="X60" s="6">
        <f t="shared" si="35"/>
        <v>-424.27000000000044</v>
      </c>
      <c r="Y60" s="2"/>
      <c r="Z60" s="7">
        <f t="shared" si="36"/>
        <v>-9.0913376546847474E-2</v>
      </c>
    </row>
    <row r="61" spans="1:26" s="27" customFormat="1" outlineLevel="1" collapsed="1" x14ac:dyDescent="0.25">
      <c r="A61" s="25"/>
      <c r="B61" s="13" t="str">
        <f>CONCATENATE("     ","Discounts and Markdowns                           ")</f>
        <v xml:space="preserve">     Discounts and Markdowns                           </v>
      </c>
      <c r="C61" s="13"/>
      <c r="D61" s="1">
        <f>SUM(OSRRefD22_6x_0)</f>
        <v>0</v>
      </c>
      <c r="E61" s="1"/>
      <c r="F61" s="5">
        <f t="shared" ref="F61:F73" si="37">IF(D$12=0,0,D61/D$12)</f>
        <v>0</v>
      </c>
      <c r="G61" s="1"/>
      <c r="H61" s="1">
        <f>SUM(OSRRefH22_6x_0)</f>
        <v>0</v>
      </c>
      <c r="I61" s="1"/>
      <c r="J61" s="5">
        <f t="shared" ref="J61:J73" si="38">IF(H$12=0,0,H61/H$12)</f>
        <v>0</v>
      </c>
      <c r="K61" s="1"/>
      <c r="L61" s="1">
        <f t="shared" ref="L61:L73" si="39">+D61-H61</f>
        <v>0</v>
      </c>
      <c r="M61" s="1"/>
      <c r="N61" s="5">
        <f t="shared" ref="N61:N73" si="40">IF(H61=0,0,L61/H61)</f>
        <v>0</v>
      </c>
      <c r="O61" s="13"/>
      <c r="P61" s="1">
        <f>SUM(OSRRefP22_6x_0)</f>
        <v>0.09</v>
      </c>
      <c r="Q61" s="1"/>
      <c r="R61" s="5">
        <f t="shared" ref="R61:R73" si="41">IF(P$12=0,0,P61/P$12)</f>
        <v>1.9482449381592965E-8</v>
      </c>
      <c r="S61" s="1"/>
      <c r="T61" s="1">
        <f>SUM(OSRRefT22_6x_0)</f>
        <v>0</v>
      </c>
      <c r="U61" s="1"/>
      <c r="V61" s="5">
        <f t="shared" ref="V61:V73" si="42">IF(T$12=0,0,T61/T$12)</f>
        <v>0</v>
      </c>
      <c r="W61" s="1"/>
      <c r="X61" s="1">
        <f t="shared" ref="X61:X73" si="43">+P61-T61</f>
        <v>0.09</v>
      </c>
      <c r="Y61" s="1"/>
      <c r="Z61" s="5">
        <f t="shared" ref="Z61:Z73" si="44">IF(T61=0,0,X61/T61)</f>
        <v>0</v>
      </c>
    </row>
    <row r="62" spans="1:26" s="24" customFormat="1" hidden="1" outlineLevel="2" x14ac:dyDescent="0.25">
      <c r="A62" s="26"/>
      <c r="B62" s="11" t="str">
        <f>CONCATENATE("          ", "6382", " - ", "DISCOUNTS/MARK DOWNS")</f>
        <v xml:space="preserve">          6382 - DISCOUNTS/MARK DOWNS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0.09</v>
      </c>
      <c r="Q62" s="2"/>
      <c r="R62" s="7">
        <f t="shared" si="41"/>
        <v>1.9482449381592965E-8</v>
      </c>
      <c r="S62" s="2"/>
      <c r="T62" s="6"/>
      <c r="U62" s="2"/>
      <c r="V62" s="7">
        <f t="shared" si="42"/>
        <v>0</v>
      </c>
      <c r="W62" s="2"/>
      <c r="X62" s="6">
        <f t="shared" si="43"/>
        <v>0.09</v>
      </c>
      <c r="Y62" s="2"/>
      <c r="Z62" s="7">
        <f t="shared" si="44"/>
        <v>0</v>
      </c>
    </row>
    <row r="63" spans="1:26" s="27" customFormat="1" outlineLevel="1" collapsed="1" x14ac:dyDescent="0.25">
      <c r="A63" s="25"/>
      <c r="B63" s="13" t="str">
        <f>CONCATENATE("     ","Donations                                         ")</f>
        <v xml:space="preserve">     Donations                                         </v>
      </c>
      <c r="C63" s="13"/>
      <c r="D63" s="1">
        <f>SUM(OSRRefD22_7x_0)</f>
        <v>0</v>
      </c>
      <c r="E63" s="1"/>
      <c r="F63" s="5">
        <f t="shared" si="37"/>
        <v>0</v>
      </c>
      <c r="G63" s="1"/>
      <c r="H63" s="1">
        <f>SUM(OSRRefH22_7x_0)</f>
        <v>100</v>
      </c>
      <c r="I63" s="1"/>
      <c r="J63" s="5">
        <f t="shared" si="38"/>
        <v>1.9252341850049557E-4</v>
      </c>
      <c r="K63" s="1"/>
      <c r="L63" s="1">
        <f t="shared" si="39"/>
        <v>-100</v>
      </c>
      <c r="M63" s="1"/>
      <c r="N63" s="5">
        <f t="shared" si="40"/>
        <v>-1</v>
      </c>
      <c r="O63" s="13"/>
      <c r="P63" s="1">
        <f>SUM(OSRRefP22_7x_0)</f>
        <v>236.68</v>
      </c>
      <c r="Q63" s="1"/>
      <c r="R63" s="5">
        <f t="shared" si="41"/>
        <v>5.123451244039359E-5</v>
      </c>
      <c r="S63" s="1"/>
      <c r="T63" s="1">
        <f>SUM(OSRRefT22_7x_0)</f>
        <v>1038.48</v>
      </c>
      <c r="U63" s="1"/>
      <c r="V63" s="5">
        <f t="shared" si="42"/>
        <v>1.5525030904862228E-4</v>
      </c>
      <c r="W63" s="1"/>
      <c r="X63" s="1">
        <f t="shared" si="43"/>
        <v>-801.8</v>
      </c>
      <c r="Y63" s="1"/>
      <c r="Z63" s="5">
        <f t="shared" si="44"/>
        <v>-0.77208997765965637</v>
      </c>
    </row>
    <row r="64" spans="1:26" s="24" customFormat="1" hidden="1" outlineLevel="2" x14ac:dyDescent="0.25">
      <c r="A64" s="26"/>
      <c r="B64" s="11" t="str">
        <f>CONCATENATE("          ", "6399", " - ", "DONATION-ON CAMPUS")</f>
        <v xml:space="preserve">          6399 - DONATION-ON CAMPUS</v>
      </c>
      <c r="C64" s="11"/>
      <c r="D64" s="6"/>
      <c r="E64" s="2"/>
      <c r="F64" s="7">
        <f t="shared" si="37"/>
        <v>0</v>
      </c>
      <c r="G64" s="2"/>
      <c r="H64" s="6">
        <v>100</v>
      </c>
      <c r="I64" s="2"/>
      <c r="J64" s="7">
        <f t="shared" si="38"/>
        <v>1.9252341850049557E-4</v>
      </c>
      <c r="K64" s="2"/>
      <c r="L64" s="6">
        <f t="shared" si="39"/>
        <v>-100</v>
      </c>
      <c r="M64" s="2"/>
      <c r="N64" s="7">
        <f t="shared" si="40"/>
        <v>-1</v>
      </c>
      <c r="O64" s="11"/>
      <c r="P64" s="6">
        <v>236.68</v>
      </c>
      <c r="Q64" s="2"/>
      <c r="R64" s="7">
        <f t="shared" si="41"/>
        <v>5.123451244039359E-5</v>
      </c>
      <c r="S64" s="2"/>
      <c r="T64" s="6">
        <v>1038.48</v>
      </c>
      <c r="U64" s="2"/>
      <c r="V64" s="7">
        <f t="shared" si="42"/>
        <v>1.5525030904862228E-4</v>
      </c>
      <c r="W64" s="2"/>
      <c r="X64" s="6">
        <f t="shared" si="43"/>
        <v>-801.8</v>
      </c>
      <c r="Y64" s="2"/>
      <c r="Z64" s="7">
        <f t="shared" si="44"/>
        <v>-0.77208997765965637</v>
      </c>
    </row>
    <row r="65" spans="1:26" s="27" customFormat="1" outlineLevel="1" collapsed="1" x14ac:dyDescent="0.25">
      <c r="A65" s="25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SUM(OSRRefD22_8x_0)</f>
        <v>0</v>
      </c>
      <c r="E65" s="1"/>
      <c r="F65" s="5">
        <f t="shared" si="37"/>
        <v>0</v>
      </c>
      <c r="G65" s="1"/>
      <c r="H65" s="1">
        <f>SUM(OSRRefH22_8x_0)</f>
        <v>956.09</v>
      </c>
      <c r="I65" s="1"/>
      <c r="J65" s="5">
        <f t="shared" si="38"/>
        <v>1.8406971519413882E-3</v>
      </c>
      <c r="K65" s="1"/>
      <c r="L65" s="1">
        <f t="shared" si="39"/>
        <v>-956.09</v>
      </c>
      <c r="M65" s="1"/>
      <c r="N65" s="5">
        <f t="shared" si="40"/>
        <v>-1</v>
      </c>
      <c r="O65" s="13"/>
      <c r="P65" s="1">
        <f>SUM(OSRRefP22_8x_0)</f>
        <v>1672.81</v>
      </c>
      <c r="Q65" s="1"/>
      <c r="R65" s="5">
        <f t="shared" si="41"/>
        <v>3.6211595722247249E-4</v>
      </c>
      <c r="S65" s="1"/>
      <c r="T65" s="1">
        <f>SUM(OSRRefT22_8x_0)</f>
        <v>3904.87</v>
      </c>
      <c r="U65" s="1"/>
      <c r="V65" s="5">
        <f t="shared" si="42"/>
        <v>5.83768848985723E-4</v>
      </c>
      <c r="W65" s="1"/>
      <c r="X65" s="1">
        <f t="shared" si="43"/>
        <v>-2232.06</v>
      </c>
      <c r="Y65" s="1"/>
      <c r="Z65" s="5">
        <f t="shared" si="44"/>
        <v>-0.57160929813284433</v>
      </c>
    </row>
    <row r="66" spans="1:26" s="24" customFormat="1" hidden="1" outlineLevel="2" x14ac:dyDescent="0.25">
      <c r="A66" s="26"/>
      <c r="B66" s="11" t="str">
        <f>CONCATENATE("          ", "6277", " - ", "EMPLOYEE APPRECIATION")</f>
        <v xml:space="preserve">          6277 - EMPLOYEE APPRECIATION</v>
      </c>
      <c r="C66" s="11"/>
      <c r="D66" s="6"/>
      <c r="E66" s="2"/>
      <c r="F66" s="7">
        <f t="shared" si="37"/>
        <v>0</v>
      </c>
      <c r="G66" s="2"/>
      <c r="H66" s="6">
        <v>956.09</v>
      </c>
      <c r="I66" s="2"/>
      <c r="J66" s="7">
        <f t="shared" si="38"/>
        <v>1.8406971519413882E-3</v>
      </c>
      <c r="K66" s="2"/>
      <c r="L66" s="6">
        <f t="shared" si="39"/>
        <v>-956.09</v>
      </c>
      <c r="M66" s="2"/>
      <c r="N66" s="7">
        <f t="shared" si="40"/>
        <v>-1</v>
      </c>
      <c r="O66" s="11"/>
      <c r="P66" s="6">
        <v>1672.81</v>
      </c>
      <c r="Q66" s="2"/>
      <c r="R66" s="7">
        <f t="shared" si="41"/>
        <v>3.6211595722247249E-4</v>
      </c>
      <c r="S66" s="2"/>
      <c r="T66" s="6">
        <v>3904.87</v>
      </c>
      <c r="U66" s="2"/>
      <c r="V66" s="7">
        <f t="shared" si="42"/>
        <v>5.83768848985723E-4</v>
      </c>
      <c r="W66" s="2"/>
      <c r="X66" s="6">
        <f t="shared" si="43"/>
        <v>-2232.06</v>
      </c>
      <c r="Y66" s="2"/>
      <c r="Z66" s="7">
        <f t="shared" si="44"/>
        <v>-0.57160929813284433</v>
      </c>
    </row>
    <row r="67" spans="1:26" s="27" customFormat="1" outlineLevel="1" collapsed="1" x14ac:dyDescent="0.25">
      <c r="A67" s="25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SUM(OSRRefD22_9x_0)</f>
        <v>1448.84</v>
      </c>
      <c r="E67" s="1"/>
      <c r="F67" s="5">
        <f t="shared" si="37"/>
        <v>0</v>
      </c>
      <c r="G67" s="1"/>
      <c r="H67" s="1">
        <f>SUM(OSRRefH22_9x_0)</f>
        <v>2435.2600000000002</v>
      </c>
      <c r="I67" s="1"/>
      <c r="J67" s="5">
        <f t="shared" si="38"/>
        <v>4.6884458013751688E-3</v>
      </c>
      <c r="K67" s="1"/>
      <c r="L67" s="1">
        <f t="shared" si="39"/>
        <v>-986.4200000000003</v>
      </c>
      <c r="M67" s="1"/>
      <c r="N67" s="5">
        <f t="shared" si="40"/>
        <v>-0.40505736553797139</v>
      </c>
      <c r="O67" s="13"/>
      <c r="P67" s="1">
        <f>SUM(OSRRefP22_9x_0)</f>
        <v>26544.560000000001</v>
      </c>
      <c r="Q67" s="1"/>
      <c r="R67" s="5">
        <f t="shared" si="41"/>
        <v>5.7461449617406376E-3</v>
      </c>
      <c r="S67" s="1"/>
      <c r="T67" s="1">
        <f>SUM(OSRRefT22_9x_0)</f>
        <v>19108.04</v>
      </c>
      <c r="U67" s="1"/>
      <c r="V67" s="5">
        <f t="shared" si="42"/>
        <v>2.8566068824757689E-3</v>
      </c>
      <c r="W67" s="1"/>
      <c r="X67" s="1">
        <f t="shared" si="43"/>
        <v>7436.52</v>
      </c>
      <c r="Y67" s="1"/>
      <c r="Z67" s="5">
        <f t="shared" si="44"/>
        <v>0.38918277332473661</v>
      </c>
    </row>
    <row r="68" spans="1:26" s="24" customFormat="1" hidden="1" outlineLevel="2" x14ac:dyDescent="0.25">
      <c r="A68" s="26"/>
      <c r="B68" s="11" t="str">
        <f>CONCATENATE("          ", "6351", " - ", "EQUIPMENT RENTAL")</f>
        <v xml:space="preserve">          6351 - EQUIPMENT RENTAL</v>
      </c>
      <c r="C68" s="11"/>
      <c r="D68" s="6">
        <v>1448.84</v>
      </c>
      <c r="E68" s="2"/>
      <c r="F68" s="7">
        <f t="shared" si="37"/>
        <v>0</v>
      </c>
      <c r="G68" s="2"/>
      <c r="H68" s="6">
        <v>2435.2600000000002</v>
      </c>
      <c r="I68" s="2"/>
      <c r="J68" s="7">
        <f t="shared" si="38"/>
        <v>4.6884458013751688E-3</v>
      </c>
      <c r="K68" s="2"/>
      <c r="L68" s="6">
        <f t="shared" si="39"/>
        <v>-986.4200000000003</v>
      </c>
      <c r="M68" s="2"/>
      <c r="N68" s="7">
        <f t="shared" si="40"/>
        <v>-0.40505736553797139</v>
      </c>
      <c r="O68" s="11"/>
      <c r="P68" s="6">
        <v>26544.560000000001</v>
      </c>
      <c r="Q68" s="2"/>
      <c r="R68" s="7">
        <f t="shared" si="41"/>
        <v>5.7461449617406376E-3</v>
      </c>
      <c r="S68" s="2"/>
      <c r="T68" s="6">
        <v>19108.04</v>
      </c>
      <c r="U68" s="2"/>
      <c r="V68" s="7">
        <f t="shared" si="42"/>
        <v>2.8566068824757689E-3</v>
      </c>
      <c r="W68" s="2"/>
      <c r="X68" s="6">
        <f t="shared" si="43"/>
        <v>7436.52</v>
      </c>
      <c r="Y68" s="2"/>
      <c r="Z68" s="7">
        <f t="shared" si="44"/>
        <v>0.38918277332473661</v>
      </c>
    </row>
    <row r="69" spans="1:26" s="27" customFormat="1" outlineLevel="1" collapsed="1" x14ac:dyDescent="0.25">
      <c r="A69" s="25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SUM(OSRRefD22_10x_0)</f>
        <v>0.57999999999999996</v>
      </c>
      <c r="E69" s="1"/>
      <c r="F69" s="5">
        <f t="shared" si="37"/>
        <v>0</v>
      </c>
      <c r="G69" s="1"/>
      <c r="H69" s="1">
        <f>SUM(OSRRefH22_10x_0)</f>
        <v>0</v>
      </c>
      <c r="I69" s="1"/>
      <c r="J69" s="5">
        <f t="shared" si="38"/>
        <v>0</v>
      </c>
      <c r="K69" s="1"/>
      <c r="L69" s="1">
        <f t="shared" si="39"/>
        <v>0.57999999999999996</v>
      </c>
      <c r="M69" s="1"/>
      <c r="N69" s="5">
        <f t="shared" si="40"/>
        <v>0</v>
      </c>
      <c r="O69" s="13"/>
      <c r="P69" s="1">
        <f>SUM(OSRRefP22_10x_0)</f>
        <v>0.57999999999999996</v>
      </c>
      <c r="Q69" s="1"/>
      <c r="R69" s="5">
        <f t="shared" si="41"/>
        <v>1.2555356268137687E-7</v>
      </c>
      <c r="S69" s="1"/>
      <c r="T69" s="1">
        <f>SUM(OSRRefT22_10x_0)</f>
        <v>9.01</v>
      </c>
      <c r="U69" s="1"/>
      <c r="V69" s="5">
        <f t="shared" si="42"/>
        <v>1.34697373519768E-6</v>
      </c>
      <c r="W69" s="1"/>
      <c r="X69" s="1">
        <f t="shared" si="43"/>
        <v>-8.43</v>
      </c>
      <c r="Y69" s="1"/>
      <c r="Z69" s="5">
        <f t="shared" si="44"/>
        <v>-0.93562708102108771</v>
      </c>
    </row>
    <row r="70" spans="1:26" s="24" customFormat="1" hidden="1" outlineLevel="2" x14ac:dyDescent="0.25">
      <c r="A70" s="26"/>
      <c r="B70" s="11" t="str">
        <f>CONCATENATE("          ", "6307", " - ", "POSTAGE")</f>
        <v xml:space="preserve">          6307 - POSTAGE</v>
      </c>
      <c r="C70" s="11"/>
      <c r="D70" s="6">
        <v>0.57999999999999996</v>
      </c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0.57999999999999996</v>
      </c>
      <c r="M70" s="2"/>
      <c r="N70" s="7">
        <f t="shared" si="40"/>
        <v>0</v>
      </c>
      <c r="O70" s="11"/>
      <c r="P70" s="6">
        <v>0.57999999999999996</v>
      </c>
      <c r="Q70" s="2"/>
      <c r="R70" s="7">
        <f t="shared" si="41"/>
        <v>1.2555356268137687E-7</v>
      </c>
      <c r="S70" s="2"/>
      <c r="T70" s="6">
        <v>9.01</v>
      </c>
      <c r="U70" s="2"/>
      <c r="V70" s="7">
        <f t="shared" si="42"/>
        <v>1.34697373519768E-6</v>
      </c>
      <c r="W70" s="2"/>
      <c r="X70" s="6">
        <f t="shared" si="43"/>
        <v>-8.43</v>
      </c>
      <c r="Y70" s="2"/>
      <c r="Z70" s="7">
        <f t="shared" si="44"/>
        <v>-0.93562708102108771</v>
      </c>
    </row>
    <row r="71" spans="1:26" s="27" customFormat="1" outlineLevel="1" collapsed="1" x14ac:dyDescent="0.25">
      <c r="A71" s="25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SUM(OSRRefD22_11x_0)</f>
        <v>-1200</v>
      </c>
      <c r="E71" s="1"/>
      <c r="F71" s="5">
        <f t="shared" si="37"/>
        <v>0</v>
      </c>
      <c r="G71" s="1"/>
      <c r="H71" s="1">
        <f>SUM(OSRRefH22_11x_0)</f>
        <v>2596.39</v>
      </c>
      <c r="I71" s="1"/>
      <c r="J71" s="5">
        <f t="shared" si="38"/>
        <v>4.9986587856050164E-3</v>
      </c>
      <c r="K71" s="1"/>
      <c r="L71" s="1">
        <f t="shared" si="39"/>
        <v>-3796.39</v>
      </c>
      <c r="M71" s="1"/>
      <c r="N71" s="5">
        <f t="shared" si="40"/>
        <v>-1.4621801809435409</v>
      </c>
      <c r="O71" s="13"/>
      <c r="P71" s="1">
        <f>SUM(OSRRefP22_11x_0)</f>
        <v>83587.350000000006</v>
      </c>
      <c r="Q71" s="1"/>
      <c r="R71" s="5">
        <f t="shared" si="41"/>
        <v>1.8094292392405498E-2</v>
      </c>
      <c r="S71" s="1"/>
      <c r="T71" s="1">
        <f>SUM(OSRRefT22_11x_0)</f>
        <v>60275.67</v>
      </c>
      <c r="U71" s="1"/>
      <c r="V71" s="5">
        <f t="shared" si="42"/>
        <v>9.0110704063754432E-3</v>
      </c>
      <c r="W71" s="1"/>
      <c r="X71" s="1">
        <f t="shared" si="43"/>
        <v>23311.680000000008</v>
      </c>
      <c r="Y71" s="1"/>
      <c r="Z71" s="5">
        <f t="shared" si="44"/>
        <v>0.38675107219878285</v>
      </c>
    </row>
    <row r="72" spans="1:26" s="24" customFormat="1" hidden="1" outlineLevel="2" x14ac:dyDescent="0.25">
      <c r="A72" s="26"/>
      <c r="B72" s="11" t="str">
        <f>CONCATENATE("          ", "6269", " - ", "ENTERTAINMENT")</f>
        <v xml:space="preserve">          6269 - ENTERTAINMENT</v>
      </c>
      <c r="C72" s="11"/>
      <c r="D72" s="6"/>
      <c r="E72" s="2"/>
      <c r="F72" s="7">
        <f t="shared" si="37"/>
        <v>0</v>
      </c>
      <c r="G72" s="2"/>
      <c r="H72" s="6">
        <v>164.27</v>
      </c>
      <c r="I72" s="2"/>
      <c r="J72" s="7">
        <f t="shared" si="38"/>
        <v>3.1625821957076406E-4</v>
      </c>
      <c r="K72" s="2"/>
      <c r="L72" s="6">
        <f t="shared" si="39"/>
        <v>-164.27</v>
      </c>
      <c r="M72" s="2"/>
      <c r="N72" s="7">
        <f t="shared" si="40"/>
        <v>-1</v>
      </c>
      <c r="O72" s="11"/>
      <c r="P72" s="6">
        <v>10050</v>
      </c>
      <c r="Q72" s="2"/>
      <c r="R72" s="7">
        <f t="shared" si="41"/>
        <v>2.1755401809445477E-3</v>
      </c>
      <c r="S72" s="2"/>
      <c r="T72" s="6">
        <v>10824.27</v>
      </c>
      <c r="U72" s="2"/>
      <c r="V72" s="7">
        <f t="shared" si="42"/>
        <v>1.6182028182783787E-3</v>
      </c>
      <c r="W72" s="2"/>
      <c r="X72" s="6">
        <f t="shared" si="43"/>
        <v>-774.27000000000044</v>
      </c>
      <c r="Y72" s="2"/>
      <c r="Z72" s="7">
        <f t="shared" si="44"/>
        <v>-7.1530920791887151E-2</v>
      </c>
    </row>
    <row r="73" spans="1:26" s="24" customFormat="1" hidden="1" outlineLevel="2" x14ac:dyDescent="0.25">
      <c r="A73" s="26"/>
      <c r="B73" s="11" t="str">
        <f>CONCATENATE("          ", "6279", " - ", "GENERAL EXPENSE")</f>
        <v xml:space="preserve">          6279 - GENERAL EXPENSE</v>
      </c>
      <c r="C73" s="11"/>
      <c r="D73" s="6">
        <v>-1200</v>
      </c>
      <c r="E73" s="2"/>
      <c r="F73" s="7">
        <f t="shared" si="37"/>
        <v>0</v>
      </c>
      <c r="G73" s="2"/>
      <c r="H73" s="6">
        <v>2432.12</v>
      </c>
      <c r="I73" s="2"/>
      <c r="J73" s="7">
        <f t="shared" si="38"/>
        <v>4.6824005660342522E-3</v>
      </c>
      <c r="K73" s="2"/>
      <c r="L73" s="6">
        <f t="shared" si="39"/>
        <v>-3632.12</v>
      </c>
      <c r="M73" s="2"/>
      <c r="N73" s="7">
        <f t="shared" si="40"/>
        <v>-1.493396707399306</v>
      </c>
      <c r="O73" s="11"/>
      <c r="P73" s="6">
        <v>73537.350000000006</v>
      </c>
      <c r="Q73" s="2"/>
      <c r="R73" s="7">
        <f t="shared" si="41"/>
        <v>1.5918752211460951E-2</v>
      </c>
      <c r="S73" s="2"/>
      <c r="T73" s="6">
        <v>49451.4</v>
      </c>
      <c r="U73" s="2"/>
      <c r="V73" s="7">
        <f t="shared" si="42"/>
        <v>7.392867588097065E-3</v>
      </c>
      <c r="W73" s="2"/>
      <c r="X73" s="6">
        <f t="shared" si="43"/>
        <v>24085.950000000004</v>
      </c>
      <c r="Y73" s="2"/>
      <c r="Z73" s="7">
        <f t="shared" si="44"/>
        <v>0.4870630558487728</v>
      </c>
    </row>
    <row r="74" spans="1:26" s="27" customFormat="1" outlineLevel="1" collapsed="1" x14ac:dyDescent="0.25">
      <c r="A74" s="25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SUM(OSRRefD22_12x_0)</f>
        <v>4240.13</v>
      </c>
      <c r="E74" s="1"/>
      <c r="F74" s="5">
        <f t="shared" ref="F74:F86" si="45">IF(D$12=0,0,D74/D$12)</f>
        <v>0</v>
      </c>
      <c r="G74" s="1"/>
      <c r="H74" s="1">
        <f>SUM(OSRRefH22_12x_0)</f>
        <v>3993.18</v>
      </c>
      <c r="I74" s="1"/>
      <c r="J74" s="5">
        <f t="shared" ref="J74:J86" si="46">IF(H$12=0,0,H74/H$12)</f>
        <v>7.6878066428780886E-3</v>
      </c>
      <c r="K74" s="1"/>
      <c r="L74" s="1">
        <f t="shared" ref="L74:L86" si="47">+D74-H74</f>
        <v>246.95000000000027</v>
      </c>
      <c r="M74" s="1"/>
      <c r="N74" s="5">
        <f t="shared" ref="N74:N86" si="48">IF(H74=0,0,L74/H74)</f>
        <v>6.1842942216479166E-2</v>
      </c>
      <c r="O74" s="13"/>
      <c r="P74" s="1">
        <f>SUM(OSRRefP22_12x_0)</f>
        <v>52402.43</v>
      </c>
      <c r="Q74" s="1"/>
      <c r="R74" s="5">
        <f t="shared" ref="R74:R86" si="49">IF(P$12=0,0,P74/P$12)</f>
        <v>1.1343640999416317E-2</v>
      </c>
      <c r="S74" s="1"/>
      <c r="T74" s="1">
        <f>SUM(OSRRefT22_12x_0)</f>
        <v>41409.67</v>
      </c>
      <c r="U74" s="1"/>
      <c r="V74" s="5">
        <f t="shared" ref="V74:V86" si="50">IF(T$12=0,0,T74/T$12)</f>
        <v>6.1906479326529762E-3</v>
      </c>
      <c r="W74" s="1"/>
      <c r="X74" s="1">
        <f t="shared" ref="X74:X86" si="51">+P74-T74</f>
        <v>10992.760000000002</v>
      </c>
      <c r="Y74" s="1"/>
      <c r="Z74" s="5">
        <f t="shared" ref="Z74:Z86" si="52">IF(T74=0,0,X74/T74)</f>
        <v>0.26546359823683702</v>
      </c>
    </row>
    <row r="75" spans="1:26" s="24" customFormat="1" hidden="1" outlineLevel="2" x14ac:dyDescent="0.25">
      <c r="A75" s="26"/>
      <c r="B75" s="11" t="str">
        <f>CONCATENATE("          ", "6314", " - ", "LIABILITY INSURANCE")</f>
        <v xml:space="preserve">          6314 - LIABILITY INSURANCE</v>
      </c>
      <c r="C75" s="11"/>
      <c r="D75" s="6">
        <v>4240.13</v>
      </c>
      <c r="E75" s="2"/>
      <c r="F75" s="7">
        <f t="shared" si="45"/>
        <v>0</v>
      </c>
      <c r="G75" s="2"/>
      <c r="H75" s="6">
        <v>3993.18</v>
      </c>
      <c r="I75" s="2"/>
      <c r="J75" s="7">
        <f t="shared" si="46"/>
        <v>7.6878066428780886E-3</v>
      </c>
      <c r="K75" s="2"/>
      <c r="L75" s="6">
        <f t="shared" si="47"/>
        <v>246.95000000000027</v>
      </c>
      <c r="M75" s="2"/>
      <c r="N75" s="7">
        <f t="shared" si="48"/>
        <v>6.1842942216479166E-2</v>
      </c>
      <c r="O75" s="11"/>
      <c r="P75" s="6">
        <v>52402.43</v>
      </c>
      <c r="Q75" s="2"/>
      <c r="R75" s="7">
        <f t="shared" si="49"/>
        <v>1.1343640999416317E-2</v>
      </c>
      <c r="S75" s="2"/>
      <c r="T75" s="6">
        <v>41409.67</v>
      </c>
      <c r="U75" s="2"/>
      <c r="V75" s="7">
        <f t="shared" si="50"/>
        <v>6.1906479326529762E-3</v>
      </c>
      <c r="W75" s="2"/>
      <c r="X75" s="6">
        <f t="shared" si="51"/>
        <v>10992.760000000002</v>
      </c>
      <c r="Y75" s="2"/>
      <c r="Z75" s="7">
        <f t="shared" si="52"/>
        <v>0.26546359823683702</v>
      </c>
    </row>
    <row r="76" spans="1:26" s="27" customFormat="1" outlineLevel="1" collapsed="1" x14ac:dyDescent="0.25">
      <c r="A76" s="25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SUM(OSRRefD22_13x_0)</f>
        <v>7754</v>
      </c>
      <c r="E76" s="1"/>
      <c r="F76" s="5">
        <f t="shared" si="45"/>
        <v>0</v>
      </c>
      <c r="G76" s="1"/>
      <c r="H76" s="1">
        <f>SUM(OSRRefH22_13x_0)</f>
        <v>7949</v>
      </c>
      <c r="I76" s="1"/>
      <c r="J76" s="5">
        <f t="shared" si="46"/>
        <v>1.5303686536604392E-2</v>
      </c>
      <c r="K76" s="1"/>
      <c r="L76" s="1">
        <f t="shared" si="47"/>
        <v>-195</v>
      </c>
      <c r="M76" s="1"/>
      <c r="N76" s="5">
        <f t="shared" si="48"/>
        <v>-2.4531387595924017E-2</v>
      </c>
      <c r="O76" s="13"/>
      <c r="P76" s="1">
        <f>SUM(OSRRefP22_13x_0)</f>
        <v>82950.28</v>
      </c>
      <c r="Q76" s="1"/>
      <c r="R76" s="5">
        <f t="shared" si="49"/>
        <v>1.795638479209959E-2</v>
      </c>
      <c r="S76" s="1"/>
      <c r="T76" s="1">
        <f>SUM(OSRRefT22_13x_0)</f>
        <v>85869.6</v>
      </c>
      <c r="U76" s="1"/>
      <c r="V76" s="5">
        <f t="shared" si="50"/>
        <v>1.2837302536285318E-2</v>
      </c>
      <c r="W76" s="1"/>
      <c r="X76" s="1">
        <f t="shared" si="51"/>
        <v>-2919.320000000007</v>
      </c>
      <c r="Y76" s="1"/>
      <c r="Z76" s="5">
        <f t="shared" si="52"/>
        <v>-3.3997130532807965E-2</v>
      </c>
    </row>
    <row r="77" spans="1:26" s="24" customFormat="1" hidden="1" outlineLevel="2" x14ac:dyDescent="0.25">
      <c r="A77" s="26"/>
      <c r="B77" s="11" t="str">
        <f>CONCATENATE("          ", "6401", " - ", "INTEREST EXPENSE")</f>
        <v xml:space="preserve">          6401 - INTEREST EXPENSE</v>
      </c>
      <c r="C77" s="11"/>
      <c r="D77" s="6">
        <v>7754</v>
      </c>
      <c r="E77" s="2"/>
      <c r="F77" s="7">
        <f t="shared" si="45"/>
        <v>0</v>
      </c>
      <c r="G77" s="2"/>
      <c r="H77" s="6">
        <v>7949</v>
      </c>
      <c r="I77" s="2"/>
      <c r="J77" s="7">
        <f t="shared" si="46"/>
        <v>1.5303686536604392E-2</v>
      </c>
      <c r="K77" s="2"/>
      <c r="L77" s="6">
        <f t="shared" si="47"/>
        <v>-195</v>
      </c>
      <c r="M77" s="2"/>
      <c r="N77" s="7">
        <f t="shared" si="48"/>
        <v>-2.4531387595924017E-2</v>
      </c>
      <c r="O77" s="11"/>
      <c r="P77" s="6">
        <v>82950.28</v>
      </c>
      <c r="Q77" s="2"/>
      <c r="R77" s="7">
        <f t="shared" si="49"/>
        <v>1.795638479209959E-2</v>
      </c>
      <c r="S77" s="2"/>
      <c r="T77" s="6">
        <v>85869.6</v>
      </c>
      <c r="U77" s="2"/>
      <c r="V77" s="7">
        <f t="shared" si="50"/>
        <v>1.2837302536285318E-2</v>
      </c>
      <c r="W77" s="2"/>
      <c r="X77" s="6">
        <f t="shared" si="51"/>
        <v>-2919.320000000007</v>
      </c>
      <c r="Y77" s="2"/>
      <c r="Z77" s="7">
        <f t="shared" si="52"/>
        <v>-3.3997130532807965E-2</v>
      </c>
    </row>
    <row r="78" spans="1:26" s="27" customFormat="1" outlineLevel="1" collapsed="1" x14ac:dyDescent="0.25">
      <c r="A78" s="25"/>
      <c r="B78" s="13" t="str">
        <f>CONCATENATE("     ","Professional Services                             ")</f>
        <v xml:space="preserve">     Professional Services                             </v>
      </c>
      <c r="C78" s="13"/>
      <c r="D78" s="1">
        <f>SUM(OSRRefD22_14x_0)</f>
        <v>0</v>
      </c>
      <c r="E78" s="1"/>
      <c r="F78" s="5">
        <f t="shared" si="45"/>
        <v>0</v>
      </c>
      <c r="G78" s="1"/>
      <c r="H78" s="1">
        <f>SUM(OSRRefH22_14x_0)</f>
        <v>0</v>
      </c>
      <c r="I78" s="1"/>
      <c r="J78" s="5">
        <f t="shared" si="46"/>
        <v>0</v>
      </c>
      <c r="K78" s="1"/>
      <c r="L78" s="1">
        <f t="shared" si="47"/>
        <v>0</v>
      </c>
      <c r="M78" s="1"/>
      <c r="N78" s="5">
        <f t="shared" si="48"/>
        <v>0</v>
      </c>
      <c r="O78" s="13"/>
      <c r="P78" s="1">
        <f>SUM(OSRRefP22_14x_0)</f>
        <v>125</v>
      </c>
      <c r="Q78" s="1"/>
      <c r="R78" s="5">
        <f t="shared" si="49"/>
        <v>2.7058957474434672E-5</v>
      </c>
      <c r="S78" s="1"/>
      <c r="T78" s="1">
        <f>SUM(OSRRefT22_14x_0)</f>
        <v>0</v>
      </c>
      <c r="U78" s="1"/>
      <c r="V78" s="5">
        <f t="shared" si="50"/>
        <v>0</v>
      </c>
      <c r="W78" s="1"/>
      <c r="X78" s="1">
        <f t="shared" si="51"/>
        <v>125</v>
      </c>
      <c r="Y78" s="1"/>
      <c r="Z78" s="5">
        <f t="shared" si="52"/>
        <v>0</v>
      </c>
    </row>
    <row r="79" spans="1:26" s="24" customFormat="1" hidden="1" outlineLevel="2" x14ac:dyDescent="0.25">
      <c r="A79" s="26"/>
      <c r="B79" s="11" t="str">
        <f>CONCATENATE("          ", "6336", " - ", "PROFESSIONAL SERVICES")</f>
        <v xml:space="preserve">          6336 - PROFESSIONAL SERVICES</v>
      </c>
      <c r="C79" s="11"/>
      <c r="D79" s="6"/>
      <c r="E79" s="2"/>
      <c r="F79" s="7">
        <f t="shared" si="45"/>
        <v>0</v>
      </c>
      <c r="G79" s="2"/>
      <c r="H79" s="6"/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>
        <v>125</v>
      </c>
      <c r="Q79" s="2"/>
      <c r="R79" s="7">
        <f t="shared" si="49"/>
        <v>2.7058957474434672E-5</v>
      </c>
      <c r="S79" s="2"/>
      <c r="T79" s="6"/>
      <c r="U79" s="2"/>
      <c r="V79" s="7">
        <f t="shared" si="50"/>
        <v>0</v>
      </c>
      <c r="W79" s="2"/>
      <c r="X79" s="6">
        <f t="shared" si="51"/>
        <v>125</v>
      </c>
      <c r="Y79" s="2"/>
      <c r="Z79" s="7">
        <f t="shared" si="52"/>
        <v>0</v>
      </c>
    </row>
    <row r="80" spans="1:26" s="27" customFormat="1" outlineLevel="1" collapsed="1" x14ac:dyDescent="0.25">
      <c r="A80" s="25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5"/>
        <v>0</v>
      </c>
      <c r="G80" s="1"/>
      <c r="H80" s="1">
        <f>SUM(OSRRefH22_15x_0)</f>
        <v>1850</v>
      </c>
      <c r="I80" s="1"/>
      <c r="J80" s="5">
        <f t="shared" si="46"/>
        <v>3.561683242259168E-3</v>
      </c>
      <c r="K80" s="1"/>
      <c r="L80" s="1">
        <f t="shared" si="47"/>
        <v>0</v>
      </c>
      <c r="M80" s="1"/>
      <c r="N80" s="5">
        <f t="shared" si="48"/>
        <v>0</v>
      </c>
      <c r="O80" s="13"/>
      <c r="P80" s="1">
        <f>SUM(OSRRefP22_15x_0)</f>
        <v>20350</v>
      </c>
      <c r="Q80" s="1"/>
      <c r="R80" s="5">
        <f t="shared" si="49"/>
        <v>4.4051982768379648E-3</v>
      </c>
      <c r="S80" s="1"/>
      <c r="T80" s="1">
        <f>SUM(OSRRefT22_15x_0)</f>
        <v>20350</v>
      </c>
      <c r="U80" s="1"/>
      <c r="V80" s="5">
        <f t="shared" si="50"/>
        <v>3.0422769712844383E-3</v>
      </c>
      <c r="W80" s="1"/>
      <c r="X80" s="1">
        <f t="shared" si="51"/>
        <v>0</v>
      </c>
      <c r="Y80" s="1"/>
      <c r="Z80" s="5">
        <f t="shared" si="52"/>
        <v>0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5"/>
        <v>0</v>
      </c>
      <c r="G81" s="2"/>
      <c r="H81" s="6">
        <v>1850</v>
      </c>
      <c r="I81" s="2"/>
      <c r="J81" s="7">
        <f t="shared" si="46"/>
        <v>3.561683242259168E-3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20350</v>
      </c>
      <c r="Q81" s="2"/>
      <c r="R81" s="7">
        <f t="shared" si="49"/>
        <v>4.4051982768379648E-3</v>
      </c>
      <c r="S81" s="2"/>
      <c r="T81" s="6">
        <v>20350</v>
      </c>
      <c r="U81" s="2"/>
      <c r="V81" s="7">
        <f t="shared" si="50"/>
        <v>3.0422769712844383E-3</v>
      </c>
      <c r="W81" s="2"/>
      <c r="X81" s="6">
        <f t="shared" si="51"/>
        <v>0</v>
      </c>
      <c r="Y81" s="2"/>
      <c r="Z81" s="7">
        <f t="shared" si="52"/>
        <v>0</v>
      </c>
    </row>
    <row r="82" spans="1:26" s="27" customFormat="1" outlineLevel="1" collapsed="1" x14ac:dyDescent="0.25">
      <c r="A82" s="25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7798.16</v>
      </c>
      <c r="E82" s="1"/>
      <c r="F82" s="5">
        <f t="shared" si="45"/>
        <v>0</v>
      </c>
      <c r="G82" s="1"/>
      <c r="H82" s="1">
        <f>SUM(OSRRefH22_16x_0)</f>
        <v>29856.85</v>
      </c>
      <c r="I82" s="1"/>
      <c r="J82" s="5">
        <f t="shared" si="46"/>
        <v>5.7481428276565209E-2</v>
      </c>
      <c r="K82" s="1"/>
      <c r="L82" s="1">
        <f t="shared" si="47"/>
        <v>-22058.69</v>
      </c>
      <c r="M82" s="1"/>
      <c r="N82" s="5">
        <f t="shared" si="48"/>
        <v>-0.73881504579351132</v>
      </c>
      <c r="O82" s="13"/>
      <c r="P82" s="1">
        <f>SUM(OSRRefP22_16x_0)</f>
        <v>226371.27000000002</v>
      </c>
      <c r="Q82" s="1"/>
      <c r="R82" s="5">
        <f t="shared" si="49"/>
        <v>4.9002964546910159E-2</v>
      </c>
      <c r="S82" s="1"/>
      <c r="T82" s="1">
        <f>SUM(OSRRefT22_16x_0)</f>
        <v>296827.82</v>
      </c>
      <c r="U82" s="1"/>
      <c r="V82" s="5">
        <f t="shared" si="50"/>
        <v>4.4375058536735255E-2</v>
      </c>
      <c r="W82" s="1"/>
      <c r="X82" s="1">
        <f t="shared" si="51"/>
        <v>-70456.549999999988</v>
      </c>
      <c r="Y82" s="1"/>
      <c r="Z82" s="5">
        <f t="shared" si="52"/>
        <v>-0.23736504886907159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45"/>
        <v>0</v>
      </c>
      <c r="G83" s="2"/>
      <c r="H83" s="6">
        <v>10343.25</v>
      </c>
      <c r="I83" s="2"/>
      <c r="J83" s="7">
        <f t="shared" si="46"/>
        <v>1.9913178484052507E-2</v>
      </c>
      <c r="K83" s="2"/>
      <c r="L83" s="6">
        <f t="shared" si="47"/>
        <v>-10343.25</v>
      </c>
      <c r="M83" s="2"/>
      <c r="N83" s="7">
        <f t="shared" si="48"/>
        <v>-1</v>
      </c>
      <c r="O83" s="11"/>
      <c r="P83" s="6">
        <v>10932.69</v>
      </c>
      <c r="Q83" s="2"/>
      <c r="R83" s="7">
        <f t="shared" si="49"/>
        <v>2.3666175503294176E-3</v>
      </c>
      <c r="S83" s="2"/>
      <c r="T83" s="6">
        <v>28152.34</v>
      </c>
      <c r="U83" s="2"/>
      <c r="V83" s="7">
        <f t="shared" si="50"/>
        <v>4.2087083867208717E-3</v>
      </c>
      <c r="W83" s="2"/>
      <c r="X83" s="6">
        <f t="shared" si="51"/>
        <v>-17219.650000000001</v>
      </c>
      <c r="Y83" s="2"/>
      <c r="Z83" s="7">
        <f t="shared" si="52"/>
        <v>-0.61165963468756068</v>
      </c>
    </row>
    <row r="84" spans="1:26" s="24" customFormat="1" hidden="1" outlineLevel="2" x14ac:dyDescent="0.25">
      <c r="A84" s="26"/>
      <c r="B84" s="11" t="str">
        <f>CONCATENATE("          ", "6372", " - ", "COMPUTER HARDWARE MAINTENANCE")</f>
        <v xml:space="preserve">          6372 - COMPUTER HARDWARE MAINTENANCE</v>
      </c>
      <c r="C84" s="11"/>
      <c r="D84" s="6"/>
      <c r="E84" s="2"/>
      <c r="F84" s="7">
        <f t="shared" si="45"/>
        <v>0</v>
      </c>
      <c r="G84" s="2"/>
      <c r="H84" s="6"/>
      <c r="I84" s="2"/>
      <c r="J84" s="7">
        <f t="shared" si="46"/>
        <v>0</v>
      </c>
      <c r="K84" s="2"/>
      <c r="L84" s="6">
        <f t="shared" si="47"/>
        <v>0</v>
      </c>
      <c r="M84" s="2"/>
      <c r="N84" s="7">
        <f t="shared" si="48"/>
        <v>0</v>
      </c>
      <c r="O84" s="11"/>
      <c r="P84" s="6">
        <v>8142.87</v>
      </c>
      <c r="Q84" s="2"/>
      <c r="R84" s="7">
        <f t="shared" si="49"/>
        <v>1.7627005843987987E-3</v>
      </c>
      <c r="S84" s="2"/>
      <c r="T84" s="6">
        <v>880.96</v>
      </c>
      <c r="U84" s="2"/>
      <c r="V84" s="7">
        <f t="shared" si="50"/>
        <v>1.3170144081684219E-4</v>
      </c>
      <c r="W84" s="2"/>
      <c r="X84" s="6">
        <f t="shared" si="51"/>
        <v>7261.91</v>
      </c>
      <c r="Y84" s="2"/>
      <c r="Z84" s="7">
        <f t="shared" si="52"/>
        <v>8.2431778968398106</v>
      </c>
    </row>
    <row r="85" spans="1:26" s="24" customFormat="1" hidden="1" outlineLevel="2" x14ac:dyDescent="0.25">
      <c r="A85" s="26"/>
      <c r="B85" s="11" t="str">
        <f>CONCATENATE("          ", "6373", " - ", "MAINTENANCE CONTRACTS")</f>
        <v xml:space="preserve">          6373 - MAINTENANCE CONTRACTS</v>
      </c>
      <c r="C85" s="11"/>
      <c r="D85" s="6">
        <v>6801.32</v>
      </c>
      <c r="E85" s="2"/>
      <c r="F85" s="7">
        <f t="shared" si="45"/>
        <v>0</v>
      </c>
      <c r="G85" s="2"/>
      <c r="H85" s="6">
        <v>10455.82</v>
      </c>
      <c r="I85" s="2"/>
      <c r="J85" s="7">
        <f t="shared" si="46"/>
        <v>2.0129902096258513E-2</v>
      </c>
      <c r="K85" s="2"/>
      <c r="L85" s="6">
        <f t="shared" si="47"/>
        <v>-3654.5</v>
      </c>
      <c r="M85" s="2"/>
      <c r="N85" s="7">
        <f t="shared" si="48"/>
        <v>-0.34951825873054432</v>
      </c>
      <c r="O85" s="11"/>
      <c r="P85" s="6">
        <v>93257.24</v>
      </c>
      <c r="Q85" s="2"/>
      <c r="R85" s="7">
        <f t="shared" si="49"/>
        <v>2.0187549530745186E-2</v>
      </c>
      <c r="S85" s="2"/>
      <c r="T85" s="6">
        <v>119107.32</v>
      </c>
      <c r="U85" s="2"/>
      <c r="V85" s="7">
        <f t="shared" si="50"/>
        <v>1.7806263230830781E-2</v>
      </c>
      <c r="W85" s="2"/>
      <c r="X85" s="6">
        <f t="shared" si="51"/>
        <v>-25850.080000000002</v>
      </c>
      <c r="Y85" s="2"/>
      <c r="Z85" s="7">
        <f t="shared" si="52"/>
        <v>-0.21703183314006225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6">
        <v>996.84</v>
      </c>
      <c r="E86" s="2"/>
      <c r="F86" s="7">
        <f t="shared" si="45"/>
        <v>0</v>
      </c>
      <c r="G86" s="2"/>
      <c r="H86" s="6">
        <v>9057.7800000000007</v>
      </c>
      <c r="I86" s="2"/>
      <c r="J86" s="7">
        <f t="shared" si="46"/>
        <v>1.743834769625419E-2</v>
      </c>
      <c r="K86" s="2"/>
      <c r="L86" s="6">
        <f t="shared" si="47"/>
        <v>-8060.9400000000005</v>
      </c>
      <c r="M86" s="2"/>
      <c r="N86" s="7">
        <f t="shared" si="48"/>
        <v>-0.88994654319270283</v>
      </c>
      <c r="O86" s="11"/>
      <c r="P86" s="6">
        <v>114038.47</v>
      </c>
      <c r="Q86" s="2"/>
      <c r="R86" s="7">
        <f t="shared" si="49"/>
        <v>2.4686096881436755E-2</v>
      </c>
      <c r="S86" s="2"/>
      <c r="T86" s="6">
        <v>148687.20000000001</v>
      </c>
      <c r="U86" s="2"/>
      <c r="V86" s="7">
        <f t="shared" si="50"/>
        <v>2.2228385478366759E-2</v>
      </c>
      <c r="W86" s="2"/>
      <c r="X86" s="6">
        <f t="shared" si="51"/>
        <v>-34648.73000000001</v>
      </c>
      <c r="Y86" s="2"/>
      <c r="Z86" s="7">
        <f t="shared" si="52"/>
        <v>-0.23303102082761668</v>
      </c>
    </row>
    <row r="87" spans="1:26" s="27" customFormat="1" outlineLevel="1" collapsed="1" x14ac:dyDescent="0.25">
      <c r="A87" s="25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SUM(OSRRefD22_17x_0)</f>
        <v>0</v>
      </c>
      <c r="E87" s="1"/>
      <c r="F87" s="5">
        <f t="shared" ref="F87:F89" si="53">IF(D$12=0,0,D87/D$12)</f>
        <v>0</v>
      </c>
      <c r="G87" s="1"/>
      <c r="H87" s="1">
        <f>SUM(OSRRefH22_17x_0)</f>
        <v>111046.37</v>
      </c>
      <c r="I87" s="1"/>
      <c r="J87" s="5">
        <f t="shared" ref="J87:J89" si="54">IF(H$12=0,0,H87/H$12)</f>
        <v>0.21379026764470874</v>
      </c>
      <c r="K87" s="1"/>
      <c r="L87" s="1">
        <f t="shared" ref="L87:L89" si="55">+D87-H87</f>
        <v>-111046.37</v>
      </c>
      <c r="M87" s="1"/>
      <c r="N87" s="5">
        <f t="shared" ref="N87:N89" si="56">IF(H87=0,0,L87/H87)</f>
        <v>-1</v>
      </c>
      <c r="O87" s="13"/>
      <c r="P87" s="1">
        <f>SUM(OSRRefP22_17x_0)</f>
        <v>233763.46999999997</v>
      </c>
      <c r="Q87" s="1"/>
      <c r="R87" s="5">
        <f t="shared" ref="R87:R89" si="57">IF(P$12=0,0,P87/P$12)</f>
        <v>5.0603166350450278E-2</v>
      </c>
      <c r="S87" s="1"/>
      <c r="T87" s="1">
        <f>SUM(OSRRefT22_17x_0)</f>
        <v>436218.01</v>
      </c>
      <c r="U87" s="1"/>
      <c r="V87" s="5">
        <f t="shared" ref="V87:V89" si="58">IF(T$12=0,0,T87/T$12)</f>
        <v>6.5213562962286226E-2</v>
      </c>
      <c r="W87" s="1"/>
      <c r="X87" s="1">
        <f t="shared" ref="X87:X89" si="59">+P87-T87</f>
        <v>-202454.54000000004</v>
      </c>
      <c r="Y87" s="1"/>
      <c r="Z87" s="5">
        <f t="shared" ref="Z87:Z89" si="60">IF(T87=0,0,X87/T87)</f>
        <v>-0.46411320798056926</v>
      </c>
    </row>
    <row r="88" spans="1:26" s="24" customFormat="1" hidden="1" outlineLevel="2" x14ac:dyDescent="0.25">
      <c r="A88" s="26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53"/>
        <v>0</v>
      </c>
      <c r="G88" s="2"/>
      <c r="H88" s="6">
        <v>102898.05</v>
      </c>
      <c r="I88" s="2"/>
      <c r="J88" s="7">
        <f t="shared" si="54"/>
        <v>0.19810284343034917</v>
      </c>
      <c r="K88" s="2"/>
      <c r="L88" s="6">
        <f t="shared" si="55"/>
        <v>-102898.05</v>
      </c>
      <c r="M88" s="2"/>
      <c r="N88" s="7">
        <f t="shared" si="56"/>
        <v>-1</v>
      </c>
      <c r="O88" s="11"/>
      <c r="P88" s="6">
        <v>129093.51</v>
      </c>
      <c r="Q88" s="2"/>
      <c r="R88" s="7">
        <f t="shared" si="57"/>
        <v>2.7945086378524057E-2</v>
      </c>
      <c r="S88" s="2"/>
      <c r="T88" s="6">
        <v>296469.05</v>
      </c>
      <c r="U88" s="2"/>
      <c r="V88" s="7">
        <f t="shared" si="58"/>
        <v>4.4321423268480327E-2</v>
      </c>
      <c r="W88" s="2"/>
      <c r="X88" s="6">
        <f t="shared" si="59"/>
        <v>-167375.53999999998</v>
      </c>
      <c r="Y88" s="2"/>
      <c r="Z88" s="7">
        <f t="shared" si="60"/>
        <v>-0.56456328240671327</v>
      </c>
    </row>
    <row r="89" spans="1:26" s="24" customFormat="1" hidden="1" outlineLevel="2" x14ac:dyDescent="0.25">
      <c r="A89" s="26"/>
      <c r="B89" s="11" t="str">
        <f>CONCATENATE("          ", "6259", " - ", "ROYALTY &amp; COMMISSIONS")</f>
        <v xml:space="preserve">          6259 - ROYALTY &amp; COMMISSIONS</v>
      </c>
      <c r="C89" s="11"/>
      <c r="D89" s="6"/>
      <c r="E89" s="2"/>
      <c r="F89" s="7">
        <f t="shared" si="53"/>
        <v>0</v>
      </c>
      <c r="G89" s="2"/>
      <c r="H89" s="6">
        <v>8148.32</v>
      </c>
      <c r="I89" s="2"/>
      <c r="J89" s="7">
        <f t="shared" si="54"/>
        <v>1.5687424214359581E-2</v>
      </c>
      <c r="K89" s="2"/>
      <c r="L89" s="6">
        <f t="shared" si="55"/>
        <v>-8148.32</v>
      </c>
      <c r="M89" s="2"/>
      <c r="N89" s="7">
        <f t="shared" si="56"/>
        <v>-1</v>
      </c>
      <c r="O89" s="11"/>
      <c r="P89" s="6">
        <v>104669.95999999999</v>
      </c>
      <c r="Q89" s="2"/>
      <c r="R89" s="7">
        <f t="shared" si="57"/>
        <v>2.2658079971926225E-2</v>
      </c>
      <c r="S89" s="2"/>
      <c r="T89" s="6">
        <v>139748.96</v>
      </c>
      <c r="U89" s="2"/>
      <c r="V89" s="7">
        <f t="shared" si="58"/>
        <v>2.0892139693805902E-2</v>
      </c>
      <c r="W89" s="2"/>
      <c r="X89" s="6">
        <f t="shared" si="59"/>
        <v>-35079</v>
      </c>
      <c r="Y89" s="2"/>
      <c r="Z89" s="7">
        <f t="shared" si="60"/>
        <v>-0.2510143903754275</v>
      </c>
    </row>
    <row r="90" spans="1:26" s="27" customFormat="1" outlineLevel="1" collapsed="1" x14ac:dyDescent="0.25">
      <c r="A90" s="25"/>
      <c r="B90" s="13" t="str">
        <f>CONCATENATE("     ","Services                                          ")</f>
        <v xml:space="preserve">     Services                                          </v>
      </c>
      <c r="C90" s="13"/>
      <c r="D90" s="1">
        <f>SUM(OSRRefD22_18x_0)</f>
        <v>5130</v>
      </c>
      <c r="E90" s="1"/>
      <c r="F90" s="5">
        <f t="shared" ref="F90:F95" si="61">IF(D$12=0,0,D90/D$12)</f>
        <v>0</v>
      </c>
      <c r="G90" s="1"/>
      <c r="H90" s="1">
        <f>SUM(OSRRefH22_18x_0)</f>
        <v>30063.48</v>
      </c>
      <c r="I90" s="1"/>
      <c r="J90" s="5">
        <f t="shared" ref="J90:J95" si="62">IF(H$12=0,0,H90/H$12)</f>
        <v>5.7879239416212785E-2</v>
      </c>
      <c r="K90" s="1"/>
      <c r="L90" s="1">
        <f t="shared" ref="L90:L95" si="63">+D90-H90</f>
        <v>-24933.48</v>
      </c>
      <c r="M90" s="1"/>
      <c r="N90" s="5">
        <f t="shared" ref="N90:N95" si="64">IF(H90=0,0,L90/H90)</f>
        <v>-0.82936107197170783</v>
      </c>
      <c r="O90" s="13"/>
      <c r="P90" s="1">
        <f>SUM(OSRRefP22_18x_0)</f>
        <v>217916.03999999998</v>
      </c>
      <c r="Q90" s="1"/>
      <c r="R90" s="5">
        <f t="shared" ref="R90:R95" si="65">IF(P$12=0,0,P90/P$12)</f>
        <v>4.7172646874857636E-2</v>
      </c>
      <c r="S90" s="1"/>
      <c r="T90" s="1">
        <f>SUM(OSRRefT22_18x_0)</f>
        <v>258394.29</v>
      </c>
      <c r="U90" s="1"/>
      <c r="V90" s="5">
        <f t="shared" ref="V90:V95" si="66">IF(T$12=0,0,T90/T$12)</f>
        <v>3.8629336509994734E-2</v>
      </c>
      <c r="W90" s="1"/>
      <c r="X90" s="1">
        <f t="shared" ref="X90:X95" si="67">+P90-T90</f>
        <v>-40478.250000000029</v>
      </c>
      <c r="Y90" s="1"/>
      <c r="Z90" s="5">
        <f t="shared" ref="Z90:Z95" si="68">IF(T90=0,0,X90/T90)</f>
        <v>-0.15665303594750499</v>
      </c>
    </row>
    <row r="91" spans="1:26" s="24" customFormat="1" hidden="1" outlineLevel="2" x14ac:dyDescent="0.25">
      <c r="A91" s="26"/>
      <c r="B91" s="11" t="str">
        <f>CONCATENATE("          ", "6282", " - ", "JANITORIAL/EXTERMINATOR EXPENS")</f>
        <v xml:space="preserve">          6282 - JANITORIAL/EXTERMINATOR EXPENS</v>
      </c>
      <c r="C91" s="11"/>
      <c r="D91" s="6"/>
      <c r="E91" s="2"/>
      <c r="F91" s="7">
        <f t="shared" si="61"/>
        <v>0</v>
      </c>
      <c r="G91" s="2"/>
      <c r="H91" s="6">
        <v>2555.14</v>
      </c>
      <c r="I91" s="2"/>
      <c r="J91" s="7">
        <f t="shared" si="62"/>
        <v>4.9192428754735625E-3</v>
      </c>
      <c r="K91" s="2"/>
      <c r="L91" s="6">
        <f t="shared" si="63"/>
        <v>-2555.14</v>
      </c>
      <c r="M91" s="2"/>
      <c r="N91" s="7">
        <f t="shared" si="64"/>
        <v>-1</v>
      </c>
      <c r="O91" s="11"/>
      <c r="P91" s="6">
        <v>12678.74</v>
      </c>
      <c r="Q91" s="2"/>
      <c r="R91" s="7">
        <f t="shared" si="65"/>
        <v>2.7445878919153109E-3</v>
      </c>
      <c r="S91" s="2"/>
      <c r="T91" s="6">
        <v>14009.35</v>
      </c>
      <c r="U91" s="2"/>
      <c r="V91" s="7">
        <f t="shared" si="66"/>
        <v>2.0943647610645526E-3</v>
      </c>
      <c r="W91" s="2"/>
      <c r="X91" s="6">
        <f t="shared" si="67"/>
        <v>-1330.6100000000006</v>
      </c>
      <c r="Y91" s="2"/>
      <c r="Z91" s="7">
        <f t="shared" si="68"/>
        <v>-9.4980138264801756E-2</v>
      </c>
    </row>
    <row r="92" spans="1:26" s="24" customFormat="1" hidden="1" outlineLevel="2" x14ac:dyDescent="0.25">
      <c r="A92" s="26"/>
      <c r="B92" s="11" t="str">
        <f>CONCATENATE("          ", "6283", " - ", "PLANT SERVICE")</f>
        <v xml:space="preserve">          6283 - PLANT SERVICE</v>
      </c>
      <c r="C92" s="11"/>
      <c r="D92" s="6"/>
      <c r="E92" s="2"/>
      <c r="F92" s="7">
        <f t="shared" si="61"/>
        <v>0</v>
      </c>
      <c r="G92" s="2"/>
      <c r="H92" s="6">
        <v>176</v>
      </c>
      <c r="I92" s="2"/>
      <c r="J92" s="7">
        <f t="shared" si="62"/>
        <v>3.388412165608722E-4</v>
      </c>
      <c r="K92" s="2"/>
      <c r="L92" s="6">
        <f t="shared" si="63"/>
        <v>-176</v>
      </c>
      <c r="M92" s="2"/>
      <c r="N92" s="7">
        <f t="shared" si="64"/>
        <v>-1</v>
      </c>
      <c r="O92" s="11"/>
      <c r="P92" s="6">
        <v>1798.02</v>
      </c>
      <c r="Q92" s="2"/>
      <c r="R92" s="7">
        <f t="shared" si="65"/>
        <v>3.8922037374546423E-4</v>
      </c>
      <c r="S92" s="2"/>
      <c r="T92" s="6">
        <v>1936</v>
      </c>
      <c r="U92" s="2"/>
      <c r="V92" s="7">
        <f t="shared" si="66"/>
        <v>2.8942743078165468E-4</v>
      </c>
      <c r="W92" s="2"/>
      <c r="X92" s="6">
        <f t="shared" si="67"/>
        <v>-137.98000000000002</v>
      </c>
      <c r="Y92" s="2"/>
      <c r="Z92" s="7">
        <f t="shared" si="68"/>
        <v>-7.1270661157024809E-2</v>
      </c>
    </row>
    <row r="93" spans="1:26" s="24" customFormat="1" hidden="1" outlineLevel="2" x14ac:dyDescent="0.25">
      <c r="A93" s="26"/>
      <c r="B93" s="11" t="str">
        <f>CONCATENATE("          ", "6284", " - ", "TRASH REMOVAL EXPENSE")</f>
        <v xml:space="preserve">          6284 - TRASH REMOVAL EXPENSE</v>
      </c>
      <c r="C93" s="11"/>
      <c r="D93" s="6">
        <v>5130</v>
      </c>
      <c r="E93" s="2"/>
      <c r="F93" s="7">
        <f t="shared" si="61"/>
        <v>0</v>
      </c>
      <c r="G93" s="2"/>
      <c r="H93" s="6">
        <v>4199</v>
      </c>
      <c r="I93" s="2"/>
      <c r="J93" s="7">
        <f t="shared" si="62"/>
        <v>8.0840583428358082E-3</v>
      </c>
      <c r="K93" s="2"/>
      <c r="L93" s="6">
        <f t="shared" si="63"/>
        <v>931</v>
      </c>
      <c r="M93" s="2"/>
      <c r="N93" s="7">
        <f t="shared" si="64"/>
        <v>0.22171945701357465</v>
      </c>
      <c r="O93" s="11"/>
      <c r="P93" s="6">
        <v>48541</v>
      </c>
      <c r="Q93" s="2"/>
      <c r="R93" s="7">
        <f t="shared" si="65"/>
        <v>1.0507750838132268E-2</v>
      </c>
      <c r="S93" s="2"/>
      <c r="T93" s="6">
        <v>54978.270000000004</v>
      </c>
      <c r="U93" s="2"/>
      <c r="V93" s="7">
        <f t="shared" si="66"/>
        <v>8.2191216089463441E-3</v>
      </c>
      <c r="W93" s="2"/>
      <c r="X93" s="6">
        <f t="shared" si="67"/>
        <v>-6437.2700000000041</v>
      </c>
      <c r="Y93" s="2"/>
      <c r="Z93" s="7">
        <f t="shared" si="68"/>
        <v>-0.11708753294710808</v>
      </c>
    </row>
    <row r="94" spans="1:26" s="24" customFormat="1" hidden="1" outlineLevel="2" x14ac:dyDescent="0.25">
      <c r="A94" s="26"/>
      <c r="B94" s="11" t="str">
        <f>CONCATENATE("          ", "6285", " - ", "JANITORIAL SERVICES")</f>
        <v xml:space="preserve">          6285 - JANITORIAL SERVICES</v>
      </c>
      <c r="C94" s="11"/>
      <c r="D94" s="6"/>
      <c r="E94" s="2"/>
      <c r="F94" s="7">
        <f t="shared" si="61"/>
        <v>0</v>
      </c>
      <c r="G94" s="2"/>
      <c r="H94" s="6">
        <v>17123.46</v>
      </c>
      <c r="I94" s="2"/>
      <c r="J94" s="7">
        <f t="shared" si="62"/>
        <v>3.2966670557564956E-2</v>
      </c>
      <c r="K94" s="2"/>
      <c r="L94" s="6">
        <f t="shared" si="63"/>
        <v>-17123.46</v>
      </c>
      <c r="M94" s="2"/>
      <c r="N94" s="7">
        <f t="shared" si="64"/>
        <v>-1</v>
      </c>
      <c r="O94" s="11"/>
      <c r="P94" s="6">
        <v>127887.66999999998</v>
      </c>
      <c r="Q94" s="2"/>
      <c r="R94" s="7">
        <f t="shared" si="65"/>
        <v>2.7684056192276273E-2</v>
      </c>
      <c r="S94" s="2"/>
      <c r="T94" s="6">
        <v>145190.38999999998</v>
      </c>
      <c r="U94" s="2"/>
      <c r="V94" s="7">
        <f t="shared" si="66"/>
        <v>2.1705620636304979E-2</v>
      </c>
      <c r="W94" s="2"/>
      <c r="X94" s="6">
        <f t="shared" si="67"/>
        <v>-17302.72</v>
      </c>
      <c r="Y94" s="2"/>
      <c r="Z94" s="7">
        <f t="shared" si="68"/>
        <v>-0.11917262568135538</v>
      </c>
    </row>
    <row r="95" spans="1:26" s="24" customFormat="1" hidden="1" outlineLevel="2" x14ac:dyDescent="0.25">
      <c r="A95" s="26"/>
      <c r="B95" s="11" t="str">
        <f>CONCATENATE("          ", "6286", " - ", "LAUNDRY EXPENSE")</f>
        <v xml:space="preserve">          6286 - LAUNDRY EXPENSE</v>
      </c>
      <c r="C95" s="11"/>
      <c r="D95" s="6"/>
      <c r="E95" s="2"/>
      <c r="F95" s="7">
        <f t="shared" si="61"/>
        <v>0</v>
      </c>
      <c r="G95" s="2"/>
      <c r="H95" s="6">
        <v>6009.88</v>
      </c>
      <c r="I95" s="2"/>
      <c r="J95" s="7">
        <f t="shared" si="62"/>
        <v>1.1570426423777582E-2</v>
      </c>
      <c r="K95" s="2"/>
      <c r="L95" s="6">
        <f t="shared" si="63"/>
        <v>-6009.88</v>
      </c>
      <c r="M95" s="2"/>
      <c r="N95" s="7">
        <f t="shared" si="64"/>
        <v>-1</v>
      </c>
      <c r="O95" s="11"/>
      <c r="P95" s="6">
        <v>27010.609999999997</v>
      </c>
      <c r="Q95" s="2"/>
      <c r="R95" s="7">
        <f t="shared" si="65"/>
        <v>5.8470315787883184E-3</v>
      </c>
      <c r="S95" s="2"/>
      <c r="T95" s="6">
        <v>42280.28</v>
      </c>
      <c r="U95" s="2"/>
      <c r="V95" s="7">
        <f t="shared" si="66"/>
        <v>6.3208020728971991E-3</v>
      </c>
      <c r="W95" s="2"/>
      <c r="X95" s="6">
        <f t="shared" si="67"/>
        <v>-15269.670000000002</v>
      </c>
      <c r="Y95" s="2"/>
      <c r="Z95" s="7">
        <f t="shared" si="68"/>
        <v>-0.361153473912661</v>
      </c>
    </row>
    <row r="96" spans="1:26" s="27" customFormat="1" outlineLevel="1" collapsed="1" x14ac:dyDescent="0.25">
      <c r="A96" s="25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SUM(OSRRefD22_19x_0)</f>
        <v>0</v>
      </c>
      <c r="E96" s="1"/>
      <c r="F96" s="5">
        <f t="shared" ref="F96:F98" si="69">IF(D$12=0,0,D96/D$12)</f>
        <v>0</v>
      </c>
      <c r="G96" s="1"/>
      <c r="H96" s="1">
        <f>SUM(OSRRefH22_19x_0)</f>
        <v>393.42</v>
      </c>
      <c r="I96" s="1"/>
      <c r="J96" s="5">
        <f t="shared" ref="J96:J98" si="70">IF(H$12=0,0,H96/H$12)</f>
        <v>7.5742563306464969E-4</v>
      </c>
      <c r="K96" s="1"/>
      <c r="L96" s="1">
        <f t="shared" ref="L96:L98" si="71">+D96-H96</f>
        <v>-393.42</v>
      </c>
      <c r="M96" s="1"/>
      <c r="N96" s="5">
        <f t="shared" ref="N96:N98" si="72">IF(H96=0,0,L96/H96)</f>
        <v>-1</v>
      </c>
      <c r="O96" s="13"/>
      <c r="P96" s="1">
        <f>SUM(OSRRefP22_19x_0)</f>
        <v>7300.55</v>
      </c>
      <c r="Q96" s="1"/>
      <c r="R96" s="5">
        <f t="shared" ref="R96:R98" si="73">IF(P$12=0,0,P96/P$12)</f>
        <v>1.5803621759198725E-3</v>
      </c>
      <c r="S96" s="1"/>
      <c r="T96" s="1">
        <f>SUM(OSRRefT22_19x_0)</f>
        <v>5200.5600000000004</v>
      </c>
      <c r="U96" s="1"/>
      <c r="V96" s="5">
        <f t="shared" ref="V96:V98" si="74">IF(T$12=0,0,T96/T$12)</f>
        <v>7.7747144598442253E-4</v>
      </c>
      <c r="W96" s="1"/>
      <c r="X96" s="1">
        <f t="shared" ref="X96:X98" si="75">+P96-T96</f>
        <v>2099.9899999999998</v>
      </c>
      <c r="Y96" s="1"/>
      <c r="Z96" s="5">
        <f t="shared" ref="Z96:Z98" si="76">IF(T96=0,0,X96/T96)</f>
        <v>0.40380074453520381</v>
      </c>
    </row>
    <row r="97" spans="1:26" s="24" customFormat="1" hidden="1" outlineLevel="2" x14ac:dyDescent="0.25">
      <c r="A97" s="26"/>
      <c r="B97" s="11" t="str">
        <f>CONCATENATE("          ", "6258", " - ", "MEMBERSHIP DUES")</f>
        <v xml:space="preserve">          6258 - MEMBERSHIP DUES</v>
      </c>
      <c r="C97" s="11"/>
      <c r="D97" s="6"/>
      <c r="E97" s="2"/>
      <c r="F97" s="7">
        <f t="shared" si="69"/>
        <v>0</v>
      </c>
      <c r="G97" s="2"/>
      <c r="H97" s="6"/>
      <c r="I97" s="2"/>
      <c r="J97" s="7">
        <f t="shared" si="70"/>
        <v>0</v>
      </c>
      <c r="K97" s="2"/>
      <c r="L97" s="6">
        <f t="shared" si="71"/>
        <v>0</v>
      </c>
      <c r="M97" s="2"/>
      <c r="N97" s="7">
        <f t="shared" si="72"/>
        <v>0</v>
      </c>
      <c r="O97" s="11"/>
      <c r="P97" s="6">
        <v>3730</v>
      </c>
      <c r="Q97" s="2"/>
      <c r="R97" s="7">
        <f t="shared" si="73"/>
        <v>8.0743929103713067E-4</v>
      </c>
      <c r="S97" s="2"/>
      <c r="T97" s="6"/>
      <c r="U97" s="2"/>
      <c r="V97" s="7">
        <f t="shared" si="74"/>
        <v>0</v>
      </c>
      <c r="W97" s="2"/>
      <c r="X97" s="6">
        <f t="shared" si="75"/>
        <v>3730</v>
      </c>
      <c r="Y97" s="2"/>
      <c r="Z97" s="7">
        <f t="shared" si="76"/>
        <v>0</v>
      </c>
    </row>
    <row r="98" spans="1:26" s="24" customFormat="1" hidden="1" outlineLevel="2" x14ac:dyDescent="0.25">
      <c r="A98" s="26"/>
      <c r="B98" s="11" t="str">
        <f>CONCATENATE("          ", "6275", " - ", "SUBSCRIPTIONS")</f>
        <v xml:space="preserve">          6275 - SUBSCRIPTIONS</v>
      </c>
      <c r="C98" s="11"/>
      <c r="D98" s="6"/>
      <c r="E98" s="2"/>
      <c r="F98" s="7">
        <f t="shared" si="69"/>
        <v>0</v>
      </c>
      <c r="G98" s="2"/>
      <c r="H98" s="6">
        <v>393.42</v>
      </c>
      <c r="I98" s="2"/>
      <c r="J98" s="7">
        <f t="shared" si="70"/>
        <v>7.5742563306464969E-4</v>
      </c>
      <c r="K98" s="2"/>
      <c r="L98" s="6">
        <f t="shared" si="71"/>
        <v>-393.42</v>
      </c>
      <c r="M98" s="2"/>
      <c r="N98" s="7">
        <f t="shared" si="72"/>
        <v>-1</v>
      </c>
      <c r="O98" s="11"/>
      <c r="P98" s="6">
        <v>3570.55</v>
      </c>
      <c r="Q98" s="2"/>
      <c r="R98" s="7">
        <f t="shared" si="73"/>
        <v>7.7292288488274184E-4</v>
      </c>
      <c r="S98" s="2"/>
      <c r="T98" s="6">
        <v>5200.5600000000004</v>
      </c>
      <c r="U98" s="2"/>
      <c r="V98" s="7">
        <f t="shared" si="74"/>
        <v>7.7747144598442253E-4</v>
      </c>
      <c r="W98" s="2"/>
      <c r="X98" s="6">
        <f t="shared" si="75"/>
        <v>-1630.0100000000002</v>
      </c>
      <c r="Y98" s="2"/>
      <c r="Z98" s="7">
        <f t="shared" si="76"/>
        <v>-0.31342970756995403</v>
      </c>
    </row>
    <row r="99" spans="1:26" s="27" customFormat="1" outlineLevel="1" collapsed="1" x14ac:dyDescent="0.25">
      <c r="A99" s="25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SUM(OSRRefD22_20x_0)</f>
        <v>1142.1799999999998</v>
      </c>
      <c r="E99" s="1"/>
      <c r="F99" s="5">
        <f t="shared" ref="F99:F109" si="77">IF(D$12=0,0,D99/D$12)</f>
        <v>0</v>
      </c>
      <c r="G99" s="1"/>
      <c r="H99" s="1">
        <f>SUM(OSRRefH22_20x_0)</f>
        <v>24187.74</v>
      </c>
      <c r="I99" s="1"/>
      <c r="J99" s="5">
        <f t="shared" ref="J99:J109" si="78">IF(H$12=0,0,H99/H$12)</f>
        <v>4.6567063906011771E-2</v>
      </c>
      <c r="K99" s="1"/>
      <c r="L99" s="1">
        <f t="shared" ref="L99:L109" si="79">+D99-H99</f>
        <v>-23045.56</v>
      </c>
      <c r="M99" s="1"/>
      <c r="N99" s="5">
        <f t="shared" ref="N99:N109" si="80">IF(H99=0,0,L99/H99)</f>
        <v>-0.95277855640915599</v>
      </c>
      <c r="O99" s="13"/>
      <c r="P99" s="1">
        <f>SUM(OSRRefP22_20x_0)</f>
        <v>168942.98</v>
      </c>
      <c r="Q99" s="1"/>
      <c r="R99" s="5">
        <f t="shared" ref="R99:R109" si="81">IF(P$12=0,0,P99/P$12)</f>
        <v>3.6571367291394138E-2</v>
      </c>
      <c r="S99" s="1"/>
      <c r="T99" s="1">
        <f>SUM(OSRRefT22_20x_0)</f>
        <v>213225.44000000003</v>
      </c>
      <c r="U99" s="1"/>
      <c r="V99" s="5">
        <f t="shared" ref="V99:V109" si="82">IF(T$12=0,0,T99/T$12)</f>
        <v>3.1876700039508196E-2</v>
      </c>
      <c r="W99" s="1"/>
      <c r="X99" s="1">
        <f t="shared" ref="X99:X109" si="83">+P99-T99</f>
        <v>-44282.460000000021</v>
      </c>
      <c r="Y99" s="1"/>
      <c r="Z99" s="5">
        <f t="shared" ref="Z99:Z109" si="84">IF(T99=0,0,X99/T99)</f>
        <v>-0.20767906493709201</v>
      </c>
    </row>
    <row r="100" spans="1:26" s="24" customFormat="1" hidden="1" outlineLevel="2" x14ac:dyDescent="0.25">
      <c r="A100" s="26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/>
      <c r="E100" s="2"/>
      <c r="F100" s="7">
        <f t="shared" si="77"/>
        <v>0</v>
      </c>
      <c r="G100" s="2"/>
      <c r="H100" s="6">
        <v>206.32</v>
      </c>
      <c r="I100" s="2"/>
      <c r="J100" s="7">
        <f t="shared" si="78"/>
        <v>3.972143170502224E-4</v>
      </c>
      <c r="K100" s="2"/>
      <c r="L100" s="6">
        <f t="shared" si="79"/>
        <v>-206.32</v>
      </c>
      <c r="M100" s="2"/>
      <c r="N100" s="7">
        <f t="shared" si="80"/>
        <v>-1</v>
      </c>
      <c r="O100" s="11"/>
      <c r="P100" s="6">
        <v>14686.49</v>
      </c>
      <c r="Q100" s="2"/>
      <c r="R100" s="7">
        <f t="shared" si="81"/>
        <v>3.1792088668696804E-3</v>
      </c>
      <c r="S100" s="2"/>
      <c r="T100" s="6">
        <v>7943.21</v>
      </c>
      <c r="U100" s="2"/>
      <c r="V100" s="7">
        <f t="shared" si="82"/>
        <v>1.1874911479644356E-3</v>
      </c>
      <c r="W100" s="2"/>
      <c r="X100" s="6">
        <f t="shared" si="83"/>
        <v>6743.28</v>
      </c>
      <c r="Y100" s="2"/>
      <c r="Z100" s="7">
        <f t="shared" si="84"/>
        <v>0.84893638717848319</v>
      </c>
    </row>
    <row r="101" spans="1:26" s="24" customFormat="1" hidden="1" outlineLevel="2" x14ac:dyDescent="0.25">
      <c r="A101" s="26"/>
      <c r="B101" s="11" t="str">
        <f>CONCATENATE("          ", "6235", " - ", "COVID-19 EXPENSES")</f>
        <v xml:space="preserve">          6235 - COVID-19 EXPENSES</v>
      </c>
      <c r="C101" s="11"/>
      <c r="D101" s="6">
        <v>1095.08</v>
      </c>
      <c r="E101" s="2"/>
      <c r="F101" s="7">
        <f t="shared" si="77"/>
        <v>0</v>
      </c>
      <c r="G101" s="2"/>
      <c r="H101" s="6"/>
      <c r="I101" s="2"/>
      <c r="J101" s="7">
        <f t="shared" si="78"/>
        <v>0</v>
      </c>
      <c r="K101" s="2"/>
      <c r="L101" s="6">
        <f t="shared" si="79"/>
        <v>1095.08</v>
      </c>
      <c r="M101" s="2"/>
      <c r="N101" s="7">
        <f t="shared" si="80"/>
        <v>0</v>
      </c>
      <c r="O101" s="11"/>
      <c r="P101" s="6">
        <v>1095.08</v>
      </c>
      <c r="Q101" s="2"/>
      <c r="R101" s="7">
        <f t="shared" si="81"/>
        <v>2.3705378520883134E-4</v>
      </c>
      <c r="S101" s="2"/>
      <c r="T101" s="6"/>
      <c r="U101" s="2"/>
      <c r="V101" s="7">
        <f t="shared" si="82"/>
        <v>0</v>
      </c>
      <c r="W101" s="2"/>
      <c r="X101" s="6">
        <f t="shared" si="83"/>
        <v>1095.08</v>
      </c>
      <c r="Y101" s="2"/>
      <c r="Z101" s="7">
        <f t="shared" si="84"/>
        <v>0</v>
      </c>
    </row>
    <row r="102" spans="1:26" s="24" customFormat="1" hidden="1" outlineLevel="2" x14ac:dyDescent="0.25">
      <c r="A102" s="26"/>
      <c r="B102" s="11" t="str">
        <f>CONCATENATE("          ", "6237", " - ", "JANITORIAL SUPPLIES")</f>
        <v xml:space="preserve">          6237 - JANITORIAL SUPPLIES</v>
      </c>
      <c r="C102" s="11"/>
      <c r="D102" s="6">
        <v>47.1</v>
      </c>
      <c r="E102" s="2"/>
      <c r="F102" s="7">
        <f t="shared" si="77"/>
        <v>0</v>
      </c>
      <c r="G102" s="2"/>
      <c r="H102" s="6">
        <v>1597.33</v>
      </c>
      <c r="I102" s="2"/>
      <c r="J102" s="7">
        <f t="shared" si="78"/>
        <v>3.0752343207339655E-3</v>
      </c>
      <c r="K102" s="2"/>
      <c r="L102" s="6">
        <f t="shared" si="79"/>
        <v>-1550.23</v>
      </c>
      <c r="M102" s="2"/>
      <c r="N102" s="7">
        <f t="shared" si="80"/>
        <v>-0.97051329405946174</v>
      </c>
      <c r="O102" s="11"/>
      <c r="P102" s="6">
        <v>48480.700000000004</v>
      </c>
      <c r="Q102" s="2"/>
      <c r="R102" s="7">
        <f t="shared" si="81"/>
        <v>1.04946975970466E-2</v>
      </c>
      <c r="S102" s="2"/>
      <c r="T102" s="6">
        <v>50711.67</v>
      </c>
      <c r="U102" s="2"/>
      <c r="V102" s="7">
        <f t="shared" si="82"/>
        <v>7.5812749786916909E-3</v>
      </c>
      <c r="W102" s="2"/>
      <c r="X102" s="6">
        <f t="shared" si="83"/>
        <v>-2230.9699999999939</v>
      </c>
      <c r="Y102" s="2"/>
      <c r="Z102" s="7">
        <f t="shared" si="84"/>
        <v>-4.3993226805585262E-2</v>
      </c>
    </row>
    <row r="103" spans="1:26" s="24" customFormat="1" hidden="1" outlineLevel="2" x14ac:dyDescent="0.25">
      <c r="A103" s="26"/>
      <c r="B103" s="11" t="str">
        <f>CONCATENATE("          ", "6239", " - ", "KITCHEN SUPPLIES")</f>
        <v xml:space="preserve">          6239 - KITCHEN SUPPLIES</v>
      </c>
      <c r="C103" s="11"/>
      <c r="D103" s="6"/>
      <c r="E103" s="2"/>
      <c r="F103" s="7">
        <f t="shared" si="77"/>
        <v>0</v>
      </c>
      <c r="G103" s="2"/>
      <c r="H103" s="6">
        <v>13493.11</v>
      </c>
      <c r="I103" s="2"/>
      <c r="J103" s="7">
        <f t="shared" si="78"/>
        <v>2.5977396634032219E-2</v>
      </c>
      <c r="K103" s="2"/>
      <c r="L103" s="6">
        <f t="shared" si="79"/>
        <v>-13493.11</v>
      </c>
      <c r="M103" s="2"/>
      <c r="N103" s="7">
        <f t="shared" si="80"/>
        <v>-1</v>
      </c>
      <c r="O103" s="11"/>
      <c r="P103" s="6">
        <v>45525.630000000005</v>
      </c>
      <c r="Q103" s="2"/>
      <c r="R103" s="7">
        <f t="shared" si="81"/>
        <v>9.8550086893347804E-3</v>
      </c>
      <c r="S103" s="2"/>
      <c r="T103" s="6">
        <v>59934</v>
      </c>
      <c r="U103" s="2"/>
      <c r="V103" s="7">
        <f t="shared" si="82"/>
        <v>8.9599915477622371E-3</v>
      </c>
      <c r="W103" s="2"/>
      <c r="X103" s="6">
        <f t="shared" si="83"/>
        <v>-14408.369999999995</v>
      </c>
      <c r="Y103" s="2"/>
      <c r="Z103" s="7">
        <f t="shared" si="84"/>
        <v>-0.24040394433877257</v>
      </c>
    </row>
    <row r="104" spans="1:26" s="24" customFormat="1" hidden="1" outlineLevel="2" x14ac:dyDescent="0.25">
      <c r="A104" s="26"/>
      <c r="B104" s="11" t="str">
        <f>CONCATENATE("          ", "6241", " - ", "OFFICE EXPENSE")</f>
        <v xml:space="preserve">          6241 - OFFICE EXPENSE</v>
      </c>
      <c r="C104" s="11"/>
      <c r="D104" s="6">
        <v>0</v>
      </c>
      <c r="E104" s="2"/>
      <c r="F104" s="7">
        <f t="shared" si="77"/>
        <v>0</v>
      </c>
      <c r="G104" s="2"/>
      <c r="H104" s="6">
        <v>4375.49</v>
      </c>
      <c r="I104" s="2"/>
      <c r="J104" s="7">
        <f t="shared" si="78"/>
        <v>8.4238429241473324E-3</v>
      </c>
      <c r="K104" s="2"/>
      <c r="L104" s="6">
        <f t="shared" si="79"/>
        <v>-4375.49</v>
      </c>
      <c r="M104" s="2"/>
      <c r="N104" s="7">
        <f t="shared" si="80"/>
        <v>-1</v>
      </c>
      <c r="O104" s="11"/>
      <c r="P104" s="6">
        <v>17759.070000000003</v>
      </c>
      <c r="Q104" s="2"/>
      <c r="R104" s="7">
        <f t="shared" si="81"/>
        <v>3.8443353593240691E-3</v>
      </c>
      <c r="S104" s="2"/>
      <c r="T104" s="6">
        <v>27446.2</v>
      </c>
      <c r="U104" s="2"/>
      <c r="V104" s="7">
        <f t="shared" si="82"/>
        <v>4.103142123305501E-3</v>
      </c>
      <c r="W104" s="2"/>
      <c r="X104" s="6">
        <f t="shared" si="83"/>
        <v>-9687.1299999999974</v>
      </c>
      <c r="Y104" s="2"/>
      <c r="Z104" s="7">
        <f t="shared" si="84"/>
        <v>-0.35294977082437629</v>
      </c>
    </row>
    <row r="105" spans="1:26" s="24" customFormat="1" hidden="1" outlineLevel="2" x14ac:dyDescent="0.25">
      <c r="A105" s="26"/>
      <c r="B105" s="11" t="str">
        <f>CONCATENATE("          ", "6243", " - ", "PAPER SUPPLIES")</f>
        <v xml:space="preserve">          6243 - PAPER SUPPLIES</v>
      </c>
      <c r="C105" s="11"/>
      <c r="D105" s="6"/>
      <c r="E105" s="2"/>
      <c r="F105" s="7">
        <f t="shared" si="77"/>
        <v>0</v>
      </c>
      <c r="G105" s="2"/>
      <c r="H105" s="6">
        <v>3802.11</v>
      </c>
      <c r="I105" s="2"/>
      <c r="J105" s="7">
        <f t="shared" si="78"/>
        <v>7.3199521471491924E-3</v>
      </c>
      <c r="K105" s="2"/>
      <c r="L105" s="6">
        <f t="shared" si="79"/>
        <v>-3802.11</v>
      </c>
      <c r="M105" s="2"/>
      <c r="N105" s="7">
        <f t="shared" si="80"/>
        <v>-1</v>
      </c>
      <c r="O105" s="11"/>
      <c r="P105" s="6">
        <v>29152.85</v>
      </c>
      <c r="Q105" s="2"/>
      <c r="R105" s="7">
        <f t="shared" si="81"/>
        <v>6.3107658272685821E-3</v>
      </c>
      <c r="S105" s="2"/>
      <c r="T105" s="6">
        <v>48632.65</v>
      </c>
      <c r="U105" s="2"/>
      <c r="V105" s="7">
        <f t="shared" si="82"/>
        <v>7.2704663954563211E-3</v>
      </c>
      <c r="W105" s="2"/>
      <c r="X105" s="6">
        <f t="shared" si="83"/>
        <v>-19479.800000000003</v>
      </c>
      <c r="Y105" s="2"/>
      <c r="Z105" s="7">
        <f t="shared" si="84"/>
        <v>-0.40054983637535696</v>
      </c>
    </row>
    <row r="106" spans="1:26" s="24" customFormat="1" hidden="1" outlineLevel="2" x14ac:dyDescent="0.25">
      <c r="A106" s="26"/>
      <c r="B106" s="11" t="str">
        <f>CONCATENATE("          ", "6245", " - ", "PRINTING")</f>
        <v xml:space="preserve">          6245 - PRINTING</v>
      </c>
      <c r="C106" s="11"/>
      <c r="D106" s="6"/>
      <c r="E106" s="2"/>
      <c r="F106" s="7">
        <f t="shared" si="77"/>
        <v>0</v>
      </c>
      <c r="G106" s="2"/>
      <c r="H106" s="6"/>
      <c r="I106" s="2"/>
      <c r="J106" s="7">
        <f t="shared" si="78"/>
        <v>0</v>
      </c>
      <c r="K106" s="2"/>
      <c r="L106" s="6">
        <f t="shared" si="79"/>
        <v>0</v>
      </c>
      <c r="M106" s="2"/>
      <c r="N106" s="7">
        <f t="shared" si="80"/>
        <v>0</v>
      </c>
      <c r="O106" s="11"/>
      <c r="P106" s="6">
        <v>531.28</v>
      </c>
      <c r="Q106" s="2"/>
      <c r="R106" s="7">
        <f t="shared" si="81"/>
        <v>1.1500706341614121E-4</v>
      </c>
      <c r="S106" s="2"/>
      <c r="T106" s="6">
        <v>292.39</v>
      </c>
      <c r="U106" s="2"/>
      <c r="V106" s="7">
        <f t="shared" si="82"/>
        <v>4.3711614920582643E-5</v>
      </c>
      <c r="W106" s="2"/>
      <c r="X106" s="6">
        <f t="shared" si="83"/>
        <v>238.89</v>
      </c>
      <c r="Y106" s="2"/>
      <c r="Z106" s="7">
        <f t="shared" si="84"/>
        <v>0.81702520606039875</v>
      </c>
    </row>
    <row r="107" spans="1:26" s="24" customFormat="1" hidden="1" outlineLevel="2" x14ac:dyDescent="0.25">
      <c r="A107" s="26"/>
      <c r="B107" s="11" t="str">
        <f>CONCATENATE("          ", "6246", " - ", "REPLACEMENTS")</f>
        <v xml:space="preserve">          6246 - REPLACEMENTS</v>
      </c>
      <c r="C107" s="11"/>
      <c r="D107" s="6"/>
      <c r="E107" s="2"/>
      <c r="F107" s="7">
        <f t="shared" si="77"/>
        <v>0</v>
      </c>
      <c r="G107" s="2"/>
      <c r="H107" s="6"/>
      <c r="I107" s="2"/>
      <c r="J107" s="7">
        <f t="shared" si="78"/>
        <v>0</v>
      </c>
      <c r="K107" s="2"/>
      <c r="L107" s="6">
        <f t="shared" si="79"/>
        <v>0</v>
      </c>
      <c r="M107" s="2"/>
      <c r="N107" s="7">
        <f t="shared" si="80"/>
        <v>0</v>
      </c>
      <c r="O107" s="11"/>
      <c r="P107" s="6">
        <v>25.87</v>
      </c>
      <c r="Q107" s="2"/>
      <c r="R107" s="7">
        <f t="shared" si="81"/>
        <v>5.600121838909E-6</v>
      </c>
      <c r="S107" s="2"/>
      <c r="T107" s="6"/>
      <c r="U107" s="2"/>
      <c r="V107" s="7">
        <f t="shared" si="82"/>
        <v>0</v>
      </c>
      <c r="W107" s="2"/>
      <c r="X107" s="6">
        <f t="shared" si="83"/>
        <v>25.87</v>
      </c>
      <c r="Y107" s="2"/>
      <c r="Z107" s="7">
        <f t="shared" si="84"/>
        <v>0</v>
      </c>
    </row>
    <row r="108" spans="1:26" s="24" customFormat="1" hidden="1" outlineLevel="2" x14ac:dyDescent="0.25">
      <c r="A108" s="26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77"/>
        <v>0</v>
      </c>
      <c r="G108" s="2"/>
      <c r="H108" s="6">
        <v>108.56</v>
      </c>
      <c r="I108" s="2"/>
      <c r="J108" s="7">
        <f t="shared" si="78"/>
        <v>2.0900342312413797E-4</v>
      </c>
      <c r="K108" s="2"/>
      <c r="L108" s="6">
        <f t="shared" si="79"/>
        <v>-108.56</v>
      </c>
      <c r="M108" s="2"/>
      <c r="N108" s="7">
        <f t="shared" si="80"/>
        <v>-1</v>
      </c>
      <c r="O108" s="11"/>
      <c r="P108" s="6">
        <v>6962.12</v>
      </c>
      <c r="Q108" s="2"/>
      <c r="R108" s="7">
        <f t="shared" si="81"/>
        <v>1.507101672095289E-3</v>
      </c>
      <c r="S108" s="2"/>
      <c r="T108" s="6">
        <v>8490.2900000000009</v>
      </c>
      <c r="U108" s="2"/>
      <c r="V108" s="7">
        <f t="shared" si="82"/>
        <v>1.2692783167826318E-3</v>
      </c>
      <c r="W108" s="2"/>
      <c r="X108" s="6">
        <f t="shared" si="83"/>
        <v>-1528.170000000001</v>
      </c>
      <c r="Y108" s="2"/>
      <c r="Z108" s="7">
        <f t="shared" si="84"/>
        <v>-0.17999031835190563</v>
      </c>
    </row>
    <row r="109" spans="1:26" s="24" customFormat="1" hidden="1" outlineLevel="2" x14ac:dyDescent="0.25">
      <c r="A109" s="26"/>
      <c r="B109" s="11" t="str">
        <f>CONCATENATE("          ", "6248", " - ", "UNIFORMS")</f>
        <v xml:space="preserve">          6248 - UNIFORMS</v>
      </c>
      <c r="C109" s="11"/>
      <c r="D109" s="6"/>
      <c r="E109" s="2"/>
      <c r="F109" s="7">
        <f t="shared" si="77"/>
        <v>0</v>
      </c>
      <c r="G109" s="2"/>
      <c r="H109" s="6">
        <v>604.82000000000005</v>
      </c>
      <c r="I109" s="2"/>
      <c r="J109" s="7">
        <f t="shared" si="78"/>
        <v>1.1644201397746975E-3</v>
      </c>
      <c r="K109" s="2"/>
      <c r="L109" s="6">
        <f t="shared" si="79"/>
        <v>-604.82000000000005</v>
      </c>
      <c r="M109" s="2"/>
      <c r="N109" s="7">
        <f t="shared" si="80"/>
        <v>-1</v>
      </c>
      <c r="O109" s="11"/>
      <c r="P109" s="6">
        <v>4723.8900000000003</v>
      </c>
      <c r="Q109" s="2"/>
      <c r="R109" s="7">
        <f t="shared" si="81"/>
        <v>1.0225883089912578E-3</v>
      </c>
      <c r="S109" s="2"/>
      <c r="T109" s="6">
        <v>9775.0300000000007</v>
      </c>
      <c r="U109" s="2"/>
      <c r="V109" s="7">
        <f t="shared" si="82"/>
        <v>1.4613439146247923E-3</v>
      </c>
      <c r="W109" s="2"/>
      <c r="X109" s="6">
        <f t="shared" si="83"/>
        <v>-5051.1400000000003</v>
      </c>
      <c r="Y109" s="2"/>
      <c r="Z109" s="7">
        <f t="shared" si="84"/>
        <v>-0.51673907906164995</v>
      </c>
    </row>
    <row r="110" spans="1:26" s="27" customFormat="1" outlineLevel="1" collapsed="1" x14ac:dyDescent="0.25">
      <c r="A110" s="25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SUM(OSRRefD22_21x_0)</f>
        <v>1593.85</v>
      </c>
      <c r="E110" s="1"/>
      <c r="F110" s="5">
        <f t="shared" ref="F110:F117" si="85">IF(D$12=0,0,D110/D$12)</f>
        <v>0</v>
      </c>
      <c r="G110" s="1"/>
      <c r="H110" s="1">
        <f>SUM(OSRRefH22_21x_0)</f>
        <v>1998.23</v>
      </c>
      <c r="I110" s="1"/>
      <c r="J110" s="5">
        <f t="shared" ref="J110:J117" si="86">IF(H$12=0,0,H110/H$12)</f>
        <v>3.8470607055024527E-3</v>
      </c>
      <c r="K110" s="1"/>
      <c r="L110" s="1">
        <f t="shared" ref="L110:L117" si="87">+D110-H110</f>
        <v>-404.38000000000011</v>
      </c>
      <c r="M110" s="1"/>
      <c r="N110" s="5">
        <f t="shared" ref="N110:N117" si="88">IF(H110=0,0,L110/H110)</f>
        <v>-0.20236909665053579</v>
      </c>
      <c r="O110" s="13"/>
      <c r="P110" s="1">
        <f>SUM(OSRRefP22_21x_0)</f>
        <v>20609.169999999998</v>
      </c>
      <c r="Q110" s="1"/>
      <c r="R110" s="5">
        <f t="shared" ref="R110:R117" si="89">IF(P$12=0,0,P110/P$12)</f>
        <v>4.4613012369071579E-3</v>
      </c>
      <c r="S110" s="1"/>
      <c r="T110" s="1">
        <f>SUM(OSRRefT22_21x_0)</f>
        <v>21122.89</v>
      </c>
      <c r="U110" s="1"/>
      <c r="V110" s="5">
        <f t="shared" ref="V110:V117" si="90">IF(T$12=0,0,T110/T$12)</f>
        <v>3.1578222021609015E-3</v>
      </c>
      <c r="W110" s="1"/>
      <c r="X110" s="1">
        <f t="shared" ref="X110:X117" si="91">+P110-T110</f>
        <v>-513.72000000000116</v>
      </c>
      <c r="Y110" s="1"/>
      <c r="Z110" s="5">
        <f t="shared" ref="Z110:Z117" si="92">IF(T110=0,0,X110/T110)</f>
        <v>-2.4320535684274319E-2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6">
        <v>1593.85</v>
      </c>
      <c r="E111" s="2"/>
      <c r="F111" s="7">
        <f t="shared" si="85"/>
        <v>0</v>
      </c>
      <c r="G111" s="2"/>
      <c r="H111" s="6">
        <v>1998.23</v>
      </c>
      <c r="I111" s="2"/>
      <c r="J111" s="7">
        <f t="shared" si="86"/>
        <v>3.8470607055024527E-3</v>
      </c>
      <c r="K111" s="2"/>
      <c r="L111" s="6">
        <f t="shared" si="87"/>
        <v>-404.38000000000011</v>
      </c>
      <c r="M111" s="2"/>
      <c r="N111" s="7">
        <f t="shared" si="88"/>
        <v>-0.20236909665053579</v>
      </c>
      <c r="O111" s="11"/>
      <c r="P111" s="6">
        <v>20609.169999999998</v>
      </c>
      <c r="Q111" s="2"/>
      <c r="R111" s="7">
        <f t="shared" si="89"/>
        <v>4.4613012369071579E-3</v>
      </c>
      <c r="S111" s="2"/>
      <c r="T111" s="6">
        <v>21122.89</v>
      </c>
      <c r="U111" s="2"/>
      <c r="V111" s="7">
        <f t="shared" si="90"/>
        <v>3.1578222021609015E-3</v>
      </c>
      <c r="W111" s="2"/>
      <c r="X111" s="6">
        <f t="shared" si="91"/>
        <v>-513.72000000000116</v>
      </c>
      <c r="Y111" s="2"/>
      <c r="Z111" s="7">
        <f t="shared" si="92"/>
        <v>-2.4320535684274319E-2</v>
      </c>
    </row>
    <row r="112" spans="1:26" s="27" customFormat="1" outlineLevel="1" collapsed="1" x14ac:dyDescent="0.25">
      <c r="A112" s="25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SUM(OSRRefD22_22x_0)</f>
        <v>0</v>
      </c>
      <c r="E112" s="1"/>
      <c r="F112" s="5">
        <f t="shared" si="85"/>
        <v>0</v>
      </c>
      <c r="G112" s="1"/>
      <c r="H112" s="1">
        <f>SUM(OSRRefH22_22x_0)</f>
        <v>0</v>
      </c>
      <c r="I112" s="1"/>
      <c r="J112" s="5">
        <f t="shared" si="86"/>
        <v>0</v>
      </c>
      <c r="K112" s="1"/>
      <c r="L112" s="1">
        <f t="shared" si="87"/>
        <v>0</v>
      </c>
      <c r="M112" s="1"/>
      <c r="N112" s="5">
        <f t="shared" si="88"/>
        <v>0</v>
      </c>
      <c r="O112" s="13"/>
      <c r="P112" s="1">
        <f>SUM(OSRRefP22_22x_0)</f>
        <v>2123.0100000000002</v>
      </c>
      <c r="Q112" s="1"/>
      <c r="R112" s="5">
        <f t="shared" si="89"/>
        <v>4.5957149846239645E-4</v>
      </c>
      <c r="S112" s="1"/>
      <c r="T112" s="1">
        <f>SUM(OSRRefT22_22x_0)</f>
        <v>1310.81</v>
      </c>
      <c r="U112" s="1"/>
      <c r="V112" s="5">
        <f t="shared" si="90"/>
        <v>1.9596300131348177E-4</v>
      </c>
      <c r="W112" s="1"/>
      <c r="X112" s="1">
        <f t="shared" si="91"/>
        <v>812.20000000000027</v>
      </c>
      <c r="Y112" s="1"/>
      <c r="Z112" s="5">
        <f t="shared" si="92"/>
        <v>0.61961687811353305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85"/>
        <v>0</v>
      </c>
      <c r="G113" s="2"/>
      <c r="H113" s="6"/>
      <c r="I113" s="2"/>
      <c r="J113" s="7">
        <f t="shared" si="86"/>
        <v>0</v>
      </c>
      <c r="K113" s="2"/>
      <c r="L113" s="6">
        <f t="shared" si="87"/>
        <v>0</v>
      </c>
      <c r="M113" s="2"/>
      <c r="N113" s="7">
        <f t="shared" si="88"/>
        <v>0</v>
      </c>
      <c r="O113" s="11"/>
      <c r="P113" s="6">
        <v>2123.0100000000002</v>
      </c>
      <c r="Q113" s="2"/>
      <c r="R113" s="7">
        <f t="shared" si="89"/>
        <v>4.5957149846239645E-4</v>
      </c>
      <c r="S113" s="2"/>
      <c r="T113" s="6">
        <v>1310.81</v>
      </c>
      <c r="U113" s="2"/>
      <c r="V113" s="7">
        <f t="shared" si="90"/>
        <v>1.9596300131348177E-4</v>
      </c>
      <c r="W113" s="2"/>
      <c r="X113" s="6">
        <f t="shared" si="91"/>
        <v>812.20000000000027</v>
      </c>
      <c r="Y113" s="2"/>
      <c r="Z113" s="7">
        <f t="shared" si="92"/>
        <v>0.61961687811353305</v>
      </c>
    </row>
    <row r="114" spans="1:26" s="27" customFormat="1" outlineLevel="1" collapsed="1" x14ac:dyDescent="0.25">
      <c r="A114" s="25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SUM(OSRRefD22_23x_0)</f>
        <v>0</v>
      </c>
      <c r="E114" s="1"/>
      <c r="F114" s="5">
        <f t="shared" si="85"/>
        <v>0</v>
      </c>
      <c r="G114" s="1"/>
      <c r="H114" s="1">
        <f>SUM(OSRRefH22_23x_0)</f>
        <v>271.87</v>
      </c>
      <c r="I114" s="1"/>
      <c r="J114" s="5">
        <f t="shared" si="86"/>
        <v>5.2341341787729724E-4</v>
      </c>
      <c r="K114" s="1"/>
      <c r="L114" s="1">
        <f t="shared" si="87"/>
        <v>-271.87</v>
      </c>
      <c r="M114" s="1"/>
      <c r="N114" s="5">
        <f t="shared" si="88"/>
        <v>-1</v>
      </c>
      <c r="O114" s="13"/>
      <c r="P114" s="1">
        <f>SUM(OSRRefP22_23x_0)</f>
        <v>6341.32</v>
      </c>
      <c r="Q114" s="1"/>
      <c r="R114" s="5">
        <f t="shared" si="89"/>
        <v>1.3727160656942566E-3</v>
      </c>
      <c r="S114" s="1"/>
      <c r="T114" s="1">
        <f>SUM(OSRRefT22_23x_0)</f>
        <v>4083.5299999999997</v>
      </c>
      <c r="U114" s="1"/>
      <c r="V114" s="5">
        <f t="shared" si="90"/>
        <v>6.1047809732428212E-4</v>
      </c>
      <c r="W114" s="1"/>
      <c r="X114" s="1">
        <f t="shared" si="91"/>
        <v>2257.79</v>
      </c>
      <c r="Y114" s="1"/>
      <c r="Z114" s="5">
        <f t="shared" si="92"/>
        <v>0.55290153372204931</v>
      </c>
    </row>
    <row r="115" spans="1:26" s="24" customFormat="1" hidden="1" outlineLevel="2" x14ac:dyDescent="0.25">
      <c r="A115" s="26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85"/>
        <v>0</v>
      </c>
      <c r="G115" s="2"/>
      <c r="H115" s="6">
        <v>60.73</v>
      </c>
      <c r="I115" s="2"/>
      <c r="J115" s="7">
        <f t="shared" si="86"/>
        <v>1.1691947205535095E-4</v>
      </c>
      <c r="K115" s="2"/>
      <c r="L115" s="6">
        <f t="shared" si="87"/>
        <v>-60.73</v>
      </c>
      <c r="M115" s="2"/>
      <c r="N115" s="7">
        <f t="shared" si="88"/>
        <v>-1</v>
      </c>
      <c r="O115" s="11"/>
      <c r="P115" s="6">
        <v>4995.68</v>
      </c>
      <c r="Q115" s="2"/>
      <c r="R115" s="7">
        <f t="shared" si="89"/>
        <v>1.0814231414070705E-3</v>
      </c>
      <c r="S115" s="2"/>
      <c r="T115" s="6">
        <v>1493.8</v>
      </c>
      <c r="U115" s="2"/>
      <c r="V115" s="7">
        <f t="shared" si="90"/>
        <v>2.2331957443266309E-4</v>
      </c>
      <c r="W115" s="2"/>
      <c r="X115" s="6">
        <f t="shared" si="91"/>
        <v>3501.88</v>
      </c>
      <c r="Y115" s="2"/>
      <c r="Z115" s="7">
        <f t="shared" si="92"/>
        <v>2.3442763422144868</v>
      </c>
    </row>
    <row r="116" spans="1:26" s="24" customFormat="1" hidden="1" outlineLevel="2" x14ac:dyDescent="0.25">
      <c r="A116" s="26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85"/>
        <v>0</v>
      </c>
      <c r="G116" s="2"/>
      <c r="H116" s="6"/>
      <c r="I116" s="2"/>
      <c r="J116" s="7">
        <f t="shared" si="86"/>
        <v>0</v>
      </c>
      <c r="K116" s="2"/>
      <c r="L116" s="6">
        <f t="shared" si="87"/>
        <v>0</v>
      </c>
      <c r="M116" s="2"/>
      <c r="N116" s="7">
        <f t="shared" si="88"/>
        <v>0</v>
      </c>
      <c r="O116" s="11"/>
      <c r="P116" s="6">
        <v>56.99</v>
      </c>
      <c r="Q116" s="2"/>
      <c r="R116" s="7">
        <f t="shared" si="89"/>
        <v>1.2336719891744256E-5</v>
      </c>
      <c r="S116" s="2"/>
      <c r="T116" s="6">
        <v>1299.02</v>
      </c>
      <c r="U116" s="2"/>
      <c r="V116" s="7">
        <f t="shared" si="90"/>
        <v>1.9420042413945509E-4</v>
      </c>
      <c r="W116" s="2"/>
      <c r="X116" s="6">
        <f t="shared" si="91"/>
        <v>-1242.03</v>
      </c>
      <c r="Y116" s="2"/>
      <c r="Z116" s="7">
        <f t="shared" si="92"/>
        <v>-0.95612846607442536</v>
      </c>
    </row>
    <row r="117" spans="1:26" s="24" customFormat="1" hidden="1" outlineLevel="2" x14ac:dyDescent="0.25">
      <c r="A117" s="26"/>
      <c r="B117" s="11" t="str">
        <f>CONCATENATE("          ", "6298", " - ", "VEHICLE MILEAGE")</f>
        <v xml:space="preserve">          6298 - VEHICLE MILEAGE</v>
      </c>
      <c r="C117" s="11"/>
      <c r="D117" s="6"/>
      <c r="E117" s="2"/>
      <c r="F117" s="7">
        <f t="shared" si="85"/>
        <v>0</v>
      </c>
      <c r="G117" s="2"/>
      <c r="H117" s="6">
        <v>211.14</v>
      </c>
      <c r="I117" s="2"/>
      <c r="J117" s="7">
        <f t="shared" si="86"/>
        <v>4.0649394582194628E-4</v>
      </c>
      <c r="K117" s="2"/>
      <c r="L117" s="6">
        <f t="shared" si="87"/>
        <v>-211.14</v>
      </c>
      <c r="M117" s="2"/>
      <c r="N117" s="7">
        <f t="shared" si="88"/>
        <v>-1</v>
      </c>
      <c r="O117" s="11"/>
      <c r="P117" s="6">
        <v>1288.6500000000001</v>
      </c>
      <c r="Q117" s="2"/>
      <c r="R117" s="7">
        <f t="shared" si="89"/>
        <v>2.7895620439544194E-4</v>
      </c>
      <c r="S117" s="2"/>
      <c r="T117" s="6">
        <v>1290.71</v>
      </c>
      <c r="U117" s="2"/>
      <c r="V117" s="7">
        <f t="shared" si="90"/>
        <v>1.9295809875216399E-4</v>
      </c>
      <c r="W117" s="2"/>
      <c r="X117" s="6">
        <f t="shared" si="91"/>
        <v>-2.0599999999999454</v>
      </c>
      <c r="Y117" s="2"/>
      <c r="Z117" s="7">
        <f t="shared" si="92"/>
        <v>-1.596020794756332E-3</v>
      </c>
    </row>
    <row r="118" spans="1:26" s="27" customFormat="1" outlineLevel="1" collapsed="1" x14ac:dyDescent="0.25">
      <c r="A118" s="25"/>
      <c r="B118" s="13" t="str">
        <f>CONCATENATE("     ","Utilities                                         ")</f>
        <v xml:space="preserve">     Utilities                                         </v>
      </c>
      <c r="C118" s="13"/>
      <c r="D118" s="1">
        <f>SUM(OSRRefD22_24x_0)</f>
        <v>15583</v>
      </c>
      <c r="E118" s="1"/>
      <c r="F118" s="5">
        <f t="shared" ref="F118:F119" si="93">IF(D$12=0,0,D118/D$12)</f>
        <v>0</v>
      </c>
      <c r="G118" s="1"/>
      <c r="H118" s="1">
        <f>SUM(OSRRefH22_24x_0)</f>
        <v>13691</v>
      </c>
      <c r="I118" s="1"/>
      <c r="J118" s="5">
        <f t="shared" ref="J118:J119" si="94">IF(H$12=0,0,H118/H$12)</f>
        <v>2.6358381226902847E-2</v>
      </c>
      <c r="K118" s="1"/>
      <c r="L118" s="1">
        <f t="shared" ref="L118:L119" si="95">+D118-H118</f>
        <v>1892</v>
      </c>
      <c r="M118" s="1"/>
      <c r="N118" s="5">
        <f t="shared" ref="N118:N119" si="96">IF(H118=0,0,L118/H118)</f>
        <v>0.13819297348623183</v>
      </c>
      <c r="O118" s="13"/>
      <c r="P118" s="1">
        <f>SUM(OSRRefP22_24x_0)</f>
        <v>174802</v>
      </c>
      <c r="Q118" s="1"/>
      <c r="R118" s="5">
        <f t="shared" ref="R118:R119" si="97">IF(P$12=0,0,P118/P$12)</f>
        <v>3.7839679075569038E-2</v>
      </c>
      <c r="S118" s="1"/>
      <c r="T118" s="1">
        <f>SUM(OSRRefT22_24x_0)</f>
        <v>127520.62000000001</v>
      </c>
      <c r="U118" s="1"/>
      <c r="V118" s="5">
        <f t="shared" ref="V118:V119" si="98">IF(T$12=0,0,T118/T$12)</f>
        <v>1.9064031724320089E-2</v>
      </c>
      <c r="W118" s="1"/>
      <c r="X118" s="1">
        <f t="shared" ref="X118:X119" si="99">+P118-T118</f>
        <v>47281.37999999999</v>
      </c>
      <c r="Y118" s="1"/>
      <c r="Z118" s="5">
        <f t="shared" ref="Z118:Z119" si="100">IF(T118=0,0,X118/T118)</f>
        <v>0.37077438927131928</v>
      </c>
    </row>
    <row r="119" spans="1:26" s="24" customFormat="1" hidden="1" outlineLevel="2" x14ac:dyDescent="0.25">
      <c r="A119" s="26"/>
      <c r="B119" s="11" t="str">
        <f>CONCATENATE("          ", "6274", " - ", "UTILITIES")</f>
        <v xml:space="preserve">          6274 - UTILITIES</v>
      </c>
      <c r="C119" s="11"/>
      <c r="D119" s="6">
        <v>15583</v>
      </c>
      <c r="E119" s="2"/>
      <c r="F119" s="7">
        <f t="shared" si="93"/>
        <v>0</v>
      </c>
      <c r="G119" s="2"/>
      <c r="H119" s="6">
        <v>13691</v>
      </c>
      <c r="I119" s="2"/>
      <c r="J119" s="7">
        <f t="shared" si="94"/>
        <v>2.6358381226902847E-2</v>
      </c>
      <c r="K119" s="2"/>
      <c r="L119" s="6">
        <f t="shared" si="95"/>
        <v>1892</v>
      </c>
      <c r="M119" s="2"/>
      <c r="N119" s="7">
        <f t="shared" si="96"/>
        <v>0.13819297348623183</v>
      </c>
      <c r="O119" s="11"/>
      <c r="P119" s="6">
        <v>174802</v>
      </c>
      <c r="Q119" s="2"/>
      <c r="R119" s="7">
        <f t="shared" si="97"/>
        <v>3.7839679075569038E-2</v>
      </c>
      <c r="S119" s="2"/>
      <c r="T119" s="6">
        <v>127520.62000000001</v>
      </c>
      <c r="U119" s="2"/>
      <c r="V119" s="7">
        <f t="shared" si="98"/>
        <v>1.9064031724320089E-2</v>
      </c>
      <c r="W119" s="2"/>
      <c r="X119" s="6">
        <f t="shared" si="99"/>
        <v>47281.37999999999</v>
      </c>
      <c r="Y119" s="2"/>
      <c r="Z119" s="7">
        <f t="shared" si="100"/>
        <v>0.37077438927131928</v>
      </c>
    </row>
    <row r="120" spans="1:26" s="58" customFormat="1" x14ac:dyDescent="0.25">
      <c r="A120" s="37"/>
      <c r="B120" s="37"/>
      <c r="C120" s="37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7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0</v>
      </c>
      <c r="C121" s="10"/>
      <c r="D121" s="4">
        <f>SUM(OSRRefD25x_0)</f>
        <v>6624.89</v>
      </c>
      <c r="E121" s="4"/>
      <c r="F121" s="12">
        <f t="shared" ref="F121:F124" si="101">IF(D$12=0,0,D121/D$12)</f>
        <v>0</v>
      </c>
      <c r="G121" s="4"/>
      <c r="H121" s="4">
        <f>SUM(OSRRefH25x_0)</f>
        <v>49624.46</v>
      </c>
      <c r="I121" s="4"/>
      <c r="J121" s="12">
        <f t="shared" ref="J121:J124" si="102">IF(H$12=0,0,H121/H$12)</f>
        <v>9.5538706804411011E-2</v>
      </c>
      <c r="K121" s="4"/>
      <c r="L121" s="4">
        <f t="shared" ref="L121:L124" si="103">+D121-H121</f>
        <v>-42999.57</v>
      </c>
      <c r="M121" s="4"/>
      <c r="N121" s="12">
        <f t="shared" ref="N121:N124" si="104">IF(H121=0,0,L121/H121)</f>
        <v>-0.86649950447823509</v>
      </c>
      <c r="O121" s="10"/>
      <c r="P121" s="4">
        <f>SUM(OSRRefP25x_0)</f>
        <v>687198.88</v>
      </c>
      <c r="Q121" s="4"/>
      <c r="R121" s="12">
        <f t="shared" ref="R121:R124" si="105">IF(P$12=0,0,P121/P$12)</f>
        <v>0.14875908216319308</v>
      </c>
      <c r="S121" s="4"/>
      <c r="T121" s="4">
        <f>SUM(OSRRefT25x_0)</f>
        <v>678746.83</v>
      </c>
      <c r="U121" s="4"/>
      <c r="V121" s="12">
        <f t="shared" ref="V121:V124" si="106">IF(T$12=0,0,T121/T$12)</f>
        <v>0.10147104915190729</v>
      </c>
      <c r="W121" s="4"/>
      <c r="X121" s="4">
        <f t="shared" ref="X121:X124" si="107">+P121-T121</f>
        <v>8452.0500000000466</v>
      </c>
      <c r="Y121" s="4"/>
      <c r="Z121" s="12">
        <f t="shared" ref="Z121:Z124" si="108">IF(T121=0,0,X121/T121)</f>
        <v>1.2452433847831079E-2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 t="shared" ref="D122:D123" si="109">0</f>
        <v>0</v>
      </c>
      <c r="E122" s="2"/>
      <c r="F122" s="19">
        <f t="shared" si="101"/>
        <v>0</v>
      </c>
      <c r="G122" s="2"/>
      <c r="H122" s="2">
        <f>--44818.61</f>
        <v>44818.61</v>
      </c>
      <c r="I122" s="2"/>
      <c r="J122" s="19">
        <f t="shared" si="102"/>
        <v>8.6286320096404953E-2</v>
      </c>
      <c r="K122" s="2"/>
      <c r="L122" s="2">
        <f t="shared" si="103"/>
        <v>-44818.61</v>
      </c>
      <c r="M122" s="2"/>
      <c r="N122" s="19">
        <f t="shared" si="104"/>
        <v>-1</v>
      </c>
      <c r="O122" s="11"/>
      <c r="P122" s="2">
        <f>--313984.54</f>
        <v>313984.53999999998</v>
      </c>
      <c r="Q122" s="2"/>
      <c r="R122" s="19">
        <f t="shared" si="105"/>
        <v>6.7968754523919456E-2</v>
      </c>
      <c r="S122" s="2"/>
      <c r="T122" s="2">
        <f>--347172.16</f>
        <v>347172.16</v>
      </c>
      <c r="U122" s="2"/>
      <c r="V122" s="19">
        <f t="shared" si="106"/>
        <v>5.1901418547374754E-2</v>
      </c>
      <c r="W122" s="2"/>
      <c r="X122" s="2">
        <f t="shared" si="107"/>
        <v>-33187.619999999995</v>
      </c>
      <c r="Y122" s="2"/>
      <c r="Z122" s="19">
        <f t="shared" si="108"/>
        <v>-9.5594128284940807E-2</v>
      </c>
    </row>
    <row r="123" spans="1:26" s="24" customFormat="1" hidden="1" outlineLevel="1" x14ac:dyDescent="0.25">
      <c r="A123" s="44"/>
      <c r="B123" s="11" t="str">
        <f>CONCATENATE("          ", "9160", " - ", "MISC. INCOME")</f>
        <v xml:space="preserve">          9160 - MISC. INCOME</v>
      </c>
      <c r="C123" s="11"/>
      <c r="D123" s="2">
        <f t="shared" si="109"/>
        <v>0</v>
      </c>
      <c r="E123" s="2"/>
      <c r="F123" s="19">
        <f t="shared" si="101"/>
        <v>0</v>
      </c>
      <c r="G123" s="2"/>
      <c r="H123" s="2">
        <f>0</f>
        <v>0</v>
      </c>
      <c r="I123" s="2"/>
      <c r="J123" s="19">
        <f t="shared" si="102"/>
        <v>0</v>
      </c>
      <c r="K123" s="2"/>
      <c r="L123" s="2">
        <f t="shared" si="103"/>
        <v>0</v>
      </c>
      <c r="M123" s="2"/>
      <c r="N123" s="19">
        <f t="shared" si="104"/>
        <v>0</v>
      </c>
      <c r="O123" s="11"/>
      <c r="P123" s="2">
        <f>--130089.32</f>
        <v>130089.32</v>
      </c>
      <c r="Q123" s="2"/>
      <c r="R123" s="19">
        <f t="shared" si="105"/>
        <v>2.8160651022064994E-2</v>
      </c>
      <c r="S123" s="2"/>
      <c r="T123" s="2">
        <f>--86579.56</f>
        <v>86579.56</v>
      </c>
      <c r="U123" s="2"/>
      <c r="V123" s="19">
        <f t="shared" si="106"/>
        <v>1.2943439880684977E-2</v>
      </c>
      <c r="W123" s="2"/>
      <c r="X123" s="2">
        <f t="shared" si="107"/>
        <v>43509.760000000009</v>
      </c>
      <c r="Y123" s="2"/>
      <c r="Z123" s="19">
        <f t="shared" si="108"/>
        <v>0.50254078445305117</v>
      </c>
    </row>
    <row r="124" spans="1:26" s="24" customFormat="1" hidden="1" outlineLevel="1" x14ac:dyDescent="0.25">
      <c r="A124" s="44"/>
      <c r="B124" s="11" t="str">
        <f>CONCATENATE("          ", "9165", " - ", "OTHER INCOME")</f>
        <v xml:space="preserve">          9165 - OTHER INCOME</v>
      </c>
      <c r="C124" s="11"/>
      <c r="D124" s="2">
        <f>--6624.89</f>
        <v>6624.89</v>
      </c>
      <c r="E124" s="2"/>
      <c r="F124" s="19">
        <f t="shared" si="101"/>
        <v>0</v>
      </c>
      <c r="G124" s="2"/>
      <c r="H124" s="2">
        <f>--4805.85</f>
        <v>4805.8500000000004</v>
      </c>
      <c r="I124" s="2"/>
      <c r="J124" s="19">
        <f t="shared" si="102"/>
        <v>9.2523867080060666E-3</v>
      </c>
      <c r="K124" s="2"/>
      <c r="L124" s="2">
        <f t="shared" si="103"/>
        <v>1819.04</v>
      </c>
      <c r="M124" s="2"/>
      <c r="N124" s="19">
        <f t="shared" si="104"/>
        <v>0.37850536325519935</v>
      </c>
      <c r="O124" s="11"/>
      <c r="P124" s="2">
        <f>--243125.02</f>
        <v>243125.02</v>
      </c>
      <c r="Q124" s="2"/>
      <c r="R124" s="19">
        <f t="shared" si="105"/>
        <v>5.2629676617208632E-2</v>
      </c>
      <c r="S124" s="2"/>
      <c r="T124" s="2">
        <f>--244995.11</f>
        <v>244995.11</v>
      </c>
      <c r="U124" s="2"/>
      <c r="V124" s="19">
        <f t="shared" si="106"/>
        <v>3.6626190723847554E-2</v>
      </c>
      <c r="W124" s="2"/>
      <c r="X124" s="2">
        <f t="shared" si="107"/>
        <v>-1870.0899999999965</v>
      </c>
      <c r="Y124" s="2"/>
      <c r="Z124" s="19">
        <f t="shared" si="108"/>
        <v>-7.6331727600603807E-3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9" t="s">
        <v>3</v>
      </c>
      <c r="C126" s="29"/>
      <c r="D126" s="21">
        <f>+D30-D32+D121</f>
        <v>-148954.99000000002</v>
      </c>
      <c r="E126" s="14"/>
      <c r="F126" s="20">
        <f>IF(D$12=0,0,D126/D$12)</f>
        <v>0</v>
      </c>
      <c r="G126" s="14"/>
      <c r="H126" s="21">
        <f>+H30-H32+H121</f>
        <v>-236484.60999999996</v>
      </c>
      <c r="I126" s="14"/>
      <c r="J126" s="20">
        <f>IF(H$12=0,0,H126/H$12)</f>
        <v>-0.45528825539956469</v>
      </c>
      <c r="K126" s="16"/>
      <c r="L126" s="21">
        <f>+D126-H126</f>
        <v>87529.619999999937</v>
      </c>
      <c r="M126" s="16"/>
      <c r="N126" s="20">
        <f>IF(H126=0,0,L126/H126)</f>
        <v>-0.37012818720000407</v>
      </c>
      <c r="O126" s="28"/>
      <c r="P126" s="21">
        <f>+P30-P32+P121</f>
        <v>-1033153.4400000012</v>
      </c>
      <c r="Q126" s="14"/>
      <c r="R126" s="20">
        <f>IF(P$12=0,0,P126/P$12)</f>
        <v>-0.22364843998020742</v>
      </c>
      <c r="S126" s="14"/>
      <c r="T126" s="21">
        <f>+T30-T32+T121</f>
        <v>-31992.259999997099</v>
      </c>
      <c r="U126" s="14"/>
      <c r="V126" s="20">
        <f>IF(T$12=0,0,T126/T$12)</f>
        <v>-4.7827673639968286E-3</v>
      </c>
      <c r="W126" s="16"/>
      <c r="X126" s="21">
        <f>+P126-T126</f>
        <v>-1001161.1800000041</v>
      </c>
      <c r="Y126" s="16"/>
      <c r="Z126" s="20">
        <f>IF(T126=0,0,X126/T126)</f>
        <v>31.293856076441454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1"/>
      <c r="B128" s="10" t="s">
        <v>13</v>
      </c>
      <c r="C128" s="10"/>
      <c r="D128" s="4">
        <v>22509.99</v>
      </c>
      <c r="E128" s="4"/>
      <c r="F128" s="12">
        <f>IF(D$12=0,0,D128/D$12)</f>
        <v>0</v>
      </c>
      <c r="G128" s="4"/>
      <c r="H128" s="4">
        <v>54372.630000000005</v>
      </c>
      <c r="I128" s="4"/>
      <c r="J128" s="12">
        <f>IF(H$12=0,0,H128/H$12)</f>
        <v>0.10468004600462601</v>
      </c>
      <c r="K128" s="4"/>
      <c r="L128" s="4">
        <f>+D128-H128</f>
        <v>-31862.640000000003</v>
      </c>
      <c r="M128" s="4"/>
      <c r="N128" s="12">
        <f>IF(H128=0,0,L128/H128)</f>
        <v>-0.5860051279476457</v>
      </c>
      <c r="O128" s="10"/>
      <c r="P128" s="4">
        <v>547025.96000000008</v>
      </c>
      <c r="Q128" s="4"/>
      <c r="R128" s="12">
        <f>IF(P$12=0,0,P128/P$12)</f>
        <v>0.11841561751241443</v>
      </c>
      <c r="S128" s="4"/>
      <c r="T128" s="4">
        <v>695760.65999999992</v>
      </c>
      <c r="U128" s="4"/>
      <c r="V128" s="12">
        <f>IF(T$12=0,0,T128/T$12)</f>
        <v>0.10401457658199811</v>
      </c>
      <c r="W128" s="4"/>
      <c r="X128" s="4">
        <f>+P128-T128</f>
        <v>-148734.69999999984</v>
      </c>
      <c r="Y128" s="4"/>
      <c r="Z128" s="12">
        <f>IF(T128=0,0,X128/T128)</f>
        <v>-0.21377279365004606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4</v>
      </c>
      <c r="C130" s="29"/>
      <c r="D130" s="35">
        <f>+D126-D128</f>
        <v>-171464.98</v>
      </c>
      <c r="E130" s="14"/>
      <c r="F130" s="32">
        <f>IF(D$12=0,0,D130/D$12)</f>
        <v>0</v>
      </c>
      <c r="G130" s="14"/>
      <c r="H130" s="35">
        <f>+H126-H128</f>
        <v>-290857.24</v>
      </c>
      <c r="I130" s="14"/>
      <c r="J130" s="32">
        <f>IF(H$12=0,0,H130/H$12)</f>
        <v>-0.55996830140419074</v>
      </c>
      <c r="K130" s="16"/>
      <c r="L130" s="35">
        <f>D130-H130</f>
        <v>119392.25999999998</v>
      </c>
      <c r="M130" s="16"/>
      <c r="N130" s="32">
        <f>IF(H130=0,0,L130/H130)</f>
        <v>-0.41048405740218119</v>
      </c>
      <c r="O130" s="28"/>
      <c r="P130" s="35">
        <f>+P126-P128</f>
        <v>-1580179.4000000013</v>
      </c>
      <c r="Q130" s="14"/>
      <c r="R130" s="32">
        <f>IF(P$12=0,0,P130/P$12)</f>
        <v>-0.34206405749262186</v>
      </c>
      <c r="S130" s="14"/>
      <c r="T130" s="35">
        <f>+T126-T128</f>
        <v>-727752.91999999702</v>
      </c>
      <c r="U130" s="14"/>
      <c r="V130" s="32">
        <f>IF(T$12=0,0,T130/T$12)</f>
        <v>-0.10879734394599494</v>
      </c>
      <c r="W130" s="16"/>
      <c r="X130" s="35">
        <f>P130-T130</f>
        <v>-852426.48000000429</v>
      </c>
      <c r="Y130" s="16"/>
      <c r="Z130" s="32">
        <f>IF(T130=0,0,X130/T130)</f>
        <v>1.1713130330002768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5</v>
      </c>
      <c r="C133" s="29"/>
      <c r="D133" s="36">
        <f>SUM(D130:D132)</f>
        <v>-171464.98</v>
      </c>
      <c r="E133" s="14"/>
      <c r="F133" s="33">
        <f>IF(D$12=0,0,D133/D$12)</f>
        <v>0</v>
      </c>
      <c r="G133" s="14"/>
      <c r="H133" s="36">
        <f>SUM(H130:H132)</f>
        <v>-290857.24</v>
      </c>
      <c r="I133" s="14"/>
      <c r="J133" s="33">
        <f>IF(H$12=0,0,H133/H$12)</f>
        <v>-0.55996830140419074</v>
      </c>
      <c r="K133" s="16"/>
      <c r="L133" s="36">
        <f>+D133-H133</f>
        <v>119392.25999999998</v>
      </c>
      <c r="M133" s="16"/>
      <c r="N133" s="33">
        <f>IF(H133=0,0,L133/H133)</f>
        <v>-0.41048405740218119</v>
      </c>
      <c r="O133" s="28"/>
      <c r="P133" s="36">
        <f>SUM(P130:P132)</f>
        <v>-1580179.4000000013</v>
      </c>
      <c r="Q133" s="14"/>
      <c r="R133" s="33">
        <f>IF(P$12=0,0,P133/P$12)</f>
        <v>-0.34206405749262186</v>
      </c>
      <c r="S133" s="14"/>
      <c r="T133" s="36">
        <f>SUM(T130:T132)</f>
        <v>-727752.91999999702</v>
      </c>
      <c r="U133" s="14"/>
      <c r="V133" s="33">
        <f>IF(T$12=0,0,T133/T$12)</f>
        <v>-0.10879734394599494</v>
      </c>
      <c r="W133" s="16"/>
      <c r="X133" s="36">
        <f>+P133-T133</f>
        <v>-852426.48000000429</v>
      </c>
      <c r="Y133" s="16"/>
      <c r="Z133" s="33">
        <f>IF(T133=0,0,X133/T133)</f>
        <v>1.1713130330002768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A135" s="9"/>
      <c r="B135" s="55">
        <v>43992.375006747687</v>
      </c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  <row r="136" spans="1:26" x14ac:dyDescent="0.25">
      <c r="A136" s="9"/>
      <c r="B136" s="62" t="s">
        <v>313</v>
      </c>
      <c r="D136" s="17"/>
      <c r="E136" s="17"/>
      <c r="G136" s="17"/>
      <c r="H136" s="17"/>
      <c r="I136" s="17"/>
      <c r="J136" s="42"/>
      <c r="K136" s="17"/>
      <c r="L136" s="17"/>
      <c r="M136" s="17"/>
      <c r="P136" s="17"/>
      <c r="Q136" s="17"/>
      <c r="R136" s="42"/>
      <c r="S136" s="17"/>
      <c r="T136" s="17"/>
      <c r="U136" s="17"/>
      <c r="V136" s="42"/>
      <c r="W136" s="17"/>
      <c r="X136" s="17"/>
    </row>
    <row r="137" spans="1:26" x14ac:dyDescent="0.25">
      <c r="A137" s="9"/>
      <c r="B137" s="53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67405.14</v>
      </c>
      <c r="I12" s="4"/>
      <c r="J12" s="12"/>
      <c r="K12" s="4"/>
      <c r="L12" s="4">
        <f t="shared" ref="L12:L14" si="0">+D12-H12</f>
        <v>-67405.14</v>
      </c>
      <c r="M12" s="4"/>
      <c r="N12" s="12">
        <f t="shared" ref="N12:N14" si="1">IF(H12=0,0,L12/H12)</f>
        <v>-1</v>
      </c>
      <c r="O12" s="10"/>
      <c r="P12" s="4">
        <f>SUM(OSRRefP13x_0)</f>
        <v>721341.64</v>
      </c>
      <c r="Q12" s="4"/>
      <c r="R12" s="12"/>
      <c r="S12" s="4"/>
      <c r="T12" s="4">
        <f>SUM(OSRRefT13x_0)</f>
        <v>947570.46</v>
      </c>
      <c r="U12" s="4"/>
      <c r="V12" s="12"/>
      <c r="W12" s="4"/>
      <c r="X12" s="4">
        <f t="shared" ref="X12:X14" si="2">+P12-T12</f>
        <v>-226228.81999999995</v>
      </c>
      <c r="Y12" s="4"/>
      <c r="Z12" s="12">
        <f t="shared" ref="Z12:Z14" si="3">IF(T12=0,0,X12/T12)</f>
        <v>-0.23874617197332212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--11700.9</f>
        <v>11700.9</v>
      </c>
      <c r="I13" s="2"/>
      <c r="J13" s="19"/>
      <c r="K13" s="2"/>
      <c r="L13" s="2">
        <f t="shared" si="0"/>
        <v>-11700.9</v>
      </c>
      <c r="M13" s="2"/>
      <c r="N13" s="19">
        <f t="shared" si="1"/>
        <v>-1</v>
      </c>
      <c r="O13" s="11"/>
      <c r="P13" s="2">
        <f>--149614.63</f>
        <v>149614.63</v>
      </c>
      <c r="Q13" s="2"/>
      <c r="R13" s="19"/>
      <c r="S13" s="2"/>
      <c r="T13" s="2">
        <f>--190786.62</f>
        <v>190786.62</v>
      </c>
      <c r="U13" s="2"/>
      <c r="V13" s="19"/>
      <c r="W13" s="2"/>
      <c r="X13" s="2">
        <f t="shared" si="2"/>
        <v>-41171.989999999991</v>
      </c>
      <c r="Y13" s="2"/>
      <c r="Z13" s="19">
        <f t="shared" si="3"/>
        <v>-0.21580124434302569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--55704.24</f>
        <v>55704.24</v>
      </c>
      <c r="I14" s="2"/>
      <c r="J14" s="19"/>
      <c r="K14" s="2"/>
      <c r="L14" s="2">
        <f t="shared" si="0"/>
        <v>-55704.24</v>
      </c>
      <c r="M14" s="2"/>
      <c r="N14" s="19">
        <f t="shared" si="1"/>
        <v>-1</v>
      </c>
      <c r="O14" s="11"/>
      <c r="P14" s="2">
        <f>--571727.01</f>
        <v>571727.01</v>
      </c>
      <c r="Q14" s="2"/>
      <c r="R14" s="19"/>
      <c r="S14" s="2"/>
      <c r="T14" s="2">
        <f>--756783.84</f>
        <v>756783.84</v>
      </c>
      <c r="U14" s="2"/>
      <c r="V14" s="19"/>
      <c r="W14" s="2"/>
      <c r="X14" s="2">
        <f t="shared" si="2"/>
        <v>-185056.82999999996</v>
      </c>
      <c r="Y14" s="2"/>
      <c r="Z14" s="19">
        <f t="shared" si="3"/>
        <v>-0.24453063109804243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6898</v>
      </c>
      <c r="E16" s="4"/>
      <c r="F16" s="12">
        <f t="shared" ref="F16:F18" si="5">IF(D$12=0,0,D16/D$12)</f>
        <v>0</v>
      </c>
      <c r="G16" s="4"/>
      <c r="H16" s="4">
        <f>SUM(OSRRefH16x_0)</f>
        <v>29744.26</v>
      </c>
      <c r="I16" s="4"/>
      <c r="J16" s="12">
        <f t="shared" ref="J16:J18" si="6">IF(H$12=0,0,H16/H$12)</f>
        <v>0.44127584335556602</v>
      </c>
      <c r="K16" s="4"/>
      <c r="L16" s="4">
        <f t="shared" ref="L16:L18" si="7">+D16-H16</f>
        <v>-22846.26</v>
      </c>
      <c r="M16" s="4"/>
      <c r="N16" s="12">
        <f t="shared" ref="N16:N18" si="8">IF(H16=0,0,L16/H16)</f>
        <v>-0.76808970873708071</v>
      </c>
      <c r="O16" s="10"/>
      <c r="P16" s="4">
        <f>SUM(OSRRefP16x_0)</f>
        <v>294688.14</v>
      </c>
      <c r="Q16" s="4"/>
      <c r="R16" s="12">
        <f t="shared" ref="R16:R18" si="9">IF(P$12=0,0,P16/P$12)</f>
        <v>0.40852783710087776</v>
      </c>
      <c r="S16" s="4"/>
      <c r="T16" s="4">
        <f>SUM(OSRRefT16x_0)</f>
        <v>336326.36</v>
      </c>
      <c r="U16" s="4"/>
      <c r="V16" s="12">
        <f t="shared" ref="V16:V18" si="10">IF(T$12=0,0,T16/T$12)</f>
        <v>0.35493546305780788</v>
      </c>
      <c r="W16" s="4"/>
      <c r="X16" s="4">
        <f t="shared" ref="X16:X18" si="11">+P16-T16</f>
        <v>-41638.219999999972</v>
      </c>
      <c r="Y16" s="4"/>
      <c r="Z16" s="12">
        <f t="shared" ref="Z16:Z18" si="12">IF(T16=0,0,X16/T16)</f>
        <v>-0.12380302275444593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24907.26</v>
      </c>
      <c r="I17" s="2"/>
      <c r="J17" s="19">
        <f t="shared" si="6"/>
        <v>0.36951573722716097</v>
      </c>
      <c r="K17" s="2"/>
      <c r="L17" s="2">
        <f t="shared" si="7"/>
        <v>-24907.26</v>
      </c>
      <c r="M17" s="2"/>
      <c r="N17" s="19">
        <f t="shared" si="8"/>
        <v>-1</v>
      </c>
      <c r="O17" s="11"/>
      <c r="P17" s="2">
        <v>288904.14</v>
      </c>
      <c r="Q17" s="2"/>
      <c r="R17" s="19">
        <f t="shared" si="9"/>
        <v>0.40050944515001241</v>
      </c>
      <c r="S17" s="2"/>
      <c r="T17" s="2">
        <v>350289.36</v>
      </c>
      <c r="U17" s="2"/>
      <c r="V17" s="19">
        <f t="shared" si="10"/>
        <v>0.36967104272119244</v>
      </c>
      <c r="W17" s="2"/>
      <c r="X17" s="2">
        <f t="shared" si="11"/>
        <v>-61385.219999999972</v>
      </c>
      <c r="Y17" s="2"/>
      <c r="Z17" s="19">
        <f t="shared" si="12"/>
        <v>-0.17524146322914283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6898</v>
      </c>
      <c r="E18" s="2"/>
      <c r="F18" s="19">
        <f t="shared" si="5"/>
        <v>0</v>
      </c>
      <c r="G18" s="2"/>
      <c r="H18" s="2">
        <v>4837</v>
      </c>
      <c r="I18" s="2"/>
      <c r="J18" s="19">
        <f t="shared" si="6"/>
        <v>7.1760106128405041E-2</v>
      </c>
      <c r="K18" s="2"/>
      <c r="L18" s="2">
        <f t="shared" si="7"/>
        <v>2061</v>
      </c>
      <c r="M18" s="2"/>
      <c r="N18" s="19">
        <f t="shared" si="8"/>
        <v>0.42609055199503826</v>
      </c>
      <c r="O18" s="11"/>
      <c r="P18" s="2">
        <v>5784</v>
      </c>
      <c r="Q18" s="2"/>
      <c r="R18" s="19">
        <f t="shared" si="9"/>
        <v>8.0183919508653341E-3</v>
      </c>
      <c r="S18" s="2"/>
      <c r="T18" s="2">
        <v>-13963</v>
      </c>
      <c r="U18" s="2"/>
      <c r="V18" s="19">
        <f t="shared" si="10"/>
        <v>-1.473557966338461E-2</v>
      </c>
      <c r="W18" s="2"/>
      <c r="X18" s="2">
        <f t="shared" si="11"/>
        <v>19747</v>
      </c>
      <c r="Y18" s="2"/>
      <c r="Z18" s="19">
        <f t="shared" si="12"/>
        <v>-1.4142376280169018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-6898</v>
      </c>
      <c r="E20" s="14"/>
      <c r="F20" s="20">
        <f>IF(D$12=0,0,D20/D$12)</f>
        <v>0</v>
      </c>
      <c r="G20" s="14"/>
      <c r="H20" s="21">
        <f>H12-H16</f>
        <v>37660.880000000005</v>
      </c>
      <c r="I20" s="14"/>
      <c r="J20" s="20">
        <f>IF(H$12=0,0,H20/H$12)</f>
        <v>0.55872415664443398</v>
      </c>
      <c r="K20" s="16"/>
      <c r="L20" s="21">
        <f>+D20-H20</f>
        <v>-44558.880000000005</v>
      </c>
      <c r="M20" s="16"/>
      <c r="N20" s="20">
        <f>IF(H20=0,0,L20/H20)</f>
        <v>-1.1831608820611732</v>
      </c>
      <c r="O20" s="28"/>
      <c r="P20" s="21">
        <f>P12-P16</f>
        <v>426653.5</v>
      </c>
      <c r="Q20" s="14"/>
      <c r="R20" s="20">
        <f>IF(P$12=0,0,P20/P$12)</f>
        <v>0.59147216289912219</v>
      </c>
      <c r="S20" s="14"/>
      <c r="T20" s="21">
        <f>T12-T16</f>
        <v>611244.1</v>
      </c>
      <c r="U20" s="14"/>
      <c r="V20" s="20">
        <f>IF(T$12=0,0,T20/T$12)</f>
        <v>0.64506453694219212</v>
      </c>
      <c r="W20" s="16"/>
      <c r="X20" s="21">
        <f>+P20-T20</f>
        <v>-184590.59999999998</v>
      </c>
      <c r="Y20" s="16"/>
      <c r="Z20" s="20">
        <f>IF(T20=0,0,X20/T20)</f>
        <v>-0.3019916265858435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9736.06</v>
      </c>
      <c r="E22" s="22"/>
      <c r="F22" s="31">
        <f t="shared" ref="F22:F31" si="13">IF(D$12=0,0,D22/D$12)</f>
        <v>0</v>
      </c>
      <c r="G22" s="22"/>
      <c r="H22" s="22">
        <f>SUM(OSRRefH22x_0)</f>
        <v>65938.87999999999</v>
      </c>
      <c r="I22" s="22"/>
      <c r="J22" s="31">
        <f t="shared" ref="J22:J31" si="14">IF(H$12=0,0,H22/H$12)</f>
        <v>0.978247059497243</v>
      </c>
      <c r="K22" s="4"/>
      <c r="L22" s="22">
        <f t="shared" ref="L22:L31" si="15">+D22-H22</f>
        <v>-56202.819999999992</v>
      </c>
      <c r="M22" s="4"/>
      <c r="N22" s="31">
        <f t="shared" ref="N22:N31" si="16">IF(H22=0,0,L22/H22)</f>
        <v>-0.85234720395614849</v>
      </c>
      <c r="O22" s="10"/>
      <c r="P22" s="22">
        <f>SUM(OSRRefP22x_0)</f>
        <v>525784.86</v>
      </c>
      <c r="Q22" s="22"/>
      <c r="R22" s="31">
        <f t="shared" ref="R22:R31" si="17">IF(P$12=0,0,P22/P$12)</f>
        <v>0.72889852858071524</v>
      </c>
      <c r="S22" s="22"/>
      <c r="T22" s="22">
        <f>SUM(OSRRefT22x_0)</f>
        <v>572611.97999999986</v>
      </c>
      <c r="U22" s="22"/>
      <c r="V22" s="31">
        <f t="shared" ref="V22:V31" si="18">IF(T$12=0,0,T22/T$12)</f>
        <v>0.60429488272566023</v>
      </c>
      <c r="W22" s="4"/>
      <c r="X22" s="22">
        <f t="shared" ref="X22:X31" si="19">+P22-T22</f>
        <v>-46827.119999999879</v>
      </c>
      <c r="Y22" s="4"/>
      <c r="Z22" s="31">
        <f t="shared" ref="Z22:Z31" si="20">IF(T22=0,0,X22/T22)</f>
        <v>-8.1778100416271218E-2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5983.1699999999992</v>
      </c>
      <c r="I23" s="1"/>
      <c r="J23" s="5">
        <f t="shared" si="14"/>
        <v>8.8764298983727341E-2</v>
      </c>
      <c r="K23" s="1"/>
      <c r="L23" s="1">
        <f t="shared" si="15"/>
        <v>-5983.1699999999992</v>
      </c>
      <c r="M23" s="1"/>
      <c r="N23" s="5">
        <f t="shared" si="16"/>
        <v>-1</v>
      </c>
      <c r="O23" s="13"/>
      <c r="P23" s="1">
        <f>SUM(OSRRefP22_0x_0)</f>
        <v>44026.969999999994</v>
      </c>
      <c r="Q23" s="1"/>
      <c r="R23" s="5">
        <f t="shared" si="17"/>
        <v>6.1034837805841895E-2</v>
      </c>
      <c r="S23" s="1"/>
      <c r="T23" s="1">
        <f>SUM(OSRRefT22_0x_0)</f>
        <v>43821.619999999995</v>
      </c>
      <c r="U23" s="1"/>
      <c r="V23" s="5">
        <f t="shared" si="18"/>
        <v>4.6246291806099564E-2</v>
      </c>
      <c r="W23" s="1"/>
      <c r="X23" s="1">
        <f t="shared" si="19"/>
        <v>205.34999999999854</v>
      </c>
      <c r="Y23" s="1"/>
      <c r="Z23" s="5">
        <f t="shared" si="20"/>
        <v>4.6860430992737958E-3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1414.92</v>
      </c>
      <c r="I24" s="2"/>
      <c r="J24" s="7">
        <f t="shared" si="14"/>
        <v>2.0991277519785585E-2</v>
      </c>
      <c r="K24" s="2"/>
      <c r="L24" s="6">
        <f t="shared" si="15"/>
        <v>-1414.92</v>
      </c>
      <c r="M24" s="2"/>
      <c r="N24" s="7">
        <f t="shared" si="16"/>
        <v>-1</v>
      </c>
      <c r="O24" s="11"/>
      <c r="P24" s="6">
        <v>9200.35</v>
      </c>
      <c r="Q24" s="2"/>
      <c r="R24" s="7">
        <f t="shared" si="17"/>
        <v>1.2754497300336079E-2</v>
      </c>
      <c r="S24" s="2"/>
      <c r="T24" s="6">
        <v>8872.75</v>
      </c>
      <c r="U24" s="2"/>
      <c r="V24" s="7">
        <f t="shared" si="18"/>
        <v>9.3636836251733725E-3</v>
      </c>
      <c r="W24" s="2"/>
      <c r="X24" s="6">
        <f t="shared" si="19"/>
        <v>327.60000000000036</v>
      </c>
      <c r="Y24" s="2"/>
      <c r="Z24" s="7">
        <f t="shared" si="20"/>
        <v>3.6922036572652264E-2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1017.19</v>
      </c>
      <c r="I25" s="2"/>
      <c r="J25" s="7">
        <f t="shared" si="14"/>
        <v>1.5090688929657294E-2</v>
      </c>
      <c r="K25" s="2"/>
      <c r="L25" s="6">
        <f t="shared" si="15"/>
        <v>-1017.19</v>
      </c>
      <c r="M25" s="2"/>
      <c r="N25" s="7">
        <f t="shared" si="16"/>
        <v>-1</v>
      </c>
      <c r="O25" s="11"/>
      <c r="P25" s="6">
        <v>8884.57</v>
      </c>
      <c r="Q25" s="2"/>
      <c r="R25" s="7">
        <f t="shared" si="17"/>
        <v>1.2316729698288316E-2</v>
      </c>
      <c r="S25" s="2"/>
      <c r="T25" s="6">
        <v>8732.4599999999991</v>
      </c>
      <c r="U25" s="2"/>
      <c r="V25" s="7">
        <f t="shared" si="18"/>
        <v>9.2156313104146369E-3</v>
      </c>
      <c r="W25" s="2"/>
      <c r="X25" s="6">
        <f t="shared" si="19"/>
        <v>152.11000000000058</v>
      </c>
      <c r="Y25" s="2"/>
      <c r="Z25" s="7">
        <f t="shared" si="20"/>
        <v>1.741891746426558E-2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1369.46</v>
      </c>
      <c r="I26" s="2"/>
      <c r="J26" s="7">
        <f t="shared" si="14"/>
        <v>2.0316848240356743E-2</v>
      </c>
      <c r="K26" s="2"/>
      <c r="L26" s="6">
        <f t="shared" si="15"/>
        <v>-1369.46</v>
      </c>
      <c r="M26" s="2"/>
      <c r="N26" s="7">
        <f t="shared" si="16"/>
        <v>-1</v>
      </c>
      <c r="O26" s="11"/>
      <c r="P26" s="6">
        <v>12146.21</v>
      </c>
      <c r="Q26" s="2"/>
      <c r="R26" s="7">
        <f t="shared" si="17"/>
        <v>1.6838359698741361E-2</v>
      </c>
      <c r="S26" s="2"/>
      <c r="T26" s="6">
        <v>12946.83</v>
      </c>
      <c r="U26" s="2"/>
      <c r="V26" s="7">
        <f t="shared" si="18"/>
        <v>1.3663184477067805E-2</v>
      </c>
      <c r="W26" s="2"/>
      <c r="X26" s="6">
        <f t="shared" si="19"/>
        <v>-800.6200000000008</v>
      </c>
      <c r="Y26" s="2"/>
      <c r="Z26" s="7">
        <f t="shared" si="20"/>
        <v>-6.1839075665626318E-2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75.56</v>
      </c>
      <c r="I27" s="2"/>
      <c r="J27" s="7">
        <f t="shared" si="14"/>
        <v>1.1209827618487256E-3</v>
      </c>
      <c r="K27" s="2"/>
      <c r="L27" s="6">
        <f t="shared" si="15"/>
        <v>-75.56</v>
      </c>
      <c r="M27" s="2"/>
      <c r="N27" s="7">
        <f t="shared" si="16"/>
        <v>-1</v>
      </c>
      <c r="O27" s="11"/>
      <c r="P27" s="6">
        <v>699.48</v>
      </c>
      <c r="Q27" s="2"/>
      <c r="R27" s="7">
        <f t="shared" si="17"/>
        <v>9.6969308468037425E-4</v>
      </c>
      <c r="S27" s="2"/>
      <c r="T27" s="6">
        <v>732.25</v>
      </c>
      <c r="U27" s="2"/>
      <c r="V27" s="7">
        <f t="shared" si="18"/>
        <v>7.7276575295519452E-4</v>
      </c>
      <c r="W27" s="2"/>
      <c r="X27" s="6">
        <f t="shared" si="19"/>
        <v>-32.769999999999982</v>
      </c>
      <c r="Y27" s="2"/>
      <c r="Z27" s="7">
        <f t="shared" si="20"/>
        <v>-4.475247524752473E-2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644.38</v>
      </c>
      <c r="I28" s="2"/>
      <c r="J28" s="7">
        <f t="shared" si="14"/>
        <v>9.5598050831138398E-3</v>
      </c>
      <c r="K28" s="2"/>
      <c r="L28" s="6">
        <f t="shared" si="15"/>
        <v>-644.38</v>
      </c>
      <c r="M28" s="2"/>
      <c r="N28" s="7">
        <f t="shared" si="16"/>
        <v>-1</v>
      </c>
      <c r="O28" s="11"/>
      <c r="P28" s="6">
        <v>6335.08</v>
      </c>
      <c r="Q28" s="2"/>
      <c r="R28" s="7">
        <f t="shared" si="17"/>
        <v>8.7823572752572555E-3</v>
      </c>
      <c r="S28" s="2"/>
      <c r="T28" s="6">
        <v>6751.13</v>
      </c>
      <c r="U28" s="2"/>
      <c r="V28" s="7">
        <f t="shared" si="18"/>
        <v>7.1246733461910582E-3</v>
      </c>
      <c r="W28" s="2"/>
      <c r="X28" s="6">
        <f t="shared" si="19"/>
        <v>-416.05000000000018</v>
      </c>
      <c r="Y28" s="2"/>
      <c r="Z28" s="7">
        <f t="shared" si="20"/>
        <v>-6.1626720267570045E-2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552.07000000000005</v>
      </c>
      <c r="I29" s="2"/>
      <c r="J29" s="7">
        <f t="shared" si="14"/>
        <v>8.1903249514799614E-3</v>
      </c>
      <c r="K29" s="2"/>
      <c r="L29" s="6">
        <f t="shared" si="15"/>
        <v>-552.07000000000005</v>
      </c>
      <c r="M29" s="2"/>
      <c r="N29" s="7">
        <f t="shared" si="16"/>
        <v>-1</v>
      </c>
      <c r="O29" s="11"/>
      <c r="P29" s="6">
        <v>3696.18</v>
      </c>
      <c r="Q29" s="2"/>
      <c r="R29" s="7">
        <f t="shared" si="17"/>
        <v>5.1240352629580623E-3</v>
      </c>
      <c r="S29" s="2"/>
      <c r="T29" s="6">
        <v>4302.1000000000004</v>
      </c>
      <c r="U29" s="2"/>
      <c r="V29" s="7">
        <f t="shared" si="18"/>
        <v>4.540137310738877E-3</v>
      </c>
      <c r="W29" s="2"/>
      <c r="X29" s="6">
        <f t="shared" si="19"/>
        <v>-605.92000000000053</v>
      </c>
      <c r="Y29" s="2"/>
      <c r="Z29" s="7">
        <f t="shared" si="20"/>
        <v>-0.14084284419237128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661.4</v>
      </c>
      <c r="I30" s="2"/>
      <c r="J30" s="7">
        <f t="shared" si="14"/>
        <v>9.8123080821432909E-3</v>
      </c>
      <c r="K30" s="2"/>
      <c r="L30" s="6">
        <f t="shared" si="15"/>
        <v>-661.4</v>
      </c>
      <c r="M30" s="2"/>
      <c r="N30" s="7">
        <f t="shared" si="16"/>
        <v>-1</v>
      </c>
      <c r="O30" s="11"/>
      <c r="P30" s="6">
        <v>508.77</v>
      </c>
      <c r="Q30" s="2"/>
      <c r="R30" s="7">
        <f t="shared" si="17"/>
        <v>7.0531073181911411E-4</v>
      </c>
      <c r="S30" s="2"/>
      <c r="T30" s="6">
        <v>-1606.9</v>
      </c>
      <c r="U30" s="2"/>
      <c r="V30" s="7">
        <f t="shared" si="18"/>
        <v>-1.6958105680077871E-3</v>
      </c>
      <c r="W30" s="2"/>
      <c r="X30" s="6">
        <f t="shared" si="19"/>
        <v>2115.67</v>
      </c>
      <c r="Y30" s="2"/>
      <c r="Z30" s="7">
        <f t="shared" si="20"/>
        <v>-1.3166158441720082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248.19</v>
      </c>
      <c r="I31" s="2"/>
      <c r="J31" s="7">
        <f t="shared" si="14"/>
        <v>3.682063415341916E-3</v>
      </c>
      <c r="K31" s="2"/>
      <c r="L31" s="6">
        <f t="shared" si="15"/>
        <v>-248.19</v>
      </c>
      <c r="M31" s="2"/>
      <c r="N31" s="7">
        <f t="shared" si="16"/>
        <v>-1</v>
      </c>
      <c r="O31" s="11"/>
      <c r="P31" s="6">
        <v>2556.33</v>
      </c>
      <c r="Q31" s="2"/>
      <c r="R31" s="7">
        <f t="shared" si="17"/>
        <v>3.5438547537613384E-3</v>
      </c>
      <c r="S31" s="2"/>
      <c r="T31" s="6">
        <v>3091</v>
      </c>
      <c r="U31" s="2"/>
      <c r="V31" s="7">
        <f t="shared" si="18"/>
        <v>3.2620265515664135E-3</v>
      </c>
      <c r="W31" s="2"/>
      <c r="X31" s="6">
        <f t="shared" si="19"/>
        <v>-534.67000000000007</v>
      </c>
      <c r="Y31" s="2"/>
      <c r="Z31" s="7">
        <f t="shared" si="20"/>
        <v>-0.17297638304755744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29128.629999999997</v>
      </c>
      <c r="I32" s="1"/>
      <c r="J32" s="5">
        <f t="shared" ref="J32:J37" si="22">IF(H$12=0,0,H32/H$12)</f>
        <v>0.43214256360865055</v>
      </c>
      <c r="K32" s="1"/>
      <c r="L32" s="1">
        <f t="shared" ref="L32:L37" si="23">+D32-H32</f>
        <v>-29128.629999999997</v>
      </c>
      <c r="M32" s="1"/>
      <c r="N32" s="5">
        <f t="shared" ref="N32:N37" si="24">IF(H32=0,0,L32/H32)</f>
        <v>-1</v>
      </c>
      <c r="O32" s="13"/>
      <c r="P32" s="1">
        <f>SUM(OSRRefP22_1x_0)</f>
        <v>247791.51</v>
      </c>
      <c r="Q32" s="1"/>
      <c r="R32" s="5">
        <f t="shared" ref="R32:R37" si="25">IF(P$12=0,0,P32/P$12)</f>
        <v>0.34351477338809944</v>
      </c>
      <c r="S32" s="1"/>
      <c r="T32" s="1">
        <f>SUM(OSRRefT22_1x_0)</f>
        <v>279489.88999999996</v>
      </c>
      <c r="U32" s="1"/>
      <c r="V32" s="5">
        <f t="shared" ref="V32:V37" si="26">IF(T$12=0,0,T32/T$12)</f>
        <v>0.29495420319455712</v>
      </c>
      <c r="W32" s="1"/>
      <c r="X32" s="1">
        <f t="shared" ref="X32:X37" si="27">+P32-T32</f>
        <v>-31698.379999999946</v>
      </c>
      <c r="Y32" s="1"/>
      <c r="Z32" s="5">
        <f t="shared" ref="Z32:Z37" si="28">IF(T32=0,0,X32/T32)</f>
        <v>-0.11341512209976522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11883.72</v>
      </c>
      <c r="I33" s="2"/>
      <c r="J33" s="7">
        <f t="shared" si="22"/>
        <v>0.17630287541869952</v>
      </c>
      <c r="K33" s="2"/>
      <c r="L33" s="6">
        <f t="shared" si="23"/>
        <v>-11883.72</v>
      </c>
      <c r="M33" s="2"/>
      <c r="N33" s="7">
        <f t="shared" si="24"/>
        <v>-1</v>
      </c>
      <c r="O33" s="11"/>
      <c r="P33" s="6">
        <v>97485.84</v>
      </c>
      <c r="Q33" s="2"/>
      <c r="R33" s="7">
        <f t="shared" si="25"/>
        <v>0.13514517198813034</v>
      </c>
      <c r="S33" s="2"/>
      <c r="T33" s="6">
        <v>95405.549999999988</v>
      </c>
      <c r="U33" s="2"/>
      <c r="V33" s="7">
        <f t="shared" si="26"/>
        <v>0.10068438604555063</v>
      </c>
      <c r="W33" s="2"/>
      <c r="X33" s="6">
        <f t="shared" si="27"/>
        <v>2080.2900000000081</v>
      </c>
      <c r="Y33" s="2"/>
      <c r="Z33" s="7">
        <f t="shared" si="28"/>
        <v>2.1804706329977747E-2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45.5</v>
      </c>
      <c r="Q34" s="2"/>
      <c r="R34" s="7">
        <f t="shared" si="25"/>
        <v>6.3076907635610771E-5</v>
      </c>
      <c r="S34" s="2"/>
      <c r="T34" s="6"/>
      <c r="U34" s="2"/>
      <c r="V34" s="7">
        <f t="shared" si="26"/>
        <v>0</v>
      </c>
      <c r="W34" s="2"/>
      <c r="X34" s="6">
        <f t="shared" si="27"/>
        <v>45.5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1"/>
        <v>0</v>
      </c>
      <c r="G35" s="2"/>
      <c r="H35" s="6">
        <v>1345.13</v>
      </c>
      <c r="I35" s="2"/>
      <c r="J35" s="7">
        <f t="shared" si="22"/>
        <v>1.9955896538453893E-2</v>
      </c>
      <c r="K35" s="2"/>
      <c r="L35" s="6">
        <f t="shared" si="23"/>
        <v>-1345.13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4166.08</v>
      </c>
      <c r="U35" s="2"/>
      <c r="V35" s="7">
        <f t="shared" si="26"/>
        <v>4.3965912571820778E-3</v>
      </c>
      <c r="W35" s="2"/>
      <c r="X35" s="6">
        <f t="shared" si="27"/>
        <v>-4166.08</v>
      </c>
      <c r="Y35" s="2"/>
      <c r="Z35" s="7">
        <f t="shared" si="28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1"/>
        <v>0</v>
      </c>
      <c r="G36" s="2"/>
      <c r="H36" s="6">
        <v>15611.78</v>
      </c>
      <c r="I36" s="2"/>
      <c r="J36" s="7">
        <f t="shared" si="22"/>
        <v>0.23161112045757937</v>
      </c>
      <c r="K36" s="2"/>
      <c r="L36" s="6">
        <f t="shared" si="23"/>
        <v>-15611.78</v>
      </c>
      <c r="M36" s="2"/>
      <c r="N36" s="7">
        <f t="shared" si="24"/>
        <v>-1</v>
      </c>
      <c r="O36" s="11"/>
      <c r="P36" s="6">
        <v>142995.32</v>
      </c>
      <c r="Q36" s="2"/>
      <c r="R36" s="7">
        <f t="shared" si="25"/>
        <v>0.19823522180141992</v>
      </c>
      <c r="S36" s="2"/>
      <c r="T36" s="6">
        <v>172584.19999999998</v>
      </c>
      <c r="U36" s="2"/>
      <c r="V36" s="7">
        <f t="shared" si="26"/>
        <v>0.18213336874178199</v>
      </c>
      <c r="W36" s="2"/>
      <c r="X36" s="6">
        <f t="shared" si="27"/>
        <v>-29588.879999999976</v>
      </c>
      <c r="Y36" s="2"/>
      <c r="Z36" s="7">
        <f t="shared" si="28"/>
        <v>-0.17144605357848505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1"/>
        <v>0</v>
      </c>
      <c r="G37" s="2"/>
      <c r="H37" s="6">
        <v>288</v>
      </c>
      <c r="I37" s="2"/>
      <c r="J37" s="7">
        <f t="shared" si="22"/>
        <v>4.2726711939178527E-3</v>
      </c>
      <c r="K37" s="2"/>
      <c r="L37" s="6">
        <f t="shared" si="23"/>
        <v>-288</v>
      </c>
      <c r="M37" s="2"/>
      <c r="N37" s="7">
        <f t="shared" si="24"/>
        <v>-1</v>
      </c>
      <c r="O37" s="11"/>
      <c r="P37" s="6">
        <v>7264.85</v>
      </c>
      <c r="Q37" s="2"/>
      <c r="R37" s="7">
        <f t="shared" si="25"/>
        <v>1.007130269091356E-2</v>
      </c>
      <c r="S37" s="2"/>
      <c r="T37" s="6">
        <v>7334.06</v>
      </c>
      <c r="U37" s="2"/>
      <c r="V37" s="7">
        <f t="shared" si="26"/>
        <v>7.739857150042437E-3</v>
      </c>
      <c r="W37" s="2"/>
      <c r="X37" s="6">
        <f t="shared" si="27"/>
        <v>-69.210000000000036</v>
      </c>
      <c r="Y37" s="2"/>
      <c r="Z37" s="7">
        <f t="shared" si="28"/>
        <v>-9.4367921724120112E-3</v>
      </c>
    </row>
    <row r="38" spans="1:26" s="27" customFormat="1" outlineLevel="1" collapsed="1" x14ac:dyDescent="0.25">
      <c r="A38" s="25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30.68</v>
      </c>
      <c r="E38" s="1"/>
      <c r="F38" s="5">
        <f t="shared" ref="F38:F46" si="29">IF(D$12=0,0,D38/D$12)</f>
        <v>0</v>
      </c>
      <c r="G38" s="1"/>
      <c r="H38" s="1">
        <f>SUM(OSRRefH22_2x_0)</f>
        <v>32.53</v>
      </c>
      <c r="I38" s="1"/>
      <c r="J38" s="5">
        <f t="shared" ref="J38:J46" si="30">IF(H$12=0,0,H38/H$12)</f>
        <v>4.8260414561856856E-4</v>
      </c>
      <c r="K38" s="1"/>
      <c r="L38" s="1">
        <f t="shared" ref="L38:L46" si="31">+D38-H38</f>
        <v>-1.8500000000000014</v>
      </c>
      <c r="M38" s="1"/>
      <c r="N38" s="5">
        <f t="shared" ref="N38:N46" si="32">IF(H38=0,0,L38/H38)</f>
        <v>-5.68705810021519E-2</v>
      </c>
      <c r="O38" s="13"/>
      <c r="P38" s="1">
        <f>SUM(OSRRefP22_2x_0)</f>
        <v>1426.98</v>
      </c>
      <c r="Q38" s="1"/>
      <c r="R38" s="5">
        <f t="shared" ref="R38:R46" si="33">IF(P$12=0,0,P38/P$12)</f>
        <v>1.9782304540189861E-3</v>
      </c>
      <c r="S38" s="1"/>
      <c r="T38" s="1">
        <f>SUM(OSRRefT22_2x_0)</f>
        <v>2930.87</v>
      </c>
      <c r="U38" s="1"/>
      <c r="V38" s="5">
        <f t="shared" ref="V38:V46" si="34">IF(T$12=0,0,T38/T$12)</f>
        <v>3.0930364798412986E-3</v>
      </c>
      <c r="W38" s="1"/>
      <c r="X38" s="1">
        <f t="shared" ref="X38:X46" si="35">+P38-T38</f>
        <v>-1503.8899999999999</v>
      </c>
      <c r="Y38" s="1"/>
      <c r="Z38" s="5">
        <f t="shared" ref="Z38:Z46" si="36">IF(T38=0,0,X38/T38)</f>
        <v>-0.51312067747801848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30.68</v>
      </c>
      <c r="E39" s="2"/>
      <c r="F39" s="7">
        <f t="shared" si="29"/>
        <v>0</v>
      </c>
      <c r="G39" s="2"/>
      <c r="H39" s="6">
        <v>32.53</v>
      </c>
      <c r="I39" s="2"/>
      <c r="J39" s="7">
        <f t="shared" si="30"/>
        <v>4.8260414561856856E-4</v>
      </c>
      <c r="K39" s="2"/>
      <c r="L39" s="6">
        <f t="shared" si="31"/>
        <v>-1.8500000000000014</v>
      </c>
      <c r="M39" s="2"/>
      <c r="N39" s="7">
        <f t="shared" si="32"/>
        <v>-5.68705810021519E-2</v>
      </c>
      <c r="O39" s="11"/>
      <c r="P39" s="6">
        <v>1426.98</v>
      </c>
      <c r="Q39" s="2"/>
      <c r="R39" s="7">
        <f t="shared" si="33"/>
        <v>1.9782304540189861E-3</v>
      </c>
      <c r="S39" s="2"/>
      <c r="T39" s="6">
        <v>2930.87</v>
      </c>
      <c r="U39" s="2"/>
      <c r="V39" s="7">
        <f t="shared" si="34"/>
        <v>3.0930364798412986E-3</v>
      </c>
      <c r="W39" s="2"/>
      <c r="X39" s="6">
        <f t="shared" si="35"/>
        <v>-1503.8899999999999</v>
      </c>
      <c r="Y39" s="2"/>
      <c r="Z39" s="7">
        <f t="shared" si="36"/>
        <v>-0.51312067747801848</v>
      </c>
    </row>
    <row r="40" spans="1:26" s="27" customFormat="1" outlineLevel="1" collapsed="1" x14ac:dyDescent="0.25">
      <c r="A40" s="25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29"/>
        <v>0</v>
      </c>
      <c r="G40" s="1"/>
      <c r="H40" s="1">
        <f>SUM(OSRRefH22_3x_0)</f>
        <v>12.53</v>
      </c>
      <c r="I40" s="1"/>
      <c r="J40" s="5">
        <f t="shared" si="30"/>
        <v>1.8589086826316213E-4</v>
      </c>
      <c r="K40" s="1"/>
      <c r="L40" s="1">
        <f t="shared" si="31"/>
        <v>-12.53</v>
      </c>
      <c r="M40" s="1"/>
      <c r="N40" s="5">
        <f t="shared" si="32"/>
        <v>-1</v>
      </c>
      <c r="O40" s="13"/>
      <c r="P40" s="1">
        <f>SUM(OSRRefP22_3x_0)</f>
        <v>195.92</v>
      </c>
      <c r="Q40" s="1"/>
      <c r="R40" s="5">
        <f t="shared" si="33"/>
        <v>2.7160500536195303E-4</v>
      </c>
      <c r="S40" s="1"/>
      <c r="T40" s="1">
        <f>SUM(OSRRefT22_3x_0)</f>
        <v>72.22</v>
      </c>
      <c r="U40" s="1"/>
      <c r="V40" s="5">
        <f t="shared" si="34"/>
        <v>7.6215968150801161E-5</v>
      </c>
      <c r="W40" s="1"/>
      <c r="X40" s="1">
        <f t="shared" si="35"/>
        <v>123.69999999999999</v>
      </c>
      <c r="Y40" s="1"/>
      <c r="Z40" s="5">
        <f t="shared" si="36"/>
        <v>1.7128219329825531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/>
      <c r="E41" s="2"/>
      <c r="F41" s="7">
        <f t="shared" si="29"/>
        <v>0</v>
      </c>
      <c r="G41" s="2"/>
      <c r="H41" s="6">
        <v>12.53</v>
      </c>
      <c r="I41" s="2"/>
      <c r="J41" s="7">
        <f t="shared" si="30"/>
        <v>1.8589086826316213E-4</v>
      </c>
      <c r="K41" s="2"/>
      <c r="L41" s="6">
        <f t="shared" si="31"/>
        <v>-12.53</v>
      </c>
      <c r="M41" s="2"/>
      <c r="N41" s="7">
        <f t="shared" si="32"/>
        <v>-1</v>
      </c>
      <c r="O41" s="11"/>
      <c r="P41" s="6">
        <v>195.92</v>
      </c>
      <c r="Q41" s="2"/>
      <c r="R41" s="7">
        <f t="shared" si="33"/>
        <v>2.7160500536195303E-4</v>
      </c>
      <c r="S41" s="2"/>
      <c r="T41" s="6">
        <v>72.22</v>
      </c>
      <c r="U41" s="2"/>
      <c r="V41" s="7">
        <f t="shared" si="34"/>
        <v>7.6215968150801161E-5</v>
      </c>
      <c r="W41" s="2"/>
      <c r="X41" s="6">
        <f t="shared" si="35"/>
        <v>123.69999999999999</v>
      </c>
      <c r="Y41" s="2"/>
      <c r="Z41" s="7">
        <f t="shared" si="36"/>
        <v>1.7128219329825531</v>
      </c>
    </row>
    <row r="42" spans="1:26" s="27" customFormat="1" outlineLevel="1" collapsed="1" x14ac:dyDescent="0.25">
      <c r="A42" s="25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29"/>
        <v>0</v>
      </c>
      <c r="G42" s="1"/>
      <c r="H42" s="1">
        <f>SUM(OSRRefH22_4x_0)</f>
        <v>3797.68</v>
      </c>
      <c r="I42" s="1"/>
      <c r="J42" s="5">
        <f t="shared" si="30"/>
        <v>5.6341103957353991E-2</v>
      </c>
      <c r="K42" s="1"/>
      <c r="L42" s="1">
        <f t="shared" si="31"/>
        <v>-3797.68</v>
      </c>
      <c r="M42" s="1"/>
      <c r="N42" s="5">
        <f t="shared" si="32"/>
        <v>-1</v>
      </c>
      <c r="O42" s="13"/>
      <c r="P42" s="1">
        <f>SUM(OSRRefP22_4x_0)</f>
        <v>25022.129999999997</v>
      </c>
      <c r="Q42" s="1"/>
      <c r="R42" s="5">
        <f t="shared" si="33"/>
        <v>3.4688320502335064E-2</v>
      </c>
      <c r="S42" s="1"/>
      <c r="T42" s="1">
        <f>SUM(OSRRefT22_4x_0)</f>
        <v>33175.49</v>
      </c>
      <c r="U42" s="1"/>
      <c r="V42" s="5">
        <f t="shared" si="34"/>
        <v>3.5011106192567462E-2</v>
      </c>
      <c r="W42" s="1"/>
      <c r="X42" s="1">
        <f t="shared" si="35"/>
        <v>-8153.3600000000006</v>
      </c>
      <c r="Y42" s="1"/>
      <c r="Z42" s="5">
        <f t="shared" si="36"/>
        <v>-0.24576456896341248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9"/>
        <v>0</v>
      </c>
      <c r="G43" s="2"/>
      <c r="H43" s="6">
        <v>3797.68</v>
      </c>
      <c r="I43" s="2"/>
      <c r="J43" s="7">
        <f t="shared" si="30"/>
        <v>5.6341103957353991E-2</v>
      </c>
      <c r="K43" s="2"/>
      <c r="L43" s="6">
        <f t="shared" si="31"/>
        <v>-3797.68</v>
      </c>
      <c r="M43" s="2"/>
      <c r="N43" s="7">
        <f t="shared" si="32"/>
        <v>-1</v>
      </c>
      <c r="O43" s="11"/>
      <c r="P43" s="6">
        <v>25022.129999999997</v>
      </c>
      <c r="Q43" s="2"/>
      <c r="R43" s="7">
        <f t="shared" si="33"/>
        <v>3.4688320502335064E-2</v>
      </c>
      <c r="S43" s="2"/>
      <c r="T43" s="6">
        <v>33175.49</v>
      </c>
      <c r="U43" s="2"/>
      <c r="V43" s="7">
        <f t="shared" si="34"/>
        <v>3.5011106192567462E-2</v>
      </c>
      <c r="W43" s="2"/>
      <c r="X43" s="6">
        <f t="shared" si="35"/>
        <v>-8153.3600000000006</v>
      </c>
      <c r="Y43" s="2"/>
      <c r="Z43" s="7">
        <f t="shared" si="36"/>
        <v>-0.24576456896341248</v>
      </c>
    </row>
    <row r="44" spans="1:26" s="27" customFormat="1" outlineLevel="1" collapsed="1" x14ac:dyDescent="0.25">
      <c r="A44" s="25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5330.0599999999995</v>
      </c>
      <c r="E44" s="1"/>
      <c r="F44" s="5">
        <f t="shared" si="29"/>
        <v>0</v>
      </c>
      <c r="G44" s="1"/>
      <c r="H44" s="1">
        <f>SUM(OSRRefH22_5x_0)</f>
        <v>5887.3099999999995</v>
      </c>
      <c r="I44" s="1"/>
      <c r="J44" s="5">
        <f t="shared" si="30"/>
        <v>8.7342152245362889E-2</v>
      </c>
      <c r="K44" s="1"/>
      <c r="L44" s="1">
        <f t="shared" si="31"/>
        <v>-557.25</v>
      </c>
      <c r="M44" s="1"/>
      <c r="N44" s="5">
        <f t="shared" si="32"/>
        <v>-9.4652736139255456E-2</v>
      </c>
      <c r="O44" s="13"/>
      <c r="P44" s="1">
        <f>SUM(OSRRefP22_5x_0)</f>
        <v>61279.76</v>
      </c>
      <c r="Q44" s="1"/>
      <c r="R44" s="5">
        <f t="shared" si="33"/>
        <v>8.4952478273679036E-2</v>
      </c>
      <c r="S44" s="1"/>
      <c r="T44" s="1">
        <f>SUM(OSRRefT22_5x_0)</f>
        <v>33001.46</v>
      </c>
      <c r="U44" s="1"/>
      <c r="V44" s="5">
        <f t="shared" si="34"/>
        <v>3.4827447026999976E-2</v>
      </c>
      <c r="W44" s="1"/>
      <c r="X44" s="1">
        <f t="shared" si="35"/>
        <v>28278.300000000003</v>
      </c>
      <c r="Y44" s="1"/>
      <c r="Z44" s="5">
        <f t="shared" si="36"/>
        <v>0.85688027135769151</v>
      </c>
    </row>
    <row r="45" spans="1:26" s="24" customFormat="1" hidden="1" outlineLevel="2" x14ac:dyDescent="0.25">
      <c r="A45" s="26"/>
      <c r="B45" s="11" t="str">
        <f>CONCATENATE("          ", "6321", " - ", "BUILDING DEPRECIATION")</f>
        <v xml:space="preserve">          6321 - BUILDING DEPRECIATION</v>
      </c>
      <c r="C45" s="11"/>
      <c r="D45" s="6">
        <v>4626.5</v>
      </c>
      <c r="E45" s="2"/>
      <c r="F45" s="7">
        <f t="shared" si="29"/>
        <v>0</v>
      </c>
      <c r="G45" s="2"/>
      <c r="H45" s="6">
        <v>4901.24</v>
      </c>
      <c r="I45" s="2"/>
      <c r="J45" s="7">
        <f t="shared" si="30"/>
        <v>7.2713149175270608E-2</v>
      </c>
      <c r="K45" s="2"/>
      <c r="L45" s="6">
        <f t="shared" si="31"/>
        <v>-274.73999999999978</v>
      </c>
      <c r="M45" s="2"/>
      <c r="N45" s="7">
        <f t="shared" si="32"/>
        <v>-5.6055202356954527E-2</v>
      </c>
      <c r="O45" s="11"/>
      <c r="P45" s="6">
        <v>50891.5</v>
      </c>
      <c r="Q45" s="2"/>
      <c r="R45" s="7">
        <f t="shared" si="33"/>
        <v>7.0551174614015069E-2</v>
      </c>
      <c r="S45" s="2"/>
      <c r="T45" s="6">
        <v>22154.69</v>
      </c>
      <c r="U45" s="2"/>
      <c r="V45" s="7">
        <f t="shared" si="34"/>
        <v>2.3380519903501422E-2</v>
      </c>
      <c r="W45" s="2"/>
      <c r="X45" s="6">
        <f t="shared" si="35"/>
        <v>28736.81</v>
      </c>
      <c r="Y45" s="2"/>
      <c r="Z45" s="7">
        <f t="shared" si="36"/>
        <v>1.2970982667778246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703.56</v>
      </c>
      <c r="E46" s="2"/>
      <c r="F46" s="7">
        <f t="shared" si="29"/>
        <v>0</v>
      </c>
      <c r="G46" s="2"/>
      <c r="H46" s="6">
        <v>986.07</v>
      </c>
      <c r="I46" s="2"/>
      <c r="J46" s="7">
        <f t="shared" si="30"/>
        <v>1.4629003070092282E-2</v>
      </c>
      <c r="K46" s="2"/>
      <c r="L46" s="6">
        <f t="shared" si="31"/>
        <v>-282.5100000000001</v>
      </c>
      <c r="M46" s="2"/>
      <c r="N46" s="7">
        <f t="shared" si="32"/>
        <v>-0.28650095834981298</v>
      </c>
      <c r="O46" s="11"/>
      <c r="P46" s="6">
        <v>10388.26</v>
      </c>
      <c r="Q46" s="2"/>
      <c r="R46" s="7">
        <f t="shared" si="33"/>
        <v>1.4401303659663956E-2</v>
      </c>
      <c r="S46" s="2"/>
      <c r="T46" s="6">
        <v>10846.77</v>
      </c>
      <c r="U46" s="2"/>
      <c r="V46" s="7">
        <f t="shared" si="34"/>
        <v>1.1446927123498553E-2</v>
      </c>
      <c r="W46" s="2"/>
      <c r="X46" s="6">
        <f t="shared" si="35"/>
        <v>-458.51000000000022</v>
      </c>
      <c r="Y46" s="2"/>
      <c r="Z46" s="7">
        <f t="shared" si="36"/>
        <v>-4.2271570246257661E-2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57" si="37">IF(D$12=0,0,D47/D$12)</f>
        <v>0</v>
      </c>
      <c r="G47" s="1"/>
      <c r="H47" s="1">
        <f>SUM(OSRRefH22_6x_0)</f>
        <v>91.73</v>
      </c>
      <c r="I47" s="1"/>
      <c r="J47" s="5">
        <f t="shared" ref="J47:J57" si="38">IF(H$12=0,0,H47/H$12)</f>
        <v>1.3608754465905717E-3</v>
      </c>
      <c r="K47" s="1"/>
      <c r="L47" s="1">
        <f t="shared" ref="L47:L57" si="39">+D47-H47</f>
        <v>-91.73</v>
      </c>
      <c r="M47" s="1"/>
      <c r="N47" s="5">
        <f t="shared" ref="N47:N57" si="40">IF(H47=0,0,L47/H47)</f>
        <v>-1</v>
      </c>
      <c r="O47" s="13"/>
      <c r="P47" s="1">
        <f>SUM(OSRRefP22_6x_0)</f>
        <v>186.48</v>
      </c>
      <c r="Q47" s="1"/>
      <c r="R47" s="5">
        <f t="shared" ref="R47:R57" si="41">IF(P$12=0,0,P47/P$12)</f>
        <v>2.585182799096417E-4</v>
      </c>
      <c r="S47" s="1"/>
      <c r="T47" s="1">
        <f>SUM(OSRRefT22_6x_0)</f>
        <v>258.82</v>
      </c>
      <c r="U47" s="1"/>
      <c r="V47" s="5">
        <f t="shared" ref="V47:V57" si="42">IF(T$12=0,0,T47/T$12)</f>
        <v>2.7314063800595894E-4</v>
      </c>
      <c r="W47" s="1"/>
      <c r="X47" s="1">
        <f t="shared" ref="X47:X57" si="43">+P47-T47</f>
        <v>-72.34</v>
      </c>
      <c r="Y47" s="1"/>
      <c r="Z47" s="5">
        <f t="shared" ref="Z47:Z57" si="44">IF(T47=0,0,X47/T47)</f>
        <v>-0.27949926589908047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37"/>
        <v>0</v>
      </c>
      <c r="G48" s="2"/>
      <c r="H48" s="6">
        <v>91.73</v>
      </c>
      <c r="I48" s="2"/>
      <c r="J48" s="7">
        <f t="shared" si="38"/>
        <v>1.3608754465905717E-3</v>
      </c>
      <c r="K48" s="2"/>
      <c r="L48" s="6">
        <f t="shared" si="39"/>
        <v>-91.73</v>
      </c>
      <c r="M48" s="2"/>
      <c r="N48" s="7">
        <f t="shared" si="40"/>
        <v>-1</v>
      </c>
      <c r="O48" s="11"/>
      <c r="P48" s="6">
        <v>186.48</v>
      </c>
      <c r="Q48" s="2"/>
      <c r="R48" s="7">
        <f t="shared" si="41"/>
        <v>2.585182799096417E-4</v>
      </c>
      <c r="S48" s="2"/>
      <c r="T48" s="6">
        <v>258.82</v>
      </c>
      <c r="U48" s="2"/>
      <c r="V48" s="7">
        <f t="shared" si="42"/>
        <v>2.7314063800595894E-4</v>
      </c>
      <c r="W48" s="2"/>
      <c r="X48" s="6">
        <f t="shared" si="43"/>
        <v>-72.34</v>
      </c>
      <c r="Y48" s="2"/>
      <c r="Z48" s="7">
        <f t="shared" si="44"/>
        <v>-0.27949926589908047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240.32</v>
      </c>
      <c r="E49" s="1"/>
      <c r="F49" s="5">
        <f t="shared" si="37"/>
        <v>0</v>
      </c>
      <c r="G49" s="1"/>
      <c r="H49" s="1">
        <f>SUM(OSRRefH22_7x_0)</f>
        <v>320.87</v>
      </c>
      <c r="I49" s="1"/>
      <c r="J49" s="5">
        <f t="shared" si="38"/>
        <v>4.7603194652514631E-3</v>
      </c>
      <c r="K49" s="1"/>
      <c r="L49" s="1">
        <f t="shared" si="39"/>
        <v>-80.550000000000011</v>
      </c>
      <c r="M49" s="1"/>
      <c r="N49" s="5">
        <f t="shared" si="40"/>
        <v>-0.25103624520833984</v>
      </c>
      <c r="O49" s="13"/>
      <c r="P49" s="1">
        <f>SUM(OSRRefP22_7x_0)</f>
        <v>3521.32</v>
      </c>
      <c r="Q49" s="1"/>
      <c r="R49" s="5">
        <f t="shared" si="41"/>
        <v>4.8816258548445924E-3</v>
      </c>
      <c r="S49" s="1"/>
      <c r="T49" s="1">
        <f>SUM(OSRRefT22_7x_0)</f>
        <v>2665.26</v>
      </c>
      <c r="U49" s="1"/>
      <c r="V49" s="5">
        <f t="shared" si="42"/>
        <v>2.8127301477929149E-3</v>
      </c>
      <c r="W49" s="1"/>
      <c r="X49" s="1">
        <f t="shared" si="43"/>
        <v>856.06</v>
      </c>
      <c r="Y49" s="1"/>
      <c r="Z49" s="5">
        <f t="shared" si="44"/>
        <v>0.32119192874241159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240.32</v>
      </c>
      <c r="E50" s="2"/>
      <c r="F50" s="7">
        <f t="shared" si="37"/>
        <v>0</v>
      </c>
      <c r="G50" s="2"/>
      <c r="H50" s="6">
        <v>320.87</v>
      </c>
      <c r="I50" s="2"/>
      <c r="J50" s="7">
        <f t="shared" si="38"/>
        <v>4.7603194652514631E-3</v>
      </c>
      <c r="K50" s="2"/>
      <c r="L50" s="6">
        <f t="shared" si="39"/>
        <v>-80.550000000000011</v>
      </c>
      <c r="M50" s="2"/>
      <c r="N50" s="7">
        <f t="shared" si="40"/>
        <v>-0.25103624520833984</v>
      </c>
      <c r="O50" s="11"/>
      <c r="P50" s="6">
        <v>3521.32</v>
      </c>
      <c r="Q50" s="2"/>
      <c r="R50" s="7">
        <f t="shared" si="41"/>
        <v>4.8816258548445924E-3</v>
      </c>
      <c r="S50" s="2"/>
      <c r="T50" s="6">
        <v>2665.26</v>
      </c>
      <c r="U50" s="2"/>
      <c r="V50" s="7">
        <f t="shared" si="42"/>
        <v>2.8127301477929149E-3</v>
      </c>
      <c r="W50" s="2"/>
      <c r="X50" s="6">
        <f t="shared" si="43"/>
        <v>856.06</v>
      </c>
      <c r="Y50" s="2"/>
      <c r="Z50" s="7">
        <f t="shared" si="44"/>
        <v>0.32119192874241159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37"/>
        <v>0</v>
      </c>
      <c r="G51" s="1"/>
      <c r="H51" s="1">
        <f>SUM(OSRRefH22_8x_0)</f>
        <v>1031.74</v>
      </c>
      <c r="I51" s="1"/>
      <c r="J51" s="5">
        <f t="shared" si="38"/>
        <v>1.5306547838933352E-2</v>
      </c>
      <c r="K51" s="1"/>
      <c r="L51" s="1">
        <f t="shared" si="39"/>
        <v>-1031.74</v>
      </c>
      <c r="M51" s="1"/>
      <c r="N51" s="5">
        <f t="shared" si="40"/>
        <v>-1</v>
      </c>
      <c r="O51" s="13"/>
      <c r="P51" s="1">
        <f>SUM(OSRRefP22_8x_0)</f>
        <v>9308.4599999999991</v>
      </c>
      <c r="Q51" s="1"/>
      <c r="R51" s="5">
        <f t="shared" si="41"/>
        <v>1.2904370805489614E-2</v>
      </c>
      <c r="S51" s="1"/>
      <c r="T51" s="1">
        <f>SUM(OSRRefT22_8x_0)</f>
        <v>12192.78</v>
      </c>
      <c r="U51" s="1"/>
      <c r="V51" s="5">
        <f t="shared" si="42"/>
        <v>1.2867412519381409E-2</v>
      </c>
      <c r="W51" s="1"/>
      <c r="X51" s="1">
        <f t="shared" si="43"/>
        <v>-2884.3200000000015</v>
      </c>
      <c r="Y51" s="1"/>
      <c r="Z51" s="5">
        <f t="shared" si="44"/>
        <v>-0.23655966891881927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7"/>
        <v>0</v>
      </c>
      <c r="G52" s="2"/>
      <c r="H52" s="6">
        <v>1031.74</v>
      </c>
      <c r="I52" s="2"/>
      <c r="J52" s="7">
        <f t="shared" si="38"/>
        <v>1.5306547838933352E-2</v>
      </c>
      <c r="K52" s="2"/>
      <c r="L52" s="6">
        <f t="shared" si="39"/>
        <v>-1031.74</v>
      </c>
      <c r="M52" s="2"/>
      <c r="N52" s="7">
        <f t="shared" si="40"/>
        <v>-1</v>
      </c>
      <c r="O52" s="11"/>
      <c r="P52" s="6">
        <v>9308.4599999999991</v>
      </c>
      <c r="Q52" s="2"/>
      <c r="R52" s="7">
        <f t="shared" si="41"/>
        <v>1.2904370805489614E-2</v>
      </c>
      <c r="S52" s="2"/>
      <c r="T52" s="6">
        <v>12192.78</v>
      </c>
      <c r="U52" s="2"/>
      <c r="V52" s="7">
        <f t="shared" si="42"/>
        <v>1.2867412519381409E-2</v>
      </c>
      <c r="W52" s="2"/>
      <c r="X52" s="6">
        <f t="shared" si="43"/>
        <v>-2884.3200000000015</v>
      </c>
      <c r="Y52" s="2"/>
      <c r="Z52" s="7">
        <f t="shared" si="44"/>
        <v>-0.23655966891881927</v>
      </c>
    </row>
    <row r="53" spans="1:26" s="27" customFormat="1" outlineLevel="1" collapsed="1" x14ac:dyDescent="0.25">
      <c r="A53" s="25"/>
      <c r="B53" s="13" t="str">
        <f>CONCATENATE("     ","Rent                                              ")</f>
        <v xml:space="preserve">     Rent                                              </v>
      </c>
      <c r="C53" s="13"/>
      <c r="D53" s="1">
        <f>SUM(OSRRefD22_9x_0)</f>
        <v>1850</v>
      </c>
      <c r="E53" s="1"/>
      <c r="F53" s="5">
        <f t="shared" si="37"/>
        <v>0</v>
      </c>
      <c r="G53" s="1"/>
      <c r="H53" s="1">
        <f>SUM(OSRRefH22_9x_0)</f>
        <v>1850</v>
      </c>
      <c r="I53" s="1"/>
      <c r="J53" s="5">
        <f t="shared" si="38"/>
        <v>2.7445978155375094E-2</v>
      </c>
      <c r="K53" s="1"/>
      <c r="L53" s="1">
        <f t="shared" si="39"/>
        <v>0</v>
      </c>
      <c r="M53" s="1"/>
      <c r="N53" s="5">
        <f t="shared" si="40"/>
        <v>0</v>
      </c>
      <c r="O53" s="13"/>
      <c r="P53" s="1">
        <f>SUM(OSRRefP22_9x_0)</f>
        <v>20350</v>
      </c>
      <c r="Q53" s="1"/>
      <c r="R53" s="5">
        <f t="shared" si="41"/>
        <v>2.821132022823471E-2</v>
      </c>
      <c r="S53" s="1"/>
      <c r="T53" s="1">
        <f>SUM(OSRRefT22_9x_0)</f>
        <v>20350</v>
      </c>
      <c r="U53" s="1"/>
      <c r="V53" s="5">
        <f t="shared" si="42"/>
        <v>2.1475975517430124E-2</v>
      </c>
      <c r="W53" s="1"/>
      <c r="X53" s="1">
        <f t="shared" si="43"/>
        <v>0</v>
      </c>
      <c r="Y53" s="1"/>
      <c r="Z53" s="5">
        <f t="shared" si="44"/>
        <v>0</v>
      </c>
    </row>
    <row r="54" spans="1:26" s="24" customFormat="1" hidden="1" outlineLevel="2" x14ac:dyDescent="0.25">
      <c r="A54" s="26"/>
      <c r="B54" s="11" t="str">
        <f>CONCATENATE("          ", "6273", " - ", "RENT")</f>
        <v xml:space="preserve">          6273 - RENT</v>
      </c>
      <c r="C54" s="11"/>
      <c r="D54" s="6">
        <v>1850</v>
      </c>
      <c r="E54" s="2"/>
      <c r="F54" s="7">
        <f t="shared" si="37"/>
        <v>0</v>
      </c>
      <c r="G54" s="2"/>
      <c r="H54" s="6">
        <v>1850</v>
      </c>
      <c r="I54" s="2"/>
      <c r="J54" s="7">
        <f t="shared" si="38"/>
        <v>2.7445978155375094E-2</v>
      </c>
      <c r="K54" s="2"/>
      <c r="L54" s="6">
        <f t="shared" si="39"/>
        <v>0</v>
      </c>
      <c r="M54" s="2"/>
      <c r="N54" s="7">
        <f t="shared" si="40"/>
        <v>0</v>
      </c>
      <c r="O54" s="11"/>
      <c r="P54" s="6">
        <v>20350</v>
      </c>
      <c r="Q54" s="2"/>
      <c r="R54" s="7">
        <f t="shared" si="41"/>
        <v>2.821132022823471E-2</v>
      </c>
      <c r="S54" s="2"/>
      <c r="T54" s="6">
        <v>20350</v>
      </c>
      <c r="U54" s="2"/>
      <c r="V54" s="7">
        <f t="shared" si="42"/>
        <v>2.1475975517430124E-2</v>
      </c>
      <c r="W54" s="2"/>
      <c r="X54" s="6">
        <f t="shared" si="43"/>
        <v>0</v>
      </c>
      <c r="Y54" s="2"/>
      <c r="Z54" s="7">
        <f t="shared" si="44"/>
        <v>0</v>
      </c>
    </row>
    <row r="55" spans="1:26" s="27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SUM(OSRRefD22_10x_0)</f>
        <v>1799</v>
      </c>
      <c r="E55" s="1"/>
      <c r="F55" s="5">
        <f t="shared" si="37"/>
        <v>0</v>
      </c>
      <c r="G55" s="1"/>
      <c r="H55" s="1">
        <f>SUM(OSRRefH22_10x_0)</f>
        <v>2978.81</v>
      </c>
      <c r="I55" s="1"/>
      <c r="J55" s="5">
        <f t="shared" si="38"/>
        <v>4.4192623885952909E-2</v>
      </c>
      <c r="K55" s="1"/>
      <c r="L55" s="1">
        <f t="shared" si="39"/>
        <v>-1179.81</v>
      </c>
      <c r="M55" s="1"/>
      <c r="N55" s="5">
        <f t="shared" si="40"/>
        <v>-0.39606755717887343</v>
      </c>
      <c r="O55" s="13"/>
      <c r="P55" s="1">
        <f>SUM(OSRRefP22_10x_0)</f>
        <v>29214.12</v>
      </c>
      <c r="Q55" s="1"/>
      <c r="R55" s="5">
        <f t="shared" si="41"/>
        <v>4.0499699975728561E-2</v>
      </c>
      <c r="S55" s="1"/>
      <c r="T55" s="1">
        <f>SUM(OSRRefT22_10x_0)</f>
        <v>38966.050000000003</v>
      </c>
      <c r="U55" s="1"/>
      <c r="V55" s="5">
        <f t="shared" si="42"/>
        <v>4.1122060727811209E-2</v>
      </c>
      <c r="W55" s="1"/>
      <c r="X55" s="1">
        <f t="shared" si="43"/>
        <v>-9751.9300000000039</v>
      </c>
      <c r="Y55" s="1"/>
      <c r="Z55" s="5">
        <f t="shared" si="44"/>
        <v>-0.25026734811457674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1799</v>
      </c>
      <c r="E56" s="2"/>
      <c r="F56" s="7">
        <f t="shared" si="37"/>
        <v>0</v>
      </c>
      <c r="G56" s="2"/>
      <c r="H56" s="6">
        <v>1799</v>
      </c>
      <c r="I56" s="2"/>
      <c r="J56" s="7">
        <f t="shared" si="38"/>
        <v>2.6689359298118807E-2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19986.759999999998</v>
      </c>
      <c r="Q56" s="2"/>
      <c r="R56" s="7">
        <f t="shared" si="41"/>
        <v>2.7707758559453184E-2</v>
      </c>
      <c r="S56" s="2"/>
      <c r="T56" s="6">
        <v>19957.66</v>
      </c>
      <c r="U56" s="2"/>
      <c r="V56" s="7">
        <f t="shared" si="42"/>
        <v>2.1061927152098009E-2</v>
      </c>
      <c r="W56" s="2"/>
      <c r="X56" s="6">
        <f t="shared" si="43"/>
        <v>29.099999999998545</v>
      </c>
      <c r="Y56" s="2"/>
      <c r="Z56" s="7">
        <f t="shared" si="44"/>
        <v>1.458086769691364E-3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7"/>
        <v>0</v>
      </c>
      <c r="G57" s="2"/>
      <c r="H57" s="6">
        <v>1179.81</v>
      </c>
      <c r="I57" s="2"/>
      <c r="J57" s="7">
        <f t="shared" si="38"/>
        <v>1.7503264587834102E-2</v>
      </c>
      <c r="K57" s="2"/>
      <c r="L57" s="6">
        <f t="shared" si="39"/>
        <v>-1179.81</v>
      </c>
      <c r="M57" s="2"/>
      <c r="N57" s="7">
        <f t="shared" si="40"/>
        <v>-1</v>
      </c>
      <c r="O57" s="11"/>
      <c r="P57" s="6">
        <v>9227.36</v>
      </c>
      <c r="Q57" s="2"/>
      <c r="R57" s="7">
        <f t="shared" si="41"/>
        <v>1.2791941416275373E-2</v>
      </c>
      <c r="S57" s="2"/>
      <c r="T57" s="6">
        <v>19008.390000000003</v>
      </c>
      <c r="U57" s="2"/>
      <c r="V57" s="7">
        <f t="shared" si="42"/>
        <v>2.0060133575713204E-2</v>
      </c>
      <c r="W57" s="2"/>
      <c r="X57" s="6">
        <f t="shared" si="43"/>
        <v>-9781.0300000000025</v>
      </c>
      <c r="Y57" s="2"/>
      <c r="Z57" s="7">
        <f t="shared" si="44"/>
        <v>-0.51456383207625689</v>
      </c>
    </row>
    <row r="58" spans="1:26" s="27" customFormat="1" outlineLevel="1" collapsed="1" x14ac:dyDescent="0.25">
      <c r="A58" s="25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SUM(OSRRefD22_11x_0)</f>
        <v>0</v>
      </c>
      <c r="E58" s="1"/>
      <c r="F58" s="5">
        <f t="shared" ref="F58:F63" si="45">IF(D$12=0,0,D58/D$12)</f>
        <v>0</v>
      </c>
      <c r="G58" s="1"/>
      <c r="H58" s="1">
        <f>SUM(OSRRefH22_11x_0)</f>
        <v>5465.44</v>
      </c>
      <c r="I58" s="1"/>
      <c r="J58" s="5">
        <f t="shared" ref="J58:J63" si="46">IF(H$12=0,0,H58/H$12)</f>
        <v>8.1083430729466624E-2</v>
      </c>
      <c r="K58" s="1"/>
      <c r="L58" s="1">
        <f t="shared" ref="L58:L63" si="47">+D58-H58</f>
        <v>-5465.44</v>
      </c>
      <c r="M58" s="1"/>
      <c r="N58" s="5">
        <f t="shared" ref="N58:N63" si="48">IF(H58=0,0,L58/H58)</f>
        <v>-1</v>
      </c>
      <c r="O58" s="13"/>
      <c r="P58" s="1">
        <f>SUM(OSRRefP22_11x_0)</f>
        <v>60535.320000000007</v>
      </c>
      <c r="Q58" s="1"/>
      <c r="R58" s="5">
        <f t="shared" ref="R58:R63" si="49">IF(P$12=0,0,P58/P$12)</f>
        <v>8.3920456886420705E-2</v>
      </c>
      <c r="S58" s="1"/>
      <c r="T58" s="1">
        <f>SUM(OSRRefT22_11x_0)</f>
        <v>75995.679999999993</v>
      </c>
      <c r="U58" s="1"/>
      <c r="V58" s="5">
        <f t="shared" ref="V58:V63" si="50">IF(T$12=0,0,T58/T$12)</f>
        <v>8.0200558383806089E-2</v>
      </c>
      <c r="W58" s="1"/>
      <c r="X58" s="1">
        <f t="shared" ref="X58:X63" si="51">+P58-T58</f>
        <v>-15460.359999999986</v>
      </c>
      <c r="Y58" s="1"/>
      <c r="Z58" s="5">
        <f t="shared" ref="Z58:Z63" si="52">IF(T58=0,0,X58/T58)</f>
        <v>-0.20343735328113371</v>
      </c>
    </row>
    <row r="59" spans="1:26" s="24" customFormat="1" hidden="1" outlineLevel="2" x14ac:dyDescent="0.25">
      <c r="A59" s="26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45"/>
        <v>0</v>
      </c>
      <c r="G59" s="2"/>
      <c r="H59" s="6">
        <v>5465.44</v>
      </c>
      <c r="I59" s="2"/>
      <c r="J59" s="7">
        <f t="shared" si="46"/>
        <v>8.1083430729466624E-2</v>
      </c>
      <c r="K59" s="2"/>
      <c r="L59" s="6">
        <f t="shared" si="47"/>
        <v>-5465.44</v>
      </c>
      <c r="M59" s="2"/>
      <c r="N59" s="7">
        <f t="shared" si="48"/>
        <v>-1</v>
      </c>
      <c r="O59" s="11"/>
      <c r="P59" s="6">
        <v>60535.320000000007</v>
      </c>
      <c r="Q59" s="2"/>
      <c r="R59" s="7">
        <f t="shared" si="49"/>
        <v>8.3920456886420705E-2</v>
      </c>
      <c r="S59" s="2"/>
      <c r="T59" s="6">
        <v>75995.679999999993</v>
      </c>
      <c r="U59" s="2"/>
      <c r="V59" s="7">
        <f t="shared" si="50"/>
        <v>8.0200558383806089E-2</v>
      </c>
      <c r="W59" s="2"/>
      <c r="X59" s="6">
        <f t="shared" si="51"/>
        <v>-15460.359999999986</v>
      </c>
      <c r="Y59" s="2"/>
      <c r="Z59" s="7">
        <f t="shared" si="52"/>
        <v>-0.20343735328113371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115</v>
      </c>
      <c r="E60" s="1"/>
      <c r="F60" s="5">
        <f t="shared" si="45"/>
        <v>0</v>
      </c>
      <c r="G60" s="1"/>
      <c r="H60" s="1">
        <f>SUM(OSRRefH22_12x_0)</f>
        <v>368.93999999999994</v>
      </c>
      <c r="I60" s="1"/>
      <c r="J60" s="5">
        <f t="shared" si="46"/>
        <v>5.4734698273751813E-3</v>
      </c>
      <c r="K60" s="1"/>
      <c r="L60" s="1">
        <f t="shared" si="47"/>
        <v>-253.93999999999994</v>
      </c>
      <c r="M60" s="1"/>
      <c r="N60" s="5">
        <f t="shared" si="48"/>
        <v>-0.68829619992410684</v>
      </c>
      <c r="O60" s="13"/>
      <c r="P60" s="1">
        <f>SUM(OSRRefP22_12x_0)</f>
        <v>3908.39</v>
      </c>
      <c r="Q60" s="1"/>
      <c r="R60" s="5">
        <f t="shared" si="49"/>
        <v>5.4182231875592258E-3</v>
      </c>
      <c r="S60" s="1"/>
      <c r="T60" s="1">
        <f>SUM(OSRRefT22_12x_0)</f>
        <v>3548.95</v>
      </c>
      <c r="U60" s="1"/>
      <c r="V60" s="5">
        <f t="shared" si="50"/>
        <v>3.7453151504955105E-3</v>
      </c>
      <c r="W60" s="1"/>
      <c r="X60" s="1">
        <f t="shared" si="51"/>
        <v>359.44000000000005</v>
      </c>
      <c r="Y60" s="1"/>
      <c r="Z60" s="5">
        <f t="shared" si="52"/>
        <v>0.10128066047704253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45"/>
        <v>0</v>
      </c>
      <c r="G61" s="2"/>
      <c r="H61" s="6">
        <v>193.92</v>
      </c>
      <c r="I61" s="2"/>
      <c r="J61" s="7">
        <f t="shared" si="46"/>
        <v>2.8769319372380204E-3</v>
      </c>
      <c r="K61" s="2"/>
      <c r="L61" s="6">
        <f t="shared" si="47"/>
        <v>-193.92</v>
      </c>
      <c r="M61" s="2"/>
      <c r="N61" s="7">
        <f t="shared" si="48"/>
        <v>-1</v>
      </c>
      <c r="O61" s="11"/>
      <c r="P61" s="6">
        <v>872.64</v>
      </c>
      <c r="Q61" s="2"/>
      <c r="R61" s="7">
        <f t="shared" si="49"/>
        <v>1.2097457731678985E-3</v>
      </c>
      <c r="S61" s="2"/>
      <c r="T61" s="6">
        <v>872.64</v>
      </c>
      <c r="U61" s="2"/>
      <c r="V61" s="7">
        <f t="shared" si="50"/>
        <v>9.2092360076315594E-4</v>
      </c>
      <c r="W61" s="2"/>
      <c r="X61" s="6">
        <f t="shared" si="51"/>
        <v>0</v>
      </c>
      <c r="Y61" s="2"/>
      <c r="Z61" s="7">
        <f t="shared" si="52"/>
        <v>0</v>
      </c>
    </row>
    <row r="62" spans="1:26" s="24" customFormat="1" hidden="1" outlineLevel="2" x14ac:dyDescent="0.25">
      <c r="A62" s="26"/>
      <c r="B62" s="11" t="str">
        <f>CONCATENATE("          ", "6284", " - ", "TRASH REMOVAL EXPENSE")</f>
        <v xml:space="preserve">          6284 - TRASH REMOVAL EXPENSE</v>
      </c>
      <c r="C62" s="11"/>
      <c r="D62" s="6">
        <v>115</v>
      </c>
      <c r="E62" s="2"/>
      <c r="F62" s="7">
        <f t="shared" si="45"/>
        <v>0</v>
      </c>
      <c r="G62" s="2"/>
      <c r="H62" s="6">
        <v>94</v>
      </c>
      <c r="I62" s="2"/>
      <c r="J62" s="7">
        <f t="shared" si="46"/>
        <v>1.3945524035704102E-3</v>
      </c>
      <c r="K62" s="2"/>
      <c r="L62" s="6">
        <f t="shared" si="47"/>
        <v>21</v>
      </c>
      <c r="M62" s="2"/>
      <c r="N62" s="7">
        <f t="shared" si="48"/>
        <v>0.22340425531914893</v>
      </c>
      <c r="O62" s="11"/>
      <c r="P62" s="6">
        <v>1169</v>
      </c>
      <c r="Q62" s="2"/>
      <c r="R62" s="7">
        <f t="shared" si="49"/>
        <v>1.6205913192533846E-3</v>
      </c>
      <c r="S62" s="2"/>
      <c r="T62" s="6">
        <v>1166.46</v>
      </c>
      <c r="U62" s="2"/>
      <c r="V62" s="7">
        <f t="shared" si="50"/>
        <v>1.2310008059981102E-3</v>
      </c>
      <c r="W62" s="2"/>
      <c r="X62" s="6">
        <f t="shared" si="51"/>
        <v>2.5399999999999636</v>
      </c>
      <c r="Y62" s="2"/>
      <c r="Z62" s="7">
        <f t="shared" si="52"/>
        <v>2.1775285907789069E-3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5"/>
        <v>0</v>
      </c>
      <c r="G63" s="2"/>
      <c r="H63" s="6">
        <v>81.02</v>
      </c>
      <c r="I63" s="2"/>
      <c r="J63" s="7">
        <f t="shared" si="46"/>
        <v>1.2019854865667513E-3</v>
      </c>
      <c r="K63" s="2"/>
      <c r="L63" s="6">
        <f t="shared" si="47"/>
        <v>-81.02</v>
      </c>
      <c r="M63" s="2"/>
      <c r="N63" s="7">
        <f t="shared" si="48"/>
        <v>-1</v>
      </c>
      <c r="O63" s="11"/>
      <c r="P63" s="6">
        <v>1866.75</v>
      </c>
      <c r="Q63" s="2"/>
      <c r="R63" s="7">
        <f t="shared" si="49"/>
        <v>2.5878860951379433E-3</v>
      </c>
      <c r="S63" s="2"/>
      <c r="T63" s="6">
        <v>1509.85</v>
      </c>
      <c r="U63" s="2"/>
      <c r="V63" s="7">
        <f t="shared" si="50"/>
        <v>1.5933907437342442E-3</v>
      </c>
      <c r="W63" s="2"/>
      <c r="X63" s="6">
        <f t="shared" si="51"/>
        <v>356.90000000000009</v>
      </c>
      <c r="Y63" s="2"/>
      <c r="Z63" s="7">
        <f t="shared" si="52"/>
        <v>0.23638109746001265</v>
      </c>
    </row>
    <row r="64" spans="1:26" s="27" customFormat="1" outlineLevel="1" collapsed="1" x14ac:dyDescent="0.25">
      <c r="A64" s="25"/>
      <c r="B64" s="13" t="str">
        <f>CONCATENATE("     ","Subscriptions &amp; Dues                              ")</f>
        <v xml:space="preserve">     Subscriptions &amp; Dues                              </v>
      </c>
      <c r="C64" s="13"/>
      <c r="D64" s="1">
        <f>SUM(OSRRefD22_13x_0)</f>
        <v>0</v>
      </c>
      <c r="E64" s="1"/>
      <c r="F64" s="5">
        <f t="shared" ref="F64:F66" si="53">IF(D$12=0,0,D64/D$12)</f>
        <v>0</v>
      </c>
      <c r="G64" s="1"/>
      <c r="H64" s="1">
        <f>SUM(OSRRefH22_13x_0)</f>
        <v>0</v>
      </c>
      <c r="I64" s="1"/>
      <c r="J64" s="5">
        <f t="shared" ref="J64:J66" si="54">IF(H$12=0,0,H64/H$12)</f>
        <v>0</v>
      </c>
      <c r="K64" s="1"/>
      <c r="L64" s="1">
        <f t="shared" ref="L64:L66" si="55">+D64-H64</f>
        <v>0</v>
      </c>
      <c r="M64" s="1"/>
      <c r="N64" s="5">
        <f t="shared" ref="N64:N66" si="56">IF(H64=0,0,L64/H64)</f>
        <v>0</v>
      </c>
      <c r="O64" s="13"/>
      <c r="P64" s="1">
        <f>SUM(OSRRefP22_13x_0)</f>
        <v>1101.72</v>
      </c>
      <c r="Q64" s="1"/>
      <c r="R64" s="5">
        <f t="shared" ref="R64:R66" si="57">IF(P$12=0,0,P64/P$12)</f>
        <v>1.5273206742924198E-3</v>
      </c>
      <c r="S64" s="1"/>
      <c r="T64" s="1">
        <f>SUM(OSRRefT22_13x_0)</f>
        <v>153.4</v>
      </c>
      <c r="U64" s="1"/>
      <c r="V64" s="5">
        <f t="shared" ref="V64:V66" si="58">IF(T$12=0,0,T64/T$12)</f>
        <v>1.6188769751222511E-4</v>
      </c>
      <c r="W64" s="1"/>
      <c r="X64" s="1">
        <f t="shared" ref="X64:X66" si="59">+P64-T64</f>
        <v>948.32</v>
      </c>
      <c r="Y64" s="1"/>
      <c r="Z64" s="5">
        <f t="shared" ref="Z64:Z66" si="60">IF(T64=0,0,X64/T64)</f>
        <v>6.1820078226857893</v>
      </c>
    </row>
    <row r="65" spans="1:26" s="24" customFormat="1" hidden="1" outlineLevel="2" x14ac:dyDescent="0.25">
      <c r="A65" s="26"/>
      <c r="B65" s="11" t="str">
        <f>CONCATENATE("          ", "6258", " - ", "MEMBERSHIP DUES")</f>
        <v xml:space="preserve">          6258 - MEMBERSHIP DUES</v>
      </c>
      <c r="C65" s="11"/>
      <c r="D65" s="6"/>
      <c r="E65" s="2"/>
      <c r="F65" s="7">
        <f t="shared" si="53"/>
        <v>0</v>
      </c>
      <c r="G65" s="2"/>
      <c r="H65" s="6"/>
      <c r="I65" s="2"/>
      <c r="J65" s="7">
        <f t="shared" si="54"/>
        <v>0</v>
      </c>
      <c r="K65" s="2"/>
      <c r="L65" s="6">
        <f t="shared" si="55"/>
        <v>0</v>
      </c>
      <c r="M65" s="2"/>
      <c r="N65" s="7">
        <f t="shared" si="56"/>
        <v>0</v>
      </c>
      <c r="O65" s="11"/>
      <c r="P65" s="6">
        <v>979</v>
      </c>
      <c r="Q65" s="2"/>
      <c r="R65" s="7">
        <f t="shared" si="57"/>
        <v>1.3571932434123725E-3</v>
      </c>
      <c r="S65" s="2"/>
      <c r="T65" s="6"/>
      <c r="U65" s="2"/>
      <c r="V65" s="7">
        <f t="shared" si="58"/>
        <v>0</v>
      </c>
      <c r="W65" s="2"/>
      <c r="X65" s="6">
        <f t="shared" si="59"/>
        <v>979</v>
      </c>
      <c r="Y65" s="2"/>
      <c r="Z65" s="7">
        <f t="shared" si="60"/>
        <v>0</v>
      </c>
    </row>
    <row r="66" spans="1:26" s="24" customFormat="1" hidden="1" outlineLevel="2" x14ac:dyDescent="0.25">
      <c r="A66" s="26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3"/>
        <v>0</v>
      </c>
      <c r="G66" s="2"/>
      <c r="H66" s="6"/>
      <c r="I66" s="2"/>
      <c r="J66" s="7">
        <f t="shared" si="54"/>
        <v>0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122.72</v>
      </c>
      <c r="Q66" s="2"/>
      <c r="R66" s="7">
        <f t="shared" si="57"/>
        <v>1.7012743088004736E-4</v>
      </c>
      <c r="S66" s="2"/>
      <c r="T66" s="6">
        <v>153.4</v>
      </c>
      <c r="U66" s="2"/>
      <c r="V66" s="7">
        <f t="shared" si="58"/>
        <v>1.6188769751222511E-4</v>
      </c>
      <c r="W66" s="2"/>
      <c r="X66" s="6">
        <f t="shared" si="59"/>
        <v>-30.680000000000007</v>
      </c>
      <c r="Y66" s="2"/>
      <c r="Z66" s="7">
        <f t="shared" si="60"/>
        <v>-0.20000000000000004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4" si="61">IF(D$12=0,0,D67/D$12)</f>
        <v>0</v>
      </c>
      <c r="G67" s="1"/>
      <c r="H67" s="1">
        <f>SUM(OSRRefH22_14x_0)</f>
        <v>8592.3000000000011</v>
      </c>
      <c r="I67" s="1"/>
      <c r="J67" s="5">
        <f t="shared" ref="J67:J74" si="62">IF(H$12=0,0,H67/H$12)</f>
        <v>0.12747247465104294</v>
      </c>
      <c r="K67" s="1"/>
      <c r="L67" s="1">
        <f t="shared" ref="L67:L74" si="63">+D67-H67</f>
        <v>-8592.3000000000011</v>
      </c>
      <c r="M67" s="1"/>
      <c r="N67" s="5">
        <f t="shared" ref="N67:N74" si="64">IF(H67=0,0,L67/H67)</f>
        <v>-1</v>
      </c>
      <c r="O67" s="13"/>
      <c r="P67" s="1">
        <f>SUM(OSRRefP22_14x_0)</f>
        <v>11997.33</v>
      </c>
      <c r="Q67" s="1"/>
      <c r="R67" s="5">
        <f t="shared" ref="R67:R74" si="65">IF(P$12=0,0,P67/P$12)</f>
        <v>1.6631966511734993E-2</v>
      </c>
      <c r="S67" s="1"/>
      <c r="T67" s="1">
        <f>SUM(OSRRefT22_14x_0)</f>
        <v>21764.720000000005</v>
      </c>
      <c r="U67" s="1"/>
      <c r="V67" s="5">
        <f t="shared" ref="V67:V74" si="66">IF(T$12=0,0,T67/T$12)</f>
        <v>2.2968972671435963E-2</v>
      </c>
      <c r="W67" s="1"/>
      <c r="X67" s="1">
        <f t="shared" ref="X67:X74" si="67">+P67-T67</f>
        <v>-9767.3900000000049</v>
      </c>
      <c r="Y67" s="1"/>
      <c r="Z67" s="5">
        <f t="shared" ref="Z67:Z74" si="68">IF(T67=0,0,X67/T67)</f>
        <v>-0.44877168187782812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61"/>
        <v>0</v>
      </c>
      <c r="G68" s="2"/>
      <c r="H68" s="6">
        <v>142.04</v>
      </c>
      <c r="I68" s="2"/>
      <c r="J68" s="7">
        <f t="shared" si="62"/>
        <v>2.1072576957780966E-3</v>
      </c>
      <c r="K68" s="2"/>
      <c r="L68" s="6">
        <f t="shared" si="63"/>
        <v>-142.04</v>
      </c>
      <c r="M68" s="2"/>
      <c r="N68" s="7">
        <f t="shared" si="64"/>
        <v>-1</v>
      </c>
      <c r="O68" s="11"/>
      <c r="P68" s="6">
        <v>2140.12</v>
      </c>
      <c r="Q68" s="2"/>
      <c r="R68" s="7">
        <f t="shared" si="65"/>
        <v>2.9668604740466665E-3</v>
      </c>
      <c r="S68" s="2"/>
      <c r="T68" s="6">
        <v>1966.02</v>
      </c>
      <c r="U68" s="2"/>
      <c r="V68" s="7">
        <f t="shared" si="66"/>
        <v>2.0748008543871239E-3</v>
      </c>
      <c r="W68" s="2"/>
      <c r="X68" s="6">
        <f t="shared" si="67"/>
        <v>174.09999999999991</v>
      </c>
      <c r="Y68" s="2"/>
      <c r="Z68" s="7">
        <f t="shared" si="68"/>
        <v>8.8554541662851802E-2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61"/>
        <v>0</v>
      </c>
      <c r="G69" s="2"/>
      <c r="H69" s="6">
        <v>6848.11</v>
      </c>
      <c r="I69" s="2"/>
      <c r="J69" s="7">
        <f t="shared" si="62"/>
        <v>0.10159625808951661</v>
      </c>
      <c r="K69" s="2"/>
      <c r="L69" s="6">
        <f t="shared" si="63"/>
        <v>-6848.11</v>
      </c>
      <c r="M69" s="2"/>
      <c r="N69" s="7">
        <f t="shared" si="64"/>
        <v>-1</v>
      </c>
      <c r="O69" s="11"/>
      <c r="P69" s="6">
        <v>4435.24</v>
      </c>
      <c r="Q69" s="2"/>
      <c r="R69" s="7">
        <f t="shared" si="65"/>
        <v>6.1485983257531058E-3</v>
      </c>
      <c r="S69" s="2"/>
      <c r="T69" s="6">
        <v>10509.29</v>
      </c>
      <c r="U69" s="2"/>
      <c r="V69" s="7">
        <f t="shared" si="66"/>
        <v>1.1090774188971659E-2</v>
      </c>
      <c r="W69" s="2"/>
      <c r="X69" s="6">
        <f t="shared" si="67"/>
        <v>-6074.0500000000011</v>
      </c>
      <c r="Y69" s="2"/>
      <c r="Z69" s="7">
        <f t="shared" si="68"/>
        <v>-0.57796958690834499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61"/>
        <v>0</v>
      </c>
      <c r="G70" s="2"/>
      <c r="H70" s="6">
        <v>492.85</v>
      </c>
      <c r="I70" s="2"/>
      <c r="J70" s="7">
        <f t="shared" si="62"/>
        <v>7.311756937230603E-3</v>
      </c>
      <c r="K70" s="2"/>
      <c r="L70" s="6">
        <f t="shared" si="63"/>
        <v>-492.85</v>
      </c>
      <c r="M70" s="2"/>
      <c r="N70" s="7">
        <f t="shared" si="64"/>
        <v>-1</v>
      </c>
      <c r="O70" s="11"/>
      <c r="P70" s="6">
        <v>1415.33</v>
      </c>
      <c r="Q70" s="2"/>
      <c r="R70" s="7">
        <f t="shared" si="65"/>
        <v>1.9620799930529448E-3</v>
      </c>
      <c r="S70" s="2"/>
      <c r="T70" s="6">
        <v>1569.7</v>
      </c>
      <c r="U70" s="2"/>
      <c r="V70" s="7">
        <f t="shared" si="66"/>
        <v>1.6565522736958264E-3</v>
      </c>
      <c r="W70" s="2"/>
      <c r="X70" s="6">
        <f t="shared" si="67"/>
        <v>-154.37000000000012</v>
      </c>
      <c r="Y70" s="2"/>
      <c r="Z70" s="7">
        <f t="shared" si="68"/>
        <v>-9.834363254124999E-2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61"/>
        <v>0</v>
      </c>
      <c r="G71" s="2"/>
      <c r="H71" s="6">
        <v>1065.69</v>
      </c>
      <c r="I71" s="2"/>
      <c r="J71" s="7">
        <f t="shared" si="62"/>
        <v>1.5810218627244153E-2</v>
      </c>
      <c r="K71" s="2"/>
      <c r="L71" s="6">
        <f t="shared" si="63"/>
        <v>-1065.69</v>
      </c>
      <c r="M71" s="2"/>
      <c r="N71" s="7">
        <f t="shared" si="64"/>
        <v>-1</v>
      </c>
      <c r="O71" s="11"/>
      <c r="P71" s="6">
        <v>5057.43</v>
      </c>
      <c r="Q71" s="2"/>
      <c r="R71" s="7">
        <f t="shared" si="65"/>
        <v>7.0111438457926816E-3</v>
      </c>
      <c r="S71" s="2"/>
      <c r="T71" s="6">
        <v>6541.76</v>
      </c>
      <c r="U71" s="2"/>
      <c r="V71" s="7">
        <f t="shared" si="66"/>
        <v>6.9037188010272086E-3</v>
      </c>
      <c r="W71" s="2"/>
      <c r="X71" s="6">
        <f t="shared" si="67"/>
        <v>-1484.33</v>
      </c>
      <c r="Y71" s="2"/>
      <c r="Z71" s="7">
        <f t="shared" si="68"/>
        <v>-0.22690071173506823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61"/>
        <v>0</v>
      </c>
      <c r="G72" s="2"/>
      <c r="H72" s="6"/>
      <c r="I72" s="2"/>
      <c r="J72" s="7">
        <f t="shared" si="62"/>
        <v>0</v>
      </c>
      <c r="K72" s="2"/>
      <c r="L72" s="6">
        <f t="shared" si="63"/>
        <v>0</v>
      </c>
      <c r="M72" s="2"/>
      <c r="N72" s="7">
        <f t="shared" si="64"/>
        <v>0</v>
      </c>
      <c r="O72" s="11"/>
      <c r="P72" s="6">
        <v>66.930000000000007</v>
      </c>
      <c r="Q72" s="2"/>
      <c r="R72" s="7">
        <f t="shared" si="65"/>
        <v>9.2785437979152295E-5</v>
      </c>
      <c r="S72" s="2"/>
      <c r="T72" s="6">
        <v>161.4</v>
      </c>
      <c r="U72" s="2"/>
      <c r="V72" s="7">
        <f t="shared" si="66"/>
        <v>1.7033034145028119E-4</v>
      </c>
      <c r="W72" s="2"/>
      <c r="X72" s="6">
        <f t="shared" si="67"/>
        <v>-94.47</v>
      </c>
      <c r="Y72" s="2"/>
      <c r="Z72" s="7">
        <f t="shared" si="68"/>
        <v>-0.58531598513011152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61"/>
        <v>0</v>
      </c>
      <c r="G73" s="2"/>
      <c r="H73" s="6">
        <v>43.61</v>
      </c>
      <c r="I73" s="2"/>
      <c r="J73" s="7">
        <f t="shared" si="62"/>
        <v>6.4698330127346371E-4</v>
      </c>
      <c r="K73" s="2"/>
      <c r="L73" s="6">
        <f t="shared" si="63"/>
        <v>-43.61</v>
      </c>
      <c r="M73" s="2"/>
      <c r="N73" s="7">
        <f t="shared" si="64"/>
        <v>-1</v>
      </c>
      <c r="O73" s="11"/>
      <c r="P73" s="6">
        <v>-1251.8</v>
      </c>
      <c r="Q73" s="2"/>
      <c r="R73" s="7">
        <f t="shared" si="65"/>
        <v>-1.7353774280935729E-3</v>
      </c>
      <c r="S73" s="2"/>
      <c r="T73" s="6">
        <v>620.44000000000005</v>
      </c>
      <c r="U73" s="2"/>
      <c r="V73" s="7">
        <f t="shared" si="66"/>
        <v>6.5476925061593841E-4</v>
      </c>
      <c r="W73" s="2"/>
      <c r="X73" s="6">
        <f t="shared" si="67"/>
        <v>-1872.24</v>
      </c>
      <c r="Y73" s="2"/>
      <c r="Z73" s="7">
        <f t="shared" si="68"/>
        <v>-3.0176004126104052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61"/>
        <v>0</v>
      </c>
      <c r="G74" s="2"/>
      <c r="H74" s="6"/>
      <c r="I74" s="2"/>
      <c r="J74" s="7">
        <f t="shared" si="62"/>
        <v>0</v>
      </c>
      <c r="K74" s="2"/>
      <c r="L74" s="6">
        <f t="shared" si="63"/>
        <v>0</v>
      </c>
      <c r="M74" s="2"/>
      <c r="N74" s="7">
        <f t="shared" si="64"/>
        <v>0</v>
      </c>
      <c r="O74" s="11"/>
      <c r="P74" s="6">
        <v>134.08000000000001</v>
      </c>
      <c r="Q74" s="2"/>
      <c r="R74" s="7">
        <f t="shared" si="65"/>
        <v>1.8587586320401524E-4</v>
      </c>
      <c r="S74" s="2"/>
      <c r="T74" s="6">
        <v>396.11</v>
      </c>
      <c r="U74" s="2"/>
      <c r="V74" s="7">
        <f t="shared" si="66"/>
        <v>4.1802696128792366E-4</v>
      </c>
      <c r="W74" s="2"/>
      <c r="X74" s="6">
        <f t="shared" si="67"/>
        <v>-262.02999999999997</v>
      </c>
      <c r="Y74" s="2"/>
      <c r="Z74" s="7">
        <f t="shared" si="68"/>
        <v>-0.66150816692332925</v>
      </c>
    </row>
    <row r="75" spans="1:26" s="27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23</v>
      </c>
      <c r="E75" s="1"/>
      <c r="F75" s="5">
        <f t="shared" ref="F75:F82" si="69">IF(D$12=0,0,D75/D$12)</f>
        <v>0</v>
      </c>
      <c r="G75" s="1"/>
      <c r="H75" s="1">
        <f>SUM(OSRRefH22_15x_0)</f>
        <v>91.2</v>
      </c>
      <c r="I75" s="1"/>
      <c r="J75" s="5">
        <f t="shared" ref="J75:J82" si="70">IF(H$12=0,0,H75/H$12)</f>
        <v>1.3530125447406534E-3</v>
      </c>
      <c r="K75" s="1"/>
      <c r="L75" s="1">
        <f t="shared" ref="L75:L82" si="71">+D75-H75</f>
        <v>-68.2</v>
      </c>
      <c r="M75" s="1"/>
      <c r="N75" s="5">
        <f t="shared" ref="N75:N82" si="72">IF(H75=0,0,L75/H75)</f>
        <v>-0.7478070175438597</v>
      </c>
      <c r="O75" s="13"/>
      <c r="P75" s="1">
        <f>SUM(OSRRefP22_15x_0)</f>
        <v>1508.8</v>
      </c>
      <c r="Q75" s="1"/>
      <c r="R75" s="5">
        <f t="shared" ref="R75:R82" si="73">IF(P$12=0,0,P75/P$12)</f>
        <v>2.0916579833100998E-3</v>
      </c>
      <c r="S75" s="1"/>
      <c r="T75" s="1">
        <f>SUM(OSRRefT22_15x_0)</f>
        <v>942.95</v>
      </c>
      <c r="U75" s="1"/>
      <c r="V75" s="5">
        <f t="shared" ref="V75:V82" si="74">IF(T$12=0,0,T75/T$12)</f>
        <v>9.9512388767374624E-4</v>
      </c>
      <c r="W75" s="1"/>
      <c r="X75" s="1">
        <f t="shared" ref="X75:X82" si="75">+P75-T75</f>
        <v>565.84999999999991</v>
      </c>
      <c r="Y75" s="1"/>
      <c r="Z75" s="5">
        <f t="shared" ref="Z75:Z82" si="76">IF(T75=0,0,X75/T75)</f>
        <v>0.60008484012938113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23</v>
      </c>
      <c r="E76" s="2"/>
      <c r="F76" s="7">
        <f t="shared" si="69"/>
        <v>0</v>
      </c>
      <c r="G76" s="2"/>
      <c r="H76" s="6">
        <v>91.2</v>
      </c>
      <c r="I76" s="2"/>
      <c r="J76" s="7">
        <f t="shared" si="70"/>
        <v>1.3530125447406534E-3</v>
      </c>
      <c r="K76" s="2"/>
      <c r="L76" s="6">
        <f t="shared" si="71"/>
        <v>-68.2</v>
      </c>
      <c r="M76" s="2"/>
      <c r="N76" s="7">
        <f t="shared" si="72"/>
        <v>-0.7478070175438597</v>
      </c>
      <c r="O76" s="11"/>
      <c r="P76" s="6">
        <v>1508.8</v>
      </c>
      <c r="Q76" s="2"/>
      <c r="R76" s="7">
        <f t="shared" si="73"/>
        <v>2.0916579833100998E-3</v>
      </c>
      <c r="S76" s="2"/>
      <c r="T76" s="6">
        <v>942.95</v>
      </c>
      <c r="U76" s="2"/>
      <c r="V76" s="7">
        <f t="shared" si="74"/>
        <v>9.9512388767374624E-4</v>
      </c>
      <c r="W76" s="2"/>
      <c r="X76" s="6">
        <f t="shared" si="75"/>
        <v>565.84999999999991</v>
      </c>
      <c r="Y76" s="2"/>
      <c r="Z76" s="7">
        <f t="shared" si="76"/>
        <v>0.60008484012938113</v>
      </c>
    </row>
    <row r="77" spans="1:26" s="27" customFormat="1" outlineLevel="1" collapsed="1" x14ac:dyDescent="0.25">
      <c r="A77" s="25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SUM(OSRRefD22_16x_0)</f>
        <v>0</v>
      </c>
      <c r="E77" s="1"/>
      <c r="F77" s="5">
        <f t="shared" si="69"/>
        <v>0</v>
      </c>
      <c r="G77" s="1"/>
      <c r="H77" s="1">
        <f>SUM(OSRRefH22_16x_0)</f>
        <v>0</v>
      </c>
      <c r="I77" s="1"/>
      <c r="J77" s="5">
        <f t="shared" si="70"/>
        <v>0</v>
      </c>
      <c r="K77" s="1"/>
      <c r="L77" s="1">
        <f t="shared" si="71"/>
        <v>0</v>
      </c>
      <c r="M77" s="1"/>
      <c r="N77" s="5">
        <f t="shared" si="72"/>
        <v>0</v>
      </c>
      <c r="O77" s="13"/>
      <c r="P77" s="1">
        <f>SUM(OSRRefP22_16x_0)</f>
        <v>585.65</v>
      </c>
      <c r="Q77" s="1"/>
      <c r="R77" s="5">
        <f t="shared" si="73"/>
        <v>8.1188991113836147E-4</v>
      </c>
      <c r="S77" s="1"/>
      <c r="T77" s="1">
        <f>SUM(OSRRefT22_16x_0)</f>
        <v>361.14</v>
      </c>
      <c r="U77" s="1"/>
      <c r="V77" s="5">
        <f t="shared" si="74"/>
        <v>3.8112205397369608E-4</v>
      </c>
      <c r="W77" s="1"/>
      <c r="X77" s="1">
        <f t="shared" si="75"/>
        <v>224.51</v>
      </c>
      <c r="Y77" s="1"/>
      <c r="Z77" s="5">
        <f t="shared" si="76"/>
        <v>0.62167026637868972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9"/>
        <v>0</v>
      </c>
      <c r="G78" s="2"/>
      <c r="H78" s="6"/>
      <c r="I78" s="2"/>
      <c r="J78" s="7">
        <f t="shared" si="70"/>
        <v>0</v>
      </c>
      <c r="K78" s="2"/>
      <c r="L78" s="6">
        <f t="shared" si="71"/>
        <v>0</v>
      </c>
      <c r="M78" s="2"/>
      <c r="N78" s="7">
        <f t="shared" si="72"/>
        <v>0</v>
      </c>
      <c r="O78" s="11"/>
      <c r="P78" s="6">
        <v>585.65</v>
      </c>
      <c r="Q78" s="2"/>
      <c r="R78" s="7">
        <f t="shared" si="73"/>
        <v>8.1188991113836147E-4</v>
      </c>
      <c r="S78" s="2"/>
      <c r="T78" s="6">
        <v>361.14</v>
      </c>
      <c r="U78" s="2"/>
      <c r="V78" s="7">
        <f t="shared" si="74"/>
        <v>3.8112205397369608E-4</v>
      </c>
      <c r="W78" s="2"/>
      <c r="X78" s="6">
        <f t="shared" si="75"/>
        <v>224.51</v>
      </c>
      <c r="Y78" s="2"/>
      <c r="Z78" s="7">
        <f t="shared" si="76"/>
        <v>0.62167026637868972</v>
      </c>
    </row>
    <row r="79" spans="1:26" s="27" customFormat="1" outlineLevel="1" collapsed="1" x14ac:dyDescent="0.25">
      <c r="A79" s="25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SUM(OSRRefD22_17x_0)</f>
        <v>0</v>
      </c>
      <c r="E79" s="1"/>
      <c r="F79" s="5">
        <f t="shared" si="69"/>
        <v>0</v>
      </c>
      <c r="G79" s="1"/>
      <c r="H79" s="1">
        <f>SUM(OSRRefH22_17x_0)</f>
        <v>0</v>
      </c>
      <c r="I79" s="1"/>
      <c r="J79" s="5">
        <f t="shared" si="70"/>
        <v>0</v>
      </c>
      <c r="K79" s="1"/>
      <c r="L79" s="1">
        <f t="shared" si="71"/>
        <v>0</v>
      </c>
      <c r="M79" s="1"/>
      <c r="N79" s="5">
        <f t="shared" si="72"/>
        <v>0</v>
      </c>
      <c r="O79" s="13"/>
      <c r="P79" s="1">
        <f>SUM(OSRRefP22_17x_0)</f>
        <v>0</v>
      </c>
      <c r="Q79" s="1"/>
      <c r="R79" s="5">
        <f t="shared" si="73"/>
        <v>0</v>
      </c>
      <c r="S79" s="1"/>
      <c r="T79" s="1">
        <f>SUM(OSRRefT22_17x_0)</f>
        <v>6.78</v>
      </c>
      <c r="U79" s="1"/>
      <c r="V79" s="5">
        <f t="shared" si="74"/>
        <v>7.1551407375025186E-6</v>
      </c>
      <c r="W79" s="1"/>
      <c r="X79" s="1">
        <f t="shared" si="75"/>
        <v>-6.78</v>
      </c>
      <c r="Y79" s="1"/>
      <c r="Z79" s="5">
        <f t="shared" si="76"/>
        <v>-1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/>
      <c r="Q80" s="2"/>
      <c r="R80" s="7">
        <f t="shared" si="73"/>
        <v>0</v>
      </c>
      <c r="S80" s="2"/>
      <c r="T80" s="6">
        <v>6.78</v>
      </c>
      <c r="U80" s="2"/>
      <c r="V80" s="7">
        <f t="shared" si="74"/>
        <v>7.1551407375025186E-6</v>
      </c>
      <c r="W80" s="2"/>
      <c r="X80" s="6">
        <f t="shared" si="75"/>
        <v>-6.78</v>
      </c>
      <c r="Y80" s="2"/>
      <c r="Z80" s="7">
        <f t="shared" si="76"/>
        <v>-1</v>
      </c>
    </row>
    <row r="81" spans="1:26" s="27" customFormat="1" outlineLevel="1" collapsed="1" x14ac:dyDescent="0.25">
      <c r="A81" s="25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SUM(OSRRefD22_18x_0)</f>
        <v>348</v>
      </c>
      <c r="E81" s="1"/>
      <c r="F81" s="5">
        <f t="shared" si="69"/>
        <v>0</v>
      </c>
      <c r="G81" s="1"/>
      <c r="H81" s="1">
        <f>SUM(OSRRefH22_18x_0)</f>
        <v>306</v>
      </c>
      <c r="I81" s="1"/>
      <c r="J81" s="5">
        <f t="shared" si="70"/>
        <v>4.5397131435377181E-3</v>
      </c>
      <c r="K81" s="1"/>
      <c r="L81" s="1">
        <f t="shared" si="71"/>
        <v>42</v>
      </c>
      <c r="M81" s="1"/>
      <c r="N81" s="5">
        <f t="shared" si="72"/>
        <v>0.13725490196078433</v>
      </c>
      <c r="O81" s="13"/>
      <c r="P81" s="1">
        <f>SUM(OSRRefP22_18x_0)</f>
        <v>3824</v>
      </c>
      <c r="Q81" s="1"/>
      <c r="R81" s="5">
        <f t="shared" si="73"/>
        <v>5.3012328527159477E-3</v>
      </c>
      <c r="S81" s="1"/>
      <c r="T81" s="1">
        <f>SUM(OSRRefT22_18x_0)</f>
        <v>2913.9</v>
      </c>
      <c r="U81" s="1"/>
      <c r="V81" s="5">
        <f t="shared" si="74"/>
        <v>3.0751275213876973E-3</v>
      </c>
      <c r="W81" s="1"/>
      <c r="X81" s="1">
        <f t="shared" si="75"/>
        <v>910.09999999999991</v>
      </c>
      <c r="Y81" s="1"/>
      <c r="Z81" s="5">
        <f t="shared" si="76"/>
        <v>0.31233055355365658</v>
      </c>
    </row>
    <row r="82" spans="1:26" s="24" customFormat="1" hidden="1" outlineLevel="2" x14ac:dyDescent="0.25">
      <c r="A82" s="26"/>
      <c r="B82" s="11" t="str">
        <f>CONCATENATE("          ", "6274", " - ", "UTILITIES")</f>
        <v xml:space="preserve">          6274 - UTILITIES</v>
      </c>
      <c r="C82" s="11"/>
      <c r="D82" s="6">
        <v>348</v>
      </c>
      <c r="E82" s="2"/>
      <c r="F82" s="7">
        <f t="shared" si="69"/>
        <v>0</v>
      </c>
      <c r="G82" s="2"/>
      <c r="H82" s="6">
        <v>306</v>
      </c>
      <c r="I82" s="2"/>
      <c r="J82" s="7">
        <f t="shared" si="70"/>
        <v>4.5397131435377181E-3</v>
      </c>
      <c r="K82" s="2"/>
      <c r="L82" s="6">
        <f t="shared" si="71"/>
        <v>42</v>
      </c>
      <c r="M82" s="2"/>
      <c r="N82" s="7">
        <f t="shared" si="72"/>
        <v>0.13725490196078433</v>
      </c>
      <c r="O82" s="11"/>
      <c r="P82" s="6">
        <v>3824</v>
      </c>
      <c r="Q82" s="2"/>
      <c r="R82" s="7">
        <f t="shared" si="73"/>
        <v>5.3012328527159477E-3</v>
      </c>
      <c r="S82" s="2"/>
      <c r="T82" s="6">
        <v>2913.9</v>
      </c>
      <c r="U82" s="2"/>
      <c r="V82" s="7">
        <f t="shared" si="74"/>
        <v>3.0751275213876973E-3</v>
      </c>
      <c r="W82" s="2"/>
      <c r="X82" s="6">
        <f t="shared" si="75"/>
        <v>910.09999999999991</v>
      </c>
      <c r="Y82" s="2"/>
      <c r="Z82" s="7">
        <f t="shared" si="76"/>
        <v>0.31233055355365658</v>
      </c>
    </row>
    <row r="83" spans="1:26" s="58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1">
        <f>+D20-D22+D84</f>
        <v>-16634.059999999998</v>
      </c>
      <c r="E86" s="14"/>
      <c r="F86" s="20">
        <f>IF(D$12=0,0,D86/D$12)</f>
        <v>0</v>
      </c>
      <c r="G86" s="14"/>
      <c r="H86" s="21">
        <f>+H20-H22+H84</f>
        <v>-28277.999999999985</v>
      </c>
      <c r="I86" s="14"/>
      <c r="J86" s="20">
        <f>IF(H$12=0,0,H86/H$12)</f>
        <v>-0.41952290285280891</v>
      </c>
      <c r="K86" s="16"/>
      <c r="L86" s="21">
        <f>+D86-H86</f>
        <v>11643.939999999988</v>
      </c>
      <c r="M86" s="16"/>
      <c r="N86" s="20">
        <f>IF(H86=0,0,L86/H86)</f>
        <v>-0.41176674446566214</v>
      </c>
      <c r="O86" s="28"/>
      <c r="P86" s="21">
        <f>+P20-P22+P84</f>
        <v>-99131.359999999986</v>
      </c>
      <c r="Q86" s="14"/>
      <c r="R86" s="20">
        <f>IF(P$12=0,0,P86/P$12)</f>
        <v>-0.13742636568159297</v>
      </c>
      <c r="S86" s="14"/>
      <c r="T86" s="21">
        <f>+T20-T22+T84</f>
        <v>38632.120000000112</v>
      </c>
      <c r="U86" s="14"/>
      <c r="V86" s="20">
        <f>IF(T$12=0,0,T86/T$12)</f>
        <v>4.0769654216531941E-2</v>
      </c>
      <c r="W86" s="16"/>
      <c r="X86" s="21">
        <f>+P86-T86</f>
        <v>-137763.4800000001</v>
      </c>
      <c r="Y86" s="16"/>
      <c r="Z86" s="20">
        <f>IF(T86=0,0,X86/T86)</f>
        <v>-3.5660346882335139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3514.94</v>
      </c>
      <c r="E88" s="4"/>
      <c r="F88" s="12">
        <f>IF(D$12=0,0,D88/D$12)</f>
        <v>0</v>
      </c>
      <c r="G88" s="4"/>
      <c r="H88" s="4">
        <v>7060.43</v>
      </c>
      <c r="I88" s="4"/>
      <c r="J88" s="12">
        <f>IF(H$12=0,0,H88/H$12)</f>
        <v>0.10474616624192161</v>
      </c>
      <c r="K88" s="4"/>
      <c r="L88" s="4">
        <f>+D88-H88</f>
        <v>-3545.4900000000002</v>
      </c>
      <c r="M88" s="4"/>
      <c r="N88" s="12">
        <f>IF(H88=0,0,L88/H88)</f>
        <v>-0.50216346596453754</v>
      </c>
      <c r="O88" s="10"/>
      <c r="P88" s="4">
        <v>85418.12</v>
      </c>
      <c r="Q88" s="4"/>
      <c r="R88" s="12">
        <f>IF(P$12=0,0,P88/P$12)</f>
        <v>0.11841562342082455</v>
      </c>
      <c r="S88" s="4"/>
      <c r="T88" s="4">
        <v>98561.14</v>
      </c>
      <c r="U88" s="4"/>
      <c r="V88" s="12">
        <f>IF(T$12=0,0,T88/T$12)</f>
        <v>0.10401457639361193</v>
      </c>
      <c r="W88" s="4"/>
      <c r="X88" s="4">
        <f>+P88-T88</f>
        <v>-13143.020000000004</v>
      </c>
      <c r="Y88" s="4"/>
      <c r="Z88" s="12">
        <f>IF(T88=0,0,X88/T88)</f>
        <v>-0.13334890404067976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5">
        <f>+D86-D88</f>
        <v>-20148.999999999996</v>
      </c>
      <c r="E90" s="14"/>
      <c r="F90" s="32">
        <f>IF(D$12=0,0,D90/D$12)</f>
        <v>0</v>
      </c>
      <c r="G90" s="14"/>
      <c r="H90" s="35">
        <f>+H86-H88</f>
        <v>-35338.429999999986</v>
      </c>
      <c r="I90" s="14"/>
      <c r="J90" s="32">
        <f>IF(H$12=0,0,H90/H$12)</f>
        <v>-0.52426906909473059</v>
      </c>
      <c r="K90" s="16"/>
      <c r="L90" s="35">
        <f>D90-H90</f>
        <v>15189.429999999989</v>
      </c>
      <c r="M90" s="16"/>
      <c r="N90" s="32">
        <f>IF(H90=0,0,L90/H90)</f>
        <v>-0.42982752770850308</v>
      </c>
      <c r="O90" s="28"/>
      <c r="P90" s="35">
        <f>+P86-P88</f>
        <v>-184549.47999999998</v>
      </c>
      <c r="Q90" s="14"/>
      <c r="R90" s="32">
        <f>IF(P$12=0,0,P90/P$12)</f>
        <v>-0.25584198910241751</v>
      </c>
      <c r="S90" s="14"/>
      <c r="T90" s="35">
        <f>+T86-T88</f>
        <v>-59929.019999999888</v>
      </c>
      <c r="U90" s="14"/>
      <c r="V90" s="32">
        <f>IF(T$12=0,0,T90/T$12)</f>
        <v>-6.3244922177079999E-2</v>
      </c>
      <c r="W90" s="16"/>
      <c r="X90" s="35">
        <f>P90-T90</f>
        <v>-124620.46000000009</v>
      </c>
      <c r="Y90" s="16"/>
      <c r="Z90" s="32">
        <f>IF(T90=0,0,X90/T90)</f>
        <v>2.0794676769284783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6">
        <f>SUM(D90:D92)</f>
        <v>-20148.999999999996</v>
      </c>
      <c r="E93" s="14"/>
      <c r="F93" s="33">
        <f>IF(D$12=0,0,D93/D$12)</f>
        <v>0</v>
      </c>
      <c r="G93" s="14"/>
      <c r="H93" s="36">
        <f>SUM(H90:H92)</f>
        <v>-35338.429999999986</v>
      </c>
      <c r="I93" s="14"/>
      <c r="J93" s="33">
        <f>IF(H$12=0,0,H93/H$12)</f>
        <v>-0.52426906909473059</v>
      </c>
      <c r="K93" s="16"/>
      <c r="L93" s="36">
        <f>+D93-H93</f>
        <v>15189.429999999989</v>
      </c>
      <c r="M93" s="16"/>
      <c r="N93" s="33">
        <f>IF(H93=0,0,L93/H93)</f>
        <v>-0.42982752770850308</v>
      </c>
      <c r="O93" s="28"/>
      <c r="P93" s="36">
        <f>SUM(P90:P92)</f>
        <v>-184549.47999999998</v>
      </c>
      <c r="Q93" s="14"/>
      <c r="R93" s="33">
        <f>IF(P$12=0,0,P93/P$12)</f>
        <v>-0.25584198910241751</v>
      </c>
      <c r="S93" s="14"/>
      <c r="T93" s="36">
        <f>SUM(T90:T92)</f>
        <v>-59929.019999999888</v>
      </c>
      <c r="U93" s="14"/>
      <c r="V93" s="33">
        <f>IF(T$12=0,0,T93/T$12)</f>
        <v>-6.3244922177079999E-2</v>
      </c>
      <c r="W93" s="16"/>
      <c r="X93" s="36">
        <f>+P93-T93</f>
        <v>-124620.46000000009</v>
      </c>
      <c r="Y93" s="16"/>
      <c r="Z93" s="33">
        <f>IF(T93=0,0,X93/T93)</f>
        <v>2.0794676769284783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5">
        <v>43992.37582021991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2" t="s">
        <v>313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9930.42</v>
      </c>
      <c r="I12" s="4"/>
      <c r="J12" s="12"/>
      <c r="K12" s="4"/>
      <c r="L12" s="4">
        <f t="shared" ref="L12:L14" si="0">+D12-H12</f>
        <v>-9930.42</v>
      </c>
      <c r="M12" s="4"/>
      <c r="N12" s="12">
        <f t="shared" ref="N12:N14" si="1">IF(H12=0,0,L12/H12)</f>
        <v>-1</v>
      </c>
      <c r="O12" s="10"/>
      <c r="P12" s="4">
        <f>SUM(OSRRefP13x_0)</f>
        <v>189965.58000000002</v>
      </c>
      <c r="Q12" s="4"/>
      <c r="R12" s="12"/>
      <c r="S12" s="4"/>
      <c r="T12" s="4">
        <f>SUM(OSRRefT13x_0)</f>
        <v>238803.84</v>
      </c>
      <c r="U12" s="4"/>
      <c r="V12" s="12"/>
      <c r="W12" s="4"/>
      <c r="X12" s="4">
        <f t="shared" ref="X12:X14" si="2">+P12-T12</f>
        <v>-48838.25999999998</v>
      </c>
      <c r="Y12" s="4"/>
      <c r="Z12" s="12">
        <f t="shared" ref="Z12:Z14" si="3">IF(T12=0,0,X12/T12)</f>
        <v>-0.20451203799737885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--2086.34</f>
        <v>2086.34</v>
      </c>
      <c r="I13" s="2"/>
      <c r="J13" s="19"/>
      <c r="K13" s="2"/>
      <c r="L13" s="2">
        <f t="shared" si="0"/>
        <v>-2086.34</v>
      </c>
      <c r="M13" s="2"/>
      <c r="N13" s="19">
        <f t="shared" si="1"/>
        <v>-1</v>
      </c>
      <c r="O13" s="11"/>
      <c r="P13" s="2">
        <f>--43841.85</f>
        <v>43841.85</v>
      </c>
      <c r="Q13" s="2"/>
      <c r="R13" s="19"/>
      <c r="S13" s="2"/>
      <c r="T13" s="2">
        <f>--60093.47</f>
        <v>60093.47</v>
      </c>
      <c r="U13" s="2"/>
      <c r="V13" s="19"/>
      <c r="W13" s="2"/>
      <c r="X13" s="2">
        <f t="shared" si="2"/>
        <v>-16251.620000000003</v>
      </c>
      <c r="Y13" s="2"/>
      <c r="Z13" s="19">
        <f t="shared" si="3"/>
        <v>-0.2704390343909247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--7844.08</f>
        <v>7844.08</v>
      </c>
      <c r="I14" s="2"/>
      <c r="J14" s="19"/>
      <c r="K14" s="2"/>
      <c r="L14" s="2">
        <f t="shared" si="0"/>
        <v>-7844.08</v>
      </c>
      <c r="M14" s="2"/>
      <c r="N14" s="19">
        <f t="shared" si="1"/>
        <v>-1</v>
      </c>
      <c r="O14" s="11"/>
      <c r="P14" s="2">
        <f>--146123.73</f>
        <v>146123.73000000001</v>
      </c>
      <c r="Q14" s="2"/>
      <c r="R14" s="19"/>
      <c r="S14" s="2"/>
      <c r="T14" s="2">
        <f>--178710.37</f>
        <v>178710.37</v>
      </c>
      <c r="U14" s="2"/>
      <c r="V14" s="19"/>
      <c r="W14" s="2"/>
      <c r="X14" s="2">
        <f t="shared" si="2"/>
        <v>-32586.639999999985</v>
      </c>
      <c r="Y14" s="2"/>
      <c r="Z14" s="19">
        <f t="shared" si="3"/>
        <v>-0.18234330777783062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3745.01</v>
      </c>
      <c r="I16" s="4"/>
      <c r="J16" s="12">
        <f t="shared" ref="J16:J18" si="6">IF(H$12=0,0,H16/H$12)</f>
        <v>0.37712503600049146</v>
      </c>
      <c r="K16" s="4"/>
      <c r="L16" s="4">
        <f t="shared" ref="L16:L18" si="7">+D16-H16</f>
        <v>-3745.01</v>
      </c>
      <c r="M16" s="4"/>
      <c r="N16" s="12">
        <f t="shared" ref="N16:N18" si="8">IF(H16=0,0,L16/H16)</f>
        <v>-1</v>
      </c>
      <c r="O16" s="10"/>
      <c r="P16" s="4">
        <f>SUM(OSRRefP16x_0)</f>
        <v>71171.56</v>
      </c>
      <c r="Q16" s="4"/>
      <c r="R16" s="12">
        <f t="shared" ref="R16:R18" si="9">IF(P$12=0,0,P16/P$12)</f>
        <v>0.37465502961115371</v>
      </c>
      <c r="S16" s="4"/>
      <c r="T16" s="4">
        <f>SUM(OSRRefT16x_0)</f>
        <v>78754.450000000012</v>
      </c>
      <c r="U16" s="4"/>
      <c r="V16" s="12">
        <f t="shared" ref="V16:V18" si="10">IF(T$12=0,0,T16/T$12)</f>
        <v>0.32978720107683368</v>
      </c>
      <c r="W16" s="4"/>
      <c r="X16" s="4">
        <f t="shared" ref="X16:X18" si="11">+P16-T16</f>
        <v>-7582.890000000014</v>
      </c>
      <c r="Y16" s="4"/>
      <c r="Z16" s="12">
        <f t="shared" ref="Z16:Z18" si="12">IF(T16=0,0,X16/T16)</f>
        <v>-9.6285225787241385E-2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2804.01</v>
      </c>
      <c r="I17" s="2"/>
      <c r="J17" s="19">
        <f t="shared" si="6"/>
        <v>0.28236570054438787</v>
      </c>
      <c r="K17" s="2"/>
      <c r="L17" s="2">
        <f t="shared" si="7"/>
        <v>-2804.01</v>
      </c>
      <c r="M17" s="2"/>
      <c r="N17" s="19">
        <f t="shared" si="8"/>
        <v>-1</v>
      </c>
      <c r="O17" s="11"/>
      <c r="P17" s="2">
        <v>69616.179999999993</v>
      </c>
      <c r="Q17" s="2"/>
      <c r="R17" s="19">
        <f t="shared" si="9"/>
        <v>0.36646733581946783</v>
      </c>
      <c r="S17" s="2"/>
      <c r="T17" s="2">
        <v>81442.450000000012</v>
      </c>
      <c r="U17" s="2"/>
      <c r="V17" s="19">
        <f t="shared" si="10"/>
        <v>0.34104330148124928</v>
      </c>
      <c r="W17" s="2"/>
      <c r="X17" s="2">
        <f t="shared" si="11"/>
        <v>-11826.270000000019</v>
      </c>
      <c r="Y17" s="2"/>
      <c r="Z17" s="19">
        <f t="shared" si="12"/>
        <v>-0.14521014532347709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941</v>
      </c>
      <c r="I18" s="2"/>
      <c r="J18" s="19">
        <f t="shared" si="6"/>
        <v>9.4759335456103572E-2</v>
      </c>
      <c r="K18" s="2"/>
      <c r="L18" s="2">
        <f t="shared" si="7"/>
        <v>-941</v>
      </c>
      <c r="M18" s="2"/>
      <c r="N18" s="19">
        <f t="shared" si="8"/>
        <v>-1</v>
      </c>
      <c r="O18" s="11"/>
      <c r="P18" s="2">
        <v>1555.38</v>
      </c>
      <c r="Q18" s="2"/>
      <c r="R18" s="19">
        <f t="shared" si="9"/>
        <v>8.1876937916858412E-3</v>
      </c>
      <c r="S18" s="2"/>
      <c r="T18" s="2">
        <v>-2688</v>
      </c>
      <c r="U18" s="2"/>
      <c r="V18" s="19">
        <f t="shared" si="10"/>
        <v>-1.1256100404415607E-2</v>
      </c>
      <c r="W18" s="2"/>
      <c r="X18" s="2">
        <f t="shared" si="11"/>
        <v>4243.38</v>
      </c>
      <c r="Y18" s="2"/>
      <c r="Z18" s="19">
        <f t="shared" si="12"/>
        <v>-1.5786383928571428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6185.41</v>
      </c>
      <c r="I20" s="14"/>
      <c r="J20" s="20">
        <f>IF(H$12=0,0,H20/H$12)</f>
        <v>0.62287496399950859</v>
      </c>
      <c r="K20" s="16"/>
      <c r="L20" s="21">
        <f>+D20-H20</f>
        <v>-6185.41</v>
      </c>
      <c r="M20" s="16"/>
      <c r="N20" s="20">
        <f>IF(H20=0,0,L20/H20)</f>
        <v>-1</v>
      </c>
      <c r="O20" s="28"/>
      <c r="P20" s="21">
        <f>P12-P16</f>
        <v>118794.02000000002</v>
      </c>
      <c r="Q20" s="14"/>
      <c r="R20" s="20">
        <f>IF(P$12=0,0,P20/P$12)</f>
        <v>0.62534497038884629</v>
      </c>
      <c r="S20" s="14"/>
      <c r="T20" s="21">
        <f>T12-T16</f>
        <v>160049.38999999998</v>
      </c>
      <c r="U20" s="14"/>
      <c r="V20" s="20">
        <f>IF(T$12=0,0,T20/T$12)</f>
        <v>0.67021279892316632</v>
      </c>
      <c r="W20" s="16"/>
      <c r="X20" s="21">
        <f>+P20-T20</f>
        <v>-41255.369999999966</v>
      </c>
      <c r="Y20" s="16"/>
      <c r="Z20" s="20">
        <f>IF(T20=0,0,X20/T20)</f>
        <v>-0.25776649320562839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865.31999999999994</v>
      </c>
      <c r="E22" s="22"/>
      <c r="F22" s="31">
        <f t="shared" ref="F22:F31" si="13">IF(D$12=0,0,D22/D$12)</f>
        <v>0</v>
      </c>
      <c r="G22" s="22"/>
      <c r="H22" s="22">
        <f>SUM(OSRRefH22x_0)</f>
        <v>20865.690000000002</v>
      </c>
      <c r="I22" s="22"/>
      <c r="J22" s="31">
        <f t="shared" ref="J22:J31" si="14">IF(H$12=0,0,H22/H$12)</f>
        <v>2.1011890735739276</v>
      </c>
      <c r="K22" s="4"/>
      <c r="L22" s="22">
        <f t="shared" ref="L22:L31" si="15">+D22-H22</f>
        <v>-20000.370000000003</v>
      </c>
      <c r="M22" s="4"/>
      <c r="N22" s="31">
        <f t="shared" ref="N22:N31" si="16">IF(H22=0,0,L22/H22)</f>
        <v>-0.95852904936285355</v>
      </c>
      <c r="O22" s="10"/>
      <c r="P22" s="22">
        <f>SUM(OSRRefP22x_0)</f>
        <v>185605.2600000001</v>
      </c>
      <c r="Q22" s="22"/>
      <c r="R22" s="31">
        <f t="shared" ref="R22:R31" si="17">IF(P$12=0,0,P22/P$12)</f>
        <v>0.97704678921307786</v>
      </c>
      <c r="S22" s="22"/>
      <c r="T22" s="22">
        <f>SUM(OSRRefT22x_0)</f>
        <v>199368.44000000003</v>
      </c>
      <c r="U22" s="22"/>
      <c r="V22" s="31">
        <f t="shared" ref="V22:V31" si="18">IF(T$12=0,0,T22/T$12)</f>
        <v>0.83486278947608228</v>
      </c>
      <c r="W22" s="4"/>
      <c r="X22" s="22">
        <f t="shared" ref="X22:X31" si="19">+P22-T22</f>
        <v>-13763.179999999935</v>
      </c>
      <c r="Y22" s="4"/>
      <c r="Z22" s="31">
        <f t="shared" ref="Z22:Z31" si="20">IF(T22=0,0,X22/T22)</f>
        <v>-6.9033895234370757E-2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660.8</v>
      </c>
      <c r="E23" s="1"/>
      <c r="F23" s="5">
        <f t="shared" si="13"/>
        <v>0</v>
      </c>
      <c r="G23" s="1"/>
      <c r="H23" s="1">
        <f>SUM(OSRRefH22_0x_0)</f>
        <v>2346.1400000000003</v>
      </c>
      <c r="I23" s="1"/>
      <c r="J23" s="5">
        <f t="shared" si="14"/>
        <v>0.23625788234535905</v>
      </c>
      <c r="K23" s="1"/>
      <c r="L23" s="1">
        <f t="shared" si="15"/>
        <v>-1685.3400000000004</v>
      </c>
      <c r="M23" s="1"/>
      <c r="N23" s="5">
        <f t="shared" si="16"/>
        <v>-0.71834587876256328</v>
      </c>
      <c r="O23" s="13"/>
      <c r="P23" s="1">
        <f>SUM(OSRRefP22_0x_0)</f>
        <v>20759.5</v>
      </c>
      <c r="Q23" s="1"/>
      <c r="R23" s="5">
        <f t="shared" si="17"/>
        <v>0.1092803233090963</v>
      </c>
      <c r="S23" s="1"/>
      <c r="T23" s="1">
        <f>SUM(OSRRefT22_0x_0)</f>
        <v>21557.440000000002</v>
      </c>
      <c r="U23" s="1"/>
      <c r="V23" s="5">
        <f t="shared" si="18"/>
        <v>9.027258523146027E-2</v>
      </c>
      <c r="W23" s="1"/>
      <c r="X23" s="1">
        <f t="shared" si="19"/>
        <v>-797.94000000000233</v>
      </c>
      <c r="Y23" s="1"/>
      <c r="Z23" s="5">
        <f t="shared" si="20"/>
        <v>-3.7014599136075632E-2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768.81</v>
      </c>
      <c r="I24" s="2"/>
      <c r="J24" s="7">
        <f t="shared" si="14"/>
        <v>7.7419686176415495E-2</v>
      </c>
      <c r="K24" s="2"/>
      <c r="L24" s="6">
        <f t="shared" si="15"/>
        <v>-768.81</v>
      </c>
      <c r="M24" s="2"/>
      <c r="N24" s="7">
        <f t="shared" si="16"/>
        <v>-1</v>
      </c>
      <c r="O24" s="11"/>
      <c r="P24" s="6">
        <v>6831.57</v>
      </c>
      <c r="Q24" s="2"/>
      <c r="R24" s="7">
        <f t="shared" si="17"/>
        <v>3.5962146405680434E-2</v>
      </c>
      <c r="S24" s="2"/>
      <c r="T24" s="6">
        <v>6314.2</v>
      </c>
      <c r="U24" s="2"/>
      <c r="V24" s="7">
        <f t="shared" si="18"/>
        <v>2.644094835325931E-2</v>
      </c>
      <c r="W24" s="2"/>
      <c r="X24" s="6">
        <f t="shared" si="19"/>
        <v>517.36999999999989</v>
      </c>
      <c r="Y24" s="2"/>
      <c r="Z24" s="7">
        <f t="shared" si="20"/>
        <v>8.1937537613632747E-2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511.97</v>
      </c>
      <c r="I25" s="2"/>
      <c r="J25" s="7">
        <f t="shared" si="14"/>
        <v>5.1555724732690059E-2</v>
      </c>
      <c r="K25" s="2"/>
      <c r="L25" s="6">
        <f t="shared" si="15"/>
        <v>-511.97</v>
      </c>
      <c r="M25" s="2"/>
      <c r="N25" s="7">
        <f t="shared" si="16"/>
        <v>-1</v>
      </c>
      <c r="O25" s="11"/>
      <c r="P25" s="6">
        <v>4016.54</v>
      </c>
      <c r="Q25" s="2"/>
      <c r="R25" s="7">
        <f t="shared" si="17"/>
        <v>2.1143514525105021E-2</v>
      </c>
      <c r="S25" s="2"/>
      <c r="T25" s="6">
        <v>4498.8</v>
      </c>
      <c r="U25" s="2"/>
      <c r="V25" s="7">
        <f t="shared" si="18"/>
        <v>1.8838893042925943E-2</v>
      </c>
      <c r="W25" s="2"/>
      <c r="X25" s="6">
        <f t="shared" si="19"/>
        <v>-482.26000000000022</v>
      </c>
      <c r="Y25" s="2"/>
      <c r="Z25" s="7">
        <f t="shared" si="20"/>
        <v>-0.10719747488219085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660.8</v>
      </c>
      <c r="E26" s="2"/>
      <c r="F26" s="7">
        <f t="shared" si="13"/>
        <v>0</v>
      </c>
      <c r="G26" s="2"/>
      <c r="H26" s="6">
        <v>34.97</v>
      </c>
      <c r="I26" s="2"/>
      <c r="J26" s="7">
        <f t="shared" si="14"/>
        <v>3.5215026151965375E-3</v>
      </c>
      <c r="K26" s="2"/>
      <c r="L26" s="6">
        <f t="shared" si="15"/>
        <v>625.82999999999993</v>
      </c>
      <c r="M26" s="2"/>
      <c r="N26" s="7">
        <f t="shared" si="16"/>
        <v>17.896196740062909</v>
      </c>
      <c r="O26" s="11"/>
      <c r="P26" s="6">
        <v>1603.52</v>
      </c>
      <c r="Q26" s="2"/>
      <c r="R26" s="7">
        <f t="shared" si="17"/>
        <v>8.4411081207448196E-3</v>
      </c>
      <c r="S26" s="2"/>
      <c r="T26" s="6">
        <v>364.27</v>
      </c>
      <c r="U26" s="2"/>
      <c r="V26" s="7">
        <f t="shared" si="18"/>
        <v>1.5253942315165451E-3</v>
      </c>
      <c r="W26" s="2"/>
      <c r="X26" s="6">
        <f t="shared" si="19"/>
        <v>1239.25</v>
      </c>
      <c r="Y26" s="2"/>
      <c r="Z26" s="7">
        <f t="shared" si="20"/>
        <v>3.4020094984489528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38.03</v>
      </c>
      <c r="I27" s="2"/>
      <c r="J27" s="7">
        <f t="shared" si="14"/>
        <v>3.8296466816106472E-3</v>
      </c>
      <c r="K27" s="2"/>
      <c r="L27" s="6">
        <f t="shared" si="15"/>
        <v>-38.03</v>
      </c>
      <c r="M27" s="2"/>
      <c r="N27" s="7">
        <f t="shared" si="16"/>
        <v>-1</v>
      </c>
      <c r="O27" s="11"/>
      <c r="P27" s="6">
        <v>319.64</v>
      </c>
      <c r="Q27" s="2"/>
      <c r="R27" s="7">
        <f t="shared" si="17"/>
        <v>1.6826206094809383E-3</v>
      </c>
      <c r="S27" s="2"/>
      <c r="T27" s="6">
        <v>367.32</v>
      </c>
      <c r="U27" s="2"/>
      <c r="V27" s="7">
        <f t="shared" si="18"/>
        <v>1.5381662204426863E-3</v>
      </c>
      <c r="W27" s="2"/>
      <c r="X27" s="6">
        <f t="shared" si="19"/>
        <v>-47.680000000000007</v>
      </c>
      <c r="Y27" s="2"/>
      <c r="Z27" s="7">
        <f t="shared" si="20"/>
        <v>-0.12980507459435917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300</v>
      </c>
      <c r="I28" s="2"/>
      <c r="J28" s="7">
        <f t="shared" si="14"/>
        <v>3.0210202589618564E-2</v>
      </c>
      <c r="K28" s="2"/>
      <c r="L28" s="6">
        <f t="shared" si="15"/>
        <v>-300</v>
      </c>
      <c r="M28" s="2"/>
      <c r="N28" s="7">
        <f t="shared" si="16"/>
        <v>-1</v>
      </c>
      <c r="O28" s="11"/>
      <c r="P28" s="6">
        <v>2839.06</v>
      </c>
      <c r="Q28" s="2"/>
      <c r="R28" s="7">
        <f t="shared" si="17"/>
        <v>1.4945128480643702E-2</v>
      </c>
      <c r="S28" s="2"/>
      <c r="T28" s="6">
        <v>3480.24</v>
      </c>
      <c r="U28" s="2"/>
      <c r="V28" s="7">
        <f t="shared" si="18"/>
        <v>1.457363499682417E-2</v>
      </c>
      <c r="W28" s="2"/>
      <c r="X28" s="6">
        <f t="shared" si="19"/>
        <v>-641.17999999999984</v>
      </c>
      <c r="Y28" s="2"/>
      <c r="Z28" s="7">
        <f t="shared" si="20"/>
        <v>-0.18423442061467021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253.2</v>
      </c>
      <c r="I29" s="2"/>
      <c r="J29" s="7">
        <f t="shared" si="14"/>
        <v>2.5497410985638069E-2</v>
      </c>
      <c r="K29" s="2"/>
      <c r="L29" s="6">
        <f t="shared" si="15"/>
        <v>-253.2</v>
      </c>
      <c r="M29" s="2"/>
      <c r="N29" s="7">
        <f t="shared" si="16"/>
        <v>-1</v>
      </c>
      <c r="O29" s="11"/>
      <c r="P29" s="6">
        <v>1634.87</v>
      </c>
      <c r="Q29" s="2"/>
      <c r="R29" s="7">
        <f t="shared" si="17"/>
        <v>8.6061380172134331E-3</v>
      </c>
      <c r="S29" s="2"/>
      <c r="T29" s="6">
        <v>2077.0700000000002</v>
      </c>
      <c r="U29" s="2"/>
      <c r="V29" s="7">
        <f t="shared" si="18"/>
        <v>8.6978082094492284E-3</v>
      </c>
      <c r="W29" s="2"/>
      <c r="X29" s="6">
        <f t="shared" si="19"/>
        <v>-442.20000000000027</v>
      </c>
      <c r="Y29" s="2"/>
      <c r="Z29" s="7">
        <f t="shared" si="20"/>
        <v>-0.21289605068678485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303.36</v>
      </c>
      <c r="I30" s="2"/>
      <c r="J30" s="7">
        <f t="shared" si="14"/>
        <v>3.0548556858622296E-2</v>
      </c>
      <c r="K30" s="2"/>
      <c r="L30" s="6">
        <f t="shared" si="15"/>
        <v>-303.36</v>
      </c>
      <c r="M30" s="2"/>
      <c r="N30" s="7">
        <f t="shared" si="16"/>
        <v>-1</v>
      </c>
      <c r="O30" s="11"/>
      <c r="P30" s="6">
        <v>1996.53</v>
      </c>
      <c r="Q30" s="2"/>
      <c r="R30" s="7">
        <f t="shared" si="17"/>
        <v>1.0509956593189144E-2</v>
      </c>
      <c r="S30" s="2"/>
      <c r="T30" s="6">
        <v>2845.01</v>
      </c>
      <c r="U30" s="2"/>
      <c r="V30" s="7">
        <f t="shared" si="18"/>
        <v>1.1913585644183947E-2</v>
      </c>
      <c r="W30" s="2"/>
      <c r="X30" s="6">
        <f t="shared" si="19"/>
        <v>-848.48000000000025</v>
      </c>
      <c r="Y30" s="2"/>
      <c r="Z30" s="7">
        <f t="shared" si="20"/>
        <v>-0.29823445260297859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>
        <v>135.80000000000001</v>
      </c>
      <c r="I31" s="2"/>
      <c r="J31" s="7">
        <f t="shared" si="14"/>
        <v>1.3675151705567339E-2</v>
      </c>
      <c r="K31" s="2"/>
      <c r="L31" s="6">
        <f t="shared" si="15"/>
        <v>-135.80000000000001</v>
      </c>
      <c r="M31" s="2"/>
      <c r="N31" s="7">
        <f t="shared" si="16"/>
        <v>-1</v>
      </c>
      <c r="O31" s="11"/>
      <c r="P31" s="6">
        <v>1517.77</v>
      </c>
      <c r="Q31" s="2"/>
      <c r="R31" s="7">
        <f t="shared" si="17"/>
        <v>7.9897105570388063E-3</v>
      </c>
      <c r="S31" s="2"/>
      <c r="T31" s="6">
        <v>1610.53</v>
      </c>
      <c r="U31" s="2"/>
      <c r="V31" s="7">
        <f t="shared" si="18"/>
        <v>6.7441545328584332E-3</v>
      </c>
      <c r="W31" s="2"/>
      <c r="X31" s="6">
        <f t="shared" si="19"/>
        <v>-92.759999999999991</v>
      </c>
      <c r="Y31" s="2"/>
      <c r="Z31" s="7">
        <f t="shared" si="20"/>
        <v>-5.7595946675938973E-2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1">IF(D$12=0,0,D32/D$12)</f>
        <v>0</v>
      </c>
      <c r="G32" s="1"/>
      <c r="H32" s="1">
        <f>SUM(OSRRefH22_1x_0)</f>
        <v>10748.45</v>
      </c>
      <c r="I32" s="1"/>
      <c r="J32" s="5">
        <f t="shared" ref="J32:J38" si="22">IF(H$12=0,0,H32/H$12)</f>
        <v>1.0823761734146189</v>
      </c>
      <c r="K32" s="1"/>
      <c r="L32" s="1">
        <f t="shared" ref="L32:L38" si="23">+D32-H32</f>
        <v>-10748.45</v>
      </c>
      <c r="M32" s="1"/>
      <c r="N32" s="5">
        <f t="shared" ref="N32:N38" si="24">IF(H32=0,0,L32/H32)</f>
        <v>-1</v>
      </c>
      <c r="O32" s="13"/>
      <c r="P32" s="1">
        <f>SUM(OSRRefP22_1x_0)</f>
        <v>112168.78</v>
      </c>
      <c r="Q32" s="1"/>
      <c r="R32" s="5">
        <f t="shared" ref="R32:R38" si="25">IF(P$12=0,0,P32/P$12)</f>
        <v>0.59046896811517113</v>
      </c>
      <c r="S32" s="1"/>
      <c r="T32" s="1">
        <f>SUM(OSRRefT22_1x_0)</f>
        <v>122111.33999999998</v>
      </c>
      <c r="U32" s="1"/>
      <c r="V32" s="5">
        <f t="shared" ref="V32:V38" si="26">IF(T$12=0,0,T32/T$12)</f>
        <v>0.51134579745451325</v>
      </c>
      <c r="W32" s="1"/>
      <c r="X32" s="1">
        <f t="shared" ref="X32:X38" si="27">+P32-T32</f>
        <v>-9942.5599999999831</v>
      </c>
      <c r="Y32" s="1"/>
      <c r="Z32" s="5">
        <f t="shared" ref="Z32:Z38" si="28">IF(T32=0,0,X32/T32)</f>
        <v>-8.1422085778437819E-2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4578.63</v>
      </c>
      <c r="I33" s="2"/>
      <c r="J33" s="7">
        <f t="shared" si="22"/>
        <v>0.46107113294301755</v>
      </c>
      <c r="K33" s="2"/>
      <c r="L33" s="6">
        <f t="shared" si="23"/>
        <v>-4578.63</v>
      </c>
      <c r="M33" s="2"/>
      <c r="N33" s="7">
        <f t="shared" si="24"/>
        <v>-1</v>
      </c>
      <c r="O33" s="11"/>
      <c r="P33" s="6">
        <v>37546.44</v>
      </c>
      <c r="Q33" s="2"/>
      <c r="R33" s="7">
        <f t="shared" si="25"/>
        <v>0.19764864771818136</v>
      </c>
      <c r="S33" s="2"/>
      <c r="T33" s="6">
        <v>50181.68</v>
      </c>
      <c r="U33" s="2"/>
      <c r="V33" s="7">
        <f t="shared" si="26"/>
        <v>0.21013765942792209</v>
      </c>
      <c r="W33" s="2"/>
      <c r="X33" s="6">
        <f t="shared" si="27"/>
        <v>-12635.239999999998</v>
      </c>
      <c r="Y33" s="2"/>
      <c r="Z33" s="7">
        <f t="shared" si="28"/>
        <v>-0.25178989623304754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2484.31</v>
      </c>
      <c r="Q34" s="2"/>
      <c r="R34" s="7">
        <f t="shared" si="25"/>
        <v>1.3077684915340978E-2</v>
      </c>
      <c r="S34" s="2"/>
      <c r="T34" s="6"/>
      <c r="U34" s="2"/>
      <c r="V34" s="7">
        <f t="shared" si="26"/>
        <v>0</v>
      </c>
      <c r="W34" s="2"/>
      <c r="X34" s="6">
        <f t="shared" si="27"/>
        <v>2484.31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3279</v>
      </c>
      <c r="I35" s="2"/>
      <c r="J35" s="7">
        <f t="shared" si="22"/>
        <v>0.33019751430453093</v>
      </c>
      <c r="K35" s="2"/>
      <c r="L35" s="6">
        <f t="shared" si="23"/>
        <v>-3279</v>
      </c>
      <c r="M35" s="2"/>
      <c r="N35" s="7">
        <f t="shared" si="24"/>
        <v>-1</v>
      </c>
      <c r="O35" s="11"/>
      <c r="P35" s="6">
        <v>40119.120000000003</v>
      </c>
      <c r="Q35" s="2"/>
      <c r="R35" s="7">
        <f t="shared" si="25"/>
        <v>0.21119152216943721</v>
      </c>
      <c r="S35" s="2"/>
      <c r="T35" s="6">
        <v>25013.75</v>
      </c>
      <c r="U35" s="2"/>
      <c r="V35" s="7">
        <f t="shared" si="26"/>
        <v>0.10474601245943115</v>
      </c>
      <c r="W35" s="2"/>
      <c r="X35" s="6">
        <f t="shared" si="27"/>
        <v>15105.370000000003</v>
      </c>
      <c r="Y35" s="2"/>
      <c r="Z35" s="7">
        <f t="shared" si="28"/>
        <v>0.60388266453450612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1294.4100000000001</v>
      </c>
      <c r="Q36" s="2"/>
      <c r="R36" s="7">
        <f t="shared" si="25"/>
        <v>6.8139186056758285E-3</v>
      </c>
      <c r="S36" s="2"/>
      <c r="T36" s="6"/>
      <c r="U36" s="2"/>
      <c r="V36" s="7">
        <f t="shared" si="26"/>
        <v>0</v>
      </c>
      <c r="W36" s="2"/>
      <c r="X36" s="6">
        <f t="shared" si="27"/>
        <v>1294.4100000000001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1925</v>
      </c>
      <c r="I37" s="2"/>
      <c r="J37" s="7">
        <f t="shared" si="22"/>
        <v>0.19384879995005247</v>
      </c>
      <c r="K37" s="2"/>
      <c r="L37" s="6">
        <f t="shared" si="23"/>
        <v>-1925</v>
      </c>
      <c r="M37" s="2"/>
      <c r="N37" s="7">
        <f t="shared" si="24"/>
        <v>-1</v>
      </c>
      <c r="O37" s="11"/>
      <c r="P37" s="6">
        <v>28126.86</v>
      </c>
      <c r="Q37" s="2"/>
      <c r="R37" s="7">
        <f t="shared" si="25"/>
        <v>0.14806292803148866</v>
      </c>
      <c r="S37" s="2"/>
      <c r="T37" s="6">
        <v>38043.46</v>
      </c>
      <c r="U37" s="2"/>
      <c r="V37" s="7">
        <f t="shared" si="26"/>
        <v>0.15930840978101524</v>
      </c>
      <c r="W37" s="2"/>
      <c r="X37" s="6">
        <f t="shared" si="27"/>
        <v>-9916.5999999999985</v>
      </c>
      <c r="Y37" s="2"/>
      <c r="Z37" s="7">
        <f t="shared" si="28"/>
        <v>-0.26066503940493319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965.82</v>
      </c>
      <c r="I38" s="2"/>
      <c r="J38" s="7">
        <f t="shared" si="22"/>
        <v>9.7258726217018018E-2</v>
      </c>
      <c r="K38" s="2"/>
      <c r="L38" s="6">
        <f t="shared" si="23"/>
        <v>-965.82</v>
      </c>
      <c r="M38" s="2"/>
      <c r="N38" s="7">
        <f t="shared" si="24"/>
        <v>-1</v>
      </c>
      <c r="O38" s="11"/>
      <c r="P38" s="6">
        <v>2597.64</v>
      </c>
      <c r="Q38" s="2"/>
      <c r="R38" s="7">
        <f t="shared" si="25"/>
        <v>1.367426667504713E-2</v>
      </c>
      <c r="S38" s="2"/>
      <c r="T38" s="6">
        <v>8872.4500000000007</v>
      </c>
      <c r="U38" s="2"/>
      <c r="V38" s="7">
        <f t="shared" si="26"/>
        <v>3.7153715786144813E-2</v>
      </c>
      <c r="W38" s="2"/>
      <c r="X38" s="6">
        <f t="shared" si="27"/>
        <v>-6274.8100000000013</v>
      </c>
      <c r="Y38" s="2"/>
      <c r="Z38" s="7">
        <f t="shared" si="28"/>
        <v>-0.7072240474727951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6" si="29">IF(D$12=0,0,D39/D$12)</f>
        <v>0</v>
      </c>
      <c r="G39" s="1"/>
      <c r="H39" s="1">
        <f>SUM(OSRRefH22_2x_0)</f>
        <v>614.49</v>
      </c>
      <c r="I39" s="1"/>
      <c r="J39" s="5">
        <f t="shared" ref="J39:J56" si="30">IF(H$12=0,0,H39/H$12)</f>
        <v>6.1879557964315712E-2</v>
      </c>
      <c r="K39" s="1"/>
      <c r="L39" s="1">
        <f t="shared" ref="L39:L56" si="31">+D39-H39</f>
        <v>-614.49</v>
      </c>
      <c r="M39" s="1"/>
      <c r="N39" s="5">
        <f t="shared" ref="N39:N56" si="32">IF(H39=0,0,L39/H39)</f>
        <v>-1</v>
      </c>
      <c r="O39" s="13"/>
      <c r="P39" s="1">
        <f>SUM(OSRRefP22_2x_0)</f>
        <v>3228.7</v>
      </c>
      <c r="Q39" s="1"/>
      <c r="R39" s="5">
        <f t="shared" ref="R39:R56" si="33">IF(P$12=0,0,P39/P$12)</f>
        <v>1.6996236897231592E-2</v>
      </c>
      <c r="S39" s="1"/>
      <c r="T39" s="1">
        <f>SUM(OSRRefT22_2x_0)</f>
        <v>2809.82</v>
      </c>
      <c r="U39" s="1"/>
      <c r="V39" s="5">
        <f t="shared" ref="V39:V56" si="34">IF(T$12=0,0,T39/T$12)</f>
        <v>1.1766226204737747E-2</v>
      </c>
      <c r="W39" s="1"/>
      <c r="X39" s="1">
        <f t="shared" ref="X39:X56" si="35">+P39-T39</f>
        <v>418.87999999999965</v>
      </c>
      <c r="Y39" s="1"/>
      <c r="Z39" s="5">
        <f t="shared" ref="Z39:Z56" si="36">IF(T39=0,0,X39/T39)</f>
        <v>0.14907716508530783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614.49</v>
      </c>
      <c r="I40" s="2"/>
      <c r="J40" s="7">
        <f t="shared" si="30"/>
        <v>6.1879557964315712E-2</v>
      </c>
      <c r="K40" s="2"/>
      <c r="L40" s="6">
        <f t="shared" si="31"/>
        <v>-614.49</v>
      </c>
      <c r="M40" s="2"/>
      <c r="N40" s="7">
        <f t="shared" si="32"/>
        <v>-1</v>
      </c>
      <c r="O40" s="11"/>
      <c r="P40" s="6">
        <v>3228.7</v>
      </c>
      <c r="Q40" s="2"/>
      <c r="R40" s="7">
        <f t="shared" si="33"/>
        <v>1.6996236897231592E-2</v>
      </c>
      <c r="S40" s="2"/>
      <c r="T40" s="6">
        <v>2809.82</v>
      </c>
      <c r="U40" s="2"/>
      <c r="V40" s="7">
        <f t="shared" si="34"/>
        <v>1.1766226204737747E-2</v>
      </c>
      <c r="W40" s="2"/>
      <c r="X40" s="6">
        <f t="shared" si="35"/>
        <v>418.87999999999965</v>
      </c>
      <c r="Y40" s="2"/>
      <c r="Z40" s="7">
        <f t="shared" si="36"/>
        <v>0.14907716508530783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135.68</v>
      </c>
      <c r="I41" s="1"/>
      <c r="J41" s="5">
        <f t="shared" si="30"/>
        <v>1.366306762453149E-2</v>
      </c>
      <c r="K41" s="1"/>
      <c r="L41" s="1">
        <f t="shared" si="31"/>
        <v>-135.68</v>
      </c>
      <c r="M41" s="1"/>
      <c r="N41" s="5">
        <f t="shared" si="32"/>
        <v>-1</v>
      </c>
      <c r="O41" s="13"/>
      <c r="P41" s="1">
        <f>SUM(OSRRefP22_3x_0)</f>
        <v>-42.37</v>
      </c>
      <c r="Q41" s="1"/>
      <c r="R41" s="5">
        <f t="shared" si="33"/>
        <v>-2.2304040553030709E-4</v>
      </c>
      <c r="S41" s="1"/>
      <c r="T41" s="1">
        <f>SUM(OSRRefT22_3x_0)</f>
        <v>108.3</v>
      </c>
      <c r="U41" s="1"/>
      <c r="V41" s="5">
        <f t="shared" si="34"/>
        <v>4.5351029531183419E-4</v>
      </c>
      <c r="W41" s="1"/>
      <c r="X41" s="1">
        <f t="shared" si="35"/>
        <v>-150.66999999999999</v>
      </c>
      <c r="Y41" s="1"/>
      <c r="Z41" s="5">
        <f t="shared" si="36"/>
        <v>-1.3912280701754385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135.68</v>
      </c>
      <c r="I42" s="2"/>
      <c r="J42" s="7">
        <f t="shared" si="30"/>
        <v>1.366306762453149E-2</v>
      </c>
      <c r="K42" s="2"/>
      <c r="L42" s="6">
        <f t="shared" si="31"/>
        <v>-135.68</v>
      </c>
      <c r="M42" s="2"/>
      <c r="N42" s="7">
        <f t="shared" si="32"/>
        <v>-1</v>
      </c>
      <c r="O42" s="11"/>
      <c r="P42" s="6">
        <v>-42.37</v>
      </c>
      <c r="Q42" s="2"/>
      <c r="R42" s="7">
        <f t="shared" si="33"/>
        <v>-2.2304040553030709E-4</v>
      </c>
      <c r="S42" s="2"/>
      <c r="T42" s="6">
        <v>108.3</v>
      </c>
      <c r="U42" s="2"/>
      <c r="V42" s="7">
        <f t="shared" si="34"/>
        <v>4.5351029531183419E-4</v>
      </c>
      <c r="W42" s="2"/>
      <c r="X42" s="6">
        <f t="shared" si="35"/>
        <v>-150.66999999999999</v>
      </c>
      <c r="Y42" s="2"/>
      <c r="Z42" s="7">
        <f t="shared" si="36"/>
        <v>-1.3912280701754385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670.09</v>
      </c>
      <c r="I43" s="1"/>
      <c r="J43" s="5">
        <f t="shared" si="30"/>
        <v>6.7478515510925013E-2</v>
      </c>
      <c r="K43" s="1"/>
      <c r="L43" s="1">
        <f t="shared" si="31"/>
        <v>-670.09</v>
      </c>
      <c r="M43" s="1"/>
      <c r="N43" s="5">
        <f t="shared" si="32"/>
        <v>-1</v>
      </c>
      <c r="O43" s="13"/>
      <c r="P43" s="1">
        <f>SUM(OSRRefP22_4x_0)</f>
        <v>7084.51</v>
      </c>
      <c r="Q43" s="1"/>
      <c r="R43" s="5">
        <f t="shared" si="33"/>
        <v>3.7293650776103755E-2</v>
      </c>
      <c r="S43" s="1"/>
      <c r="T43" s="1">
        <f>SUM(OSRRefT22_4x_0)</f>
        <v>9245.82</v>
      </c>
      <c r="U43" s="1"/>
      <c r="V43" s="5">
        <f t="shared" si="34"/>
        <v>3.8717216607572137E-2</v>
      </c>
      <c r="W43" s="1"/>
      <c r="X43" s="1">
        <f t="shared" si="35"/>
        <v>-2161.3099999999995</v>
      </c>
      <c r="Y43" s="1"/>
      <c r="Z43" s="5">
        <f t="shared" si="36"/>
        <v>-0.23376076973161922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670.09</v>
      </c>
      <c r="I44" s="2"/>
      <c r="J44" s="7">
        <f t="shared" si="30"/>
        <v>6.7478515510925013E-2</v>
      </c>
      <c r="K44" s="2"/>
      <c r="L44" s="6">
        <f t="shared" si="31"/>
        <v>-670.09</v>
      </c>
      <c r="M44" s="2"/>
      <c r="N44" s="7">
        <f t="shared" si="32"/>
        <v>-1</v>
      </c>
      <c r="O44" s="11"/>
      <c r="P44" s="6">
        <v>7084.51</v>
      </c>
      <c r="Q44" s="2"/>
      <c r="R44" s="7">
        <f t="shared" si="33"/>
        <v>3.7293650776103755E-2</v>
      </c>
      <c r="S44" s="2"/>
      <c r="T44" s="6">
        <v>9245.82</v>
      </c>
      <c r="U44" s="2"/>
      <c r="V44" s="7">
        <f t="shared" si="34"/>
        <v>3.8717216607572137E-2</v>
      </c>
      <c r="W44" s="2"/>
      <c r="X44" s="6">
        <f t="shared" si="35"/>
        <v>-2161.3099999999995</v>
      </c>
      <c r="Y44" s="2"/>
      <c r="Z44" s="7">
        <f t="shared" si="36"/>
        <v>-0.23376076973161922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119.55</v>
      </c>
      <c r="E45" s="1"/>
      <c r="F45" s="5">
        <f t="shared" si="29"/>
        <v>0</v>
      </c>
      <c r="G45" s="1"/>
      <c r="H45" s="1">
        <f>SUM(OSRRefH22_5x_0)</f>
        <v>2776.01</v>
      </c>
      <c r="I45" s="1"/>
      <c r="J45" s="5">
        <f t="shared" si="30"/>
        <v>0.27954608163602346</v>
      </c>
      <c r="K45" s="1"/>
      <c r="L45" s="1">
        <f t="shared" si="31"/>
        <v>-2656.46</v>
      </c>
      <c r="M45" s="1"/>
      <c r="N45" s="5">
        <f t="shared" si="32"/>
        <v>-0.95693459317509655</v>
      </c>
      <c r="O45" s="13"/>
      <c r="P45" s="1">
        <f>SUM(OSRRefP22_5x_0)</f>
        <v>25216.95</v>
      </c>
      <c r="Q45" s="1"/>
      <c r="R45" s="5">
        <f t="shared" si="33"/>
        <v>0.1327448372489374</v>
      </c>
      <c r="S45" s="1"/>
      <c r="T45" s="1">
        <f>SUM(OSRRefT22_5x_0)</f>
        <v>30536.11</v>
      </c>
      <c r="U45" s="1"/>
      <c r="V45" s="5">
        <f t="shared" si="34"/>
        <v>0.12787110123522302</v>
      </c>
      <c r="W45" s="1"/>
      <c r="X45" s="1">
        <f t="shared" si="35"/>
        <v>-5319.16</v>
      </c>
      <c r="Y45" s="1"/>
      <c r="Z45" s="5">
        <f t="shared" si="36"/>
        <v>-0.17419245607904871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119.55</v>
      </c>
      <c r="E46" s="2"/>
      <c r="F46" s="7">
        <f t="shared" si="29"/>
        <v>0</v>
      </c>
      <c r="G46" s="2"/>
      <c r="H46" s="6">
        <v>2776.01</v>
      </c>
      <c r="I46" s="2"/>
      <c r="J46" s="7">
        <f t="shared" si="30"/>
        <v>0.27954608163602346</v>
      </c>
      <c r="K46" s="2"/>
      <c r="L46" s="6">
        <f t="shared" si="31"/>
        <v>-2656.46</v>
      </c>
      <c r="M46" s="2"/>
      <c r="N46" s="7">
        <f t="shared" si="32"/>
        <v>-0.95693459317509655</v>
      </c>
      <c r="O46" s="11"/>
      <c r="P46" s="6">
        <v>25216.95</v>
      </c>
      <c r="Q46" s="2"/>
      <c r="R46" s="7">
        <f t="shared" si="33"/>
        <v>0.1327448372489374</v>
      </c>
      <c r="S46" s="2"/>
      <c r="T46" s="6">
        <v>30536.11</v>
      </c>
      <c r="U46" s="2"/>
      <c r="V46" s="7">
        <f t="shared" si="34"/>
        <v>0.12787110123522302</v>
      </c>
      <c r="W46" s="2"/>
      <c r="X46" s="6">
        <f t="shared" si="35"/>
        <v>-5319.16</v>
      </c>
      <c r="Y46" s="2"/>
      <c r="Z46" s="7">
        <f t="shared" si="36"/>
        <v>-0.17419245607904871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SUM(OSRRefP22_6x_0)</f>
        <v>107.51</v>
      </c>
      <c r="Q47" s="1"/>
      <c r="R47" s="5">
        <f t="shared" si="33"/>
        <v>5.6594463060097517E-4</v>
      </c>
      <c r="S47" s="1"/>
      <c r="T47" s="1">
        <f>SUM(OSRRefT22_6x_0)</f>
        <v>108.69</v>
      </c>
      <c r="U47" s="1"/>
      <c r="V47" s="5">
        <f t="shared" si="34"/>
        <v>4.5514343487943913E-4</v>
      </c>
      <c r="W47" s="1"/>
      <c r="X47" s="1">
        <f t="shared" si="35"/>
        <v>-1.1799999999999926</v>
      </c>
      <c r="Y47" s="1"/>
      <c r="Z47" s="5">
        <f t="shared" si="36"/>
        <v>-1.0856564541356082E-2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107.51</v>
      </c>
      <c r="Q48" s="2"/>
      <c r="R48" s="7">
        <f t="shared" si="33"/>
        <v>5.6594463060097517E-4</v>
      </c>
      <c r="S48" s="2"/>
      <c r="T48" s="6">
        <v>108.69</v>
      </c>
      <c r="U48" s="2"/>
      <c r="V48" s="7">
        <f t="shared" si="34"/>
        <v>4.5514343487943913E-4</v>
      </c>
      <c r="W48" s="2"/>
      <c r="X48" s="6">
        <f t="shared" si="35"/>
        <v>-1.1799999999999926</v>
      </c>
      <c r="Y48" s="2"/>
      <c r="Z48" s="7">
        <f t="shared" si="36"/>
        <v>-1.0856564541356082E-2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64.02</v>
      </c>
      <c r="E49" s="1"/>
      <c r="F49" s="5">
        <f t="shared" si="29"/>
        <v>0</v>
      </c>
      <c r="G49" s="1"/>
      <c r="H49" s="1">
        <f>SUM(OSRRefH22_7x_0)</f>
        <v>0</v>
      </c>
      <c r="I49" s="1"/>
      <c r="J49" s="5">
        <f t="shared" si="30"/>
        <v>0</v>
      </c>
      <c r="K49" s="1"/>
      <c r="L49" s="1">
        <f t="shared" si="31"/>
        <v>64.02</v>
      </c>
      <c r="M49" s="1"/>
      <c r="N49" s="5">
        <f t="shared" si="32"/>
        <v>0</v>
      </c>
      <c r="O49" s="13"/>
      <c r="P49" s="1">
        <f>SUM(OSRRefP22_7x_0)</f>
        <v>1648.76</v>
      </c>
      <c r="Q49" s="1"/>
      <c r="R49" s="5">
        <f t="shared" si="33"/>
        <v>8.6792565263665127E-3</v>
      </c>
      <c r="S49" s="1"/>
      <c r="T49" s="1">
        <f>SUM(OSRRefT22_7x_0)</f>
        <v>0</v>
      </c>
      <c r="U49" s="1"/>
      <c r="V49" s="5">
        <f t="shared" si="34"/>
        <v>0</v>
      </c>
      <c r="W49" s="1"/>
      <c r="X49" s="1">
        <f t="shared" si="35"/>
        <v>1648.76</v>
      </c>
      <c r="Y49" s="1"/>
      <c r="Z49" s="5">
        <f t="shared" si="36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64.02</v>
      </c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64.02</v>
      </c>
      <c r="M50" s="2"/>
      <c r="N50" s="7">
        <f t="shared" si="32"/>
        <v>0</v>
      </c>
      <c r="O50" s="11"/>
      <c r="P50" s="6">
        <v>1648.76</v>
      </c>
      <c r="Q50" s="2"/>
      <c r="R50" s="7">
        <f t="shared" si="33"/>
        <v>8.6792565263665127E-3</v>
      </c>
      <c r="S50" s="2"/>
      <c r="T50" s="6"/>
      <c r="U50" s="2"/>
      <c r="V50" s="7">
        <f t="shared" si="34"/>
        <v>0</v>
      </c>
      <c r="W50" s="2"/>
      <c r="X50" s="6">
        <f t="shared" si="35"/>
        <v>1648.76</v>
      </c>
      <c r="Y50" s="2"/>
      <c r="Z50" s="7">
        <f t="shared" si="36"/>
        <v>0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SUM(OSRRefP22_8x_0)</f>
        <v>768.15</v>
      </c>
      <c r="Q51" s="1"/>
      <c r="R51" s="5">
        <f t="shared" si="33"/>
        <v>4.0436272718457726E-3</v>
      </c>
      <c r="S51" s="1"/>
      <c r="T51" s="1">
        <f>SUM(OSRRefT22_8x_0)</f>
        <v>769.2</v>
      </c>
      <c r="U51" s="1"/>
      <c r="V51" s="5">
        <f t="shared" si="34"/>
        <v>3.221053731799288E-3</v>
      </c>
      <c r="W51" s="1"/>
      <c r="X51" s="1">
        <f t="shared" si="35"/>
        <v>-1.0500000000000682</v>
      </c>
      <c r="Y51" s="1"/>
      <c r="Z51" s="5">
        <f t="shared" si="36"/>
        <v>-1.3650546021841759E-3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768.15</v>
      </c>
      <c r="Q52" s="2"/>
      <c r="R52" s="7">
        <f t="shared" si="33"/>
        <v>4.0436272718457726E-3</v>
      </c>
      <c r="S52" s="2"/>
      <c r="T52" s="6">
        <v>769.2</v>
      </c>
      <c r="U52" s="2"/>
      <c r="V52" s="7">
        <f t="shared" si="34"/>
        <v>3.221053731799288E-3</v>
      </c>
      <c r="W52" s="2"/>
      <c r="X52" s="6">
        <f t="shared" si="35"/>
        <v>-1.0500000000000682</v>
      </c>
      <c r="Y52" s="2"/>
      <c r="Z52" s="7">
        <f t="shared" si="36"/>
        <v>-1.3650546021841759E-3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0</v>
      </c>
      <c r="E53" s="1"/>
      <c r="F53" s="5">
        <f t="shared" si="29"/>
        <v>0</v>
      </c>
      <c r="G53" s="1"/>
      <c r="H53" s="1">
        <f>SUM(OSRRefH22_9x_0)</f>
        <v>2484.71</v>
      </c>
      <c r="I53" s="1"/>
      <c r="J53" s="5">
        <f t="shared" si="30"/>
        <v>0.25021197492150382</v>
      </c>
      <c r="K53" s="1"/>
      <c r="L53" s="1">
        <f t="shared" si="31"/>
        <v>-2484.71</v>
      </c>
      <c r="M53" s="1"/>
      <c r="N53" s="5">
        <f t="shared" si="32"/>
        <v>-1</v>
      </c>
      <c r="O53" s="13"/>
      <c r="P53" s="1">
        <f>SUM(OSRRefP22_9x_0)</f>
        <v>5494.59</v>
      </c>
      <c r="Q53" s="1"/>
      <c r="R53" s="5">
        <f t="shared" si="33"/>
        <v>2.8924134572168282E-2</v>
      </c>
      <c r="S53" s="1"/>
      <c r="T53" s="1">
        <f>SUM(OSRRefT22_9x_0)</f>
        <v>4776.91</v>
      </c>
      <c r="U53" s="1"/>
      <c r="V53" s="5">
        <f t="shared" si="34"/>
        <v>2.000348905612238E-2</v>
      </c>
      <c r="W53" s="1"/>
      <c r="X53" s="1">
        <f t="shared" si="35"/>
        <v>717.68000000000029</v>
      </c>
      <c r="Y53" s="1"/>
      <c r="Z53" s="5">
        <f t="shared" si="36"/>
        <v>0.15023938068751563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2186.54</v>
      </c>
      <c r="Q54" s="2"/>
      <c r="R54" s="7">
        <f t="shared" si="33"/>
        <v>1.1510190425023312E-2</v>
      </c>
      <c r="S54" s="2"/>
      <c r="T54" s="6"/>
      <c r="U54" s="2"/>
      <c r="V54" s="7">
        <f t="shared" si="34"/>
        <v>0</v>
      </c>
      <c r="W54" s="2"/>
      <c r="X54" s="6">
        <f t="shared" si="35"/>
        <v>2186.54</v>
      </c>
      <c r="Y54" s="2"/>
      <c r="Z54" s="7">
        <f t="shared" si="36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909.57</v>
      </c>
      <c r="Q55" s="2"/>
      <c r="R55" s="7">
        <f t="shared" si="33"/>
        <v>4.7880779244324151E-3</v>
      </c>
      <c r="S55" s="2"/>
      <c r="T55" s="6">
        <v>597.97</v>
      </c>
      <c r="U55" s="2"/>
      <c r="V55" s="7">
        <f t="shared" si="34"/>
        <v>2.5040217108736611E-3</v>
      </c>
      <c r="W55" s="2"/>
      <c r="X55" s="6">
        <f t="shared" si="35"/>
        <v>311.60000000000002</v>
      </c>
      <c r="Y55" s="2"/>
      <c r="Z55" s="7">
        <f t="shared" si="36"/>
        <v>0.52109637607237824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9"/>
        <v>0</v>
      </c>
      <c r="G56" s="2"/>
      <c r="H56" s="6">
        <v>2484.71</v>
      </c>
      <c r="I56" s="2"/>
      <c r="J56" s="7">
        <f t="shared" si="30"/>
        <v>0.25021197492150382</v>
      </c>
      <c r="K56" s="2"/>
      <c r="L56" s="6">
        <f t="shared" si="31"/>
        <v>-2484.71</v>
      </c>
      <c r="M56" s="2"/>
      <c r="N56" s="7">
        <f t="shared" si="32"/>
        <v>-1</v>
      </c>
      <c r="O56" s="11"/>
      <c r="P56" s="6">
        <v>2398.48</v>
      </c>
      <c r="Q56" s="2"/>
      <c r="R56" s="7">
        <f t="shared" si="33"/>
        <v>1.2625866222712556E-2</v>
      </c>
      <c r="S56" s="2"/>
      <c r="T56" s="6">
        <v>4178.9399999999996</v>
      </c>
      <c r="U56" s="2"/>
      <c r="V56" s="7">
        <f t="shared" si="34"/>
        <v>1.749946734524872E-2</v>
      </c>
      <c r="W56" s="2"/>
      <c r="X56" s="6">
        <f t="shared" si="35"/>
        <v>-1780.4599999999996</v>
      </c>
      <c r="Y56" s="2"/>
      <c r="Z56" s="7">
        <f t="shared" si="36"/>
        <v>-0.42605541118082568</v>
      </c>
    </row>
    <row r="57" spans="1:26" s="27" customFormat="1" outlineLevel="1" collapsed="1" x14ac:dyDescent="0.25">
      <c r="A57" s="25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SUM(OSRRefD22_10x_0)</f>
        <v>0</v>
      </c>
      <c r="E57" s="1"/>
      <c r="F57" s="5">
        <f t="shared" ref="F57:F59" si="37">IF(D$12=0,0,D57/D$12)</f>
        <v>0</v>
      </c>
      <c r="G57" s="1"/>
      <c r="H57" s="1">
        <f>SUM(OSRRefH22_10x_0)</f>
        <v>735.4</v>
      </c>
      <c r="I57" s="1"/>
      <c r="J57" s="5">
        <f t="shared" ref="J57:J59" si="38">IF(H$12=0,0,H57/H$12)</f>
        <v>7.4055276614684973E-2</v>
      </c>
      <c r="K57" s="1"/>
      <c r="L57" s="1">
        <f t="shared" ref="L57:L59" si="39">+D57-H57</f>
        <v>-735.4</v>
      </c>
      <c r="M57" s="1"/>
      <c r="N57" s="5">
        <f t="shared" ref="N57:N59" si="40">IF(H57=0,0,L57/H57)</f>
        <v>-1</v>
      </c>
      <c r="O57" s="13"/>
      <c r="P57" s="1">
        <f>SUM(OSRRefP22_10x_0)</f>
        <v>1739.62</v>
      </c>
      <c r="Q57" s="1"/>
      <c r="R57" s="5">
        <f t="shared" ref="R57:R59" si="41">IF(P$12=0,0,P57/P$12)</f>
        <v>9.1575536999913346E-3</v>
      </c>
      <c r="S57" s="1"/>
      <c r="T57" s="1">
        <f>SUM(OSRRefT22_10x_0)</f>
        <v>1981.58</v>
      </c>
      <c r="U57" s="1"/>
      <c r="V57" s="5">
        <f t="shared" ref="V57:V59" si="42">IF(T$12=0,0,T57/T$12)</f>
        <v>8.2979402676271862E-3</v>
      </c>
      <c r="W57" s="1"/>
      <c r="X57" s="1">
        <f t="shared" ref="X57:X59" si="43">+P57-T57</f>
        <v>-241.96000000000004</v>
      </c>
      <c r="Y57" s="1"/>
      <c r="Z57" s="5">
        <f t="shared" ref="Z57:Z59" si="44">IF(T57=0,0,X57/T57)</f>
        <v>-0.12210458321137681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7"/>
        <v>0</v>
      </c>
      <c r="G58" s="2"/>
      <c r="H58" s="6">
        <v>637</v>
      </c>
      <c r="I58" s="2"/>
      <c r="J58" s="7">
        <f t="shared" si="38"/>
        <v>6.4146330165290089E-2</v>
      </c>
      <c r="K58" s="2"/>
      <c r="L58" s="6">
        <f t="shared" si="39"/>
        <v>-637</v>
      </c>
      <c r="M58" s="2"/>
      <c r="N58" s="7">
        <f t="shared" si="40"/>
        <v>-1</v>
      </c>
      <c r="O58" s="11"/>
      <c r="P58" s="6">
        <v>1305.25</v>
      </c>
      <c r="Q58" s="2"/>
      <c r="R58" s="7">
        <f t="shared" si="41"/>
        <v>6.8709815746621043E-3</v>
      </c>
      <c r="S58" s="2"/>
      <c r="T58" s="6">
        <v>1256</v>
      </c>
      <c r="U58" s="2"/>
      <c r="V58" s="7">
        <f t="shared" si="42"/>
        <v>5.2595469151584832E-3</v>
      </c>
      <c r="W58" s="2"/>
      <c r="X58" s="6">
        <f t="shared" si="43"/>
        <v>49.25</v>
      </c>
      <c r="Y58" s="2"/>
      <c r="Z58" s="7">
        <f t="shared" si="44"/>
        <v>3.9211783439490444E-2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7"/>
        <v>0</v>
      </c>
      <c r="G59" s="2"/>
      <c r="H59" s="6">
        <v>98.4</v>
      </c>
      <c r="I59" s="2"/>
      <c r="J59" s="7">
        <f t="shared" si="38"/>
        <v>9.9089464493948894E-3</v>
      </c>
      <c r="K59" s="2"/>
      <c r="L59" s="6">
        <f t="shared" si="39"/>
        <v>-98.4</v>
      </c>
      <c r="M59" s="2"/>
      <c r="N59" s="7">
        <f t="shared" si="40"/>
        <v>-1</v>
      </c>
      <c r="O59" s="11"/>
      <c r="P59" s="6">
        <v>434.37</v>
      </c>
      <c r="Q59" s="2"/>
      <c r="R59" s="7">
        <f t="shared" si="41"/>
        <v>2.2865721253292307E-3</v>
      </c>
      <c r="S59" s="2"/>
      <c r="T59" s="6">
        <v>725.58</v>
      </c>
      <c r="U59" s="2"/>
      <c r="V59" s="7">
        <f t="shared" si="42"/>
        <v>3.0383933524687043E-3</v>
      </c>
      <c r="W59" s="2"/>
      <c r="X59" s="6">
        <f t="shared" si="43"/>
        <v>-291.21000000000004</v>
      </c>
      <c r="Y59" s="2"/>
      <c r="Z59" s="7">
        <f t="shared" si="44"/>
        <v>-0.40134788720747544</v>
      </c>
    </row>
    <row r="60" spans="1:26" s="27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-65.05</v>
      </c>
      <c r="E60" s="1"/>
      <c r="F60" s="5">
        <f t="shared" ref="F60:F66" si="45">IF(D$12=0,0,D60/D$12)</f>
        <v>0</v>
      </c>
      <c r="G60" s="1"/>
      <c r="H60" s="1">
        <f>SUM(OSRRefH22_11x_0)</f>
        <v>218.72</v>
      </c>
      <c r="I60" s="1"/>
      <c r="J60" s="5">
        <f t="shared" ref="J60:J66" si="46">IF(H$12=0,0,H60/H$12)</f>
        <v>2.2025251701337911E-2</v>
      </c>
      <c r="K60" s="1"/>
      <c r="L60" s="1">
        <f t="shared" ref="L60:L66" si="47">+D60-H60</f>
        <v>-283.77</v>
      </c>
      <c r="M60" s="1"/>
      <c r="N60" s="5">
        <f t="shared" ref="N60:N66" si="48">IF(H60=0,0,L60/H60)</f>
        <v>-1.297412216532553</v>
      </c>
      <c r="O60" s="13"/>
      <c r="P60" s="1">
        <f>SUM(OSRRefP22_11x_0)</f>
        <v>6296.61</v>
      </c>
      <c r="Q60" s="1"/>
      <c r="R60" s="5">
        <f t="shared" ref="R60:R66" si="49">IF(P$12=0,0,P60/P$12)</f>
        <v>3.3146057301538516E-2</v>
      </c>
      <c r="S60" s="1"/>
      <c r="T60" s="1">
        <f>SUM(OSRRefT22_11x_0)</f>
        <v>4164.1000000000004</v>
      </c>
      <c r="U60" s="1"/>
      <c r="V60" s="5">
        <f t="shared" ref="V60:V66" si="50">IF(T$12=0,0,T60/T$12)</f>
        <v>1.7437324290932678E-2</v>
      </c>
      <c r="W60" s="1"/>
      <c r="X60" s="1">
        <f t="shared" ref="X60:X66" si="51">+P60-T60</f>
        <v>2132.5099999999993</v>
      </c>
      <c r="Y60" s="1"/>
      <c r="Z60" s="5">
        <f t="shared" ref="Z60:Z66" si="52">IF(T60=0,0,X60/T60)</f>
        <v>0.51211786460459618</v>
      </c>
    </row>
    <row r="61" spans="1:26" s="24" customFormat="1" hidden="1" outlineLevel="2" x14ac:dyDescent="0.25">
      <c r="A61" s="26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45"/>
        <v>0</v>
      </c>
      <c r="G61" s="2"/>
      <c r="H61" s="6"/>
      <c r="I61" s="2"/>
      <c r="J61" s="7">
        <f t="shared" si="46"/>
        <v>0</v>
      </c>
      <c r="K61" s="2"/>
      <c r="L61" s="6">
        <f t="shared" si="47"/>
        <v>0</v>
      </c>
      <c r="M61" s="2"/>
      <c r="N61" s="7">
        <f t="shared" si="48"/>
        <v>0</v>
      </c>
      <c r="O61" s="11"/>
      <c r="P61" s="6">
        <v>10.95</v>
      </c>
      <c r="Q61" s="2"/>
      <c r="R61" s="7">
        <f t="shared" si="49"/>
        <v>5.7642021254587271E-5</v>
      </c>
      <c r="S61" s="2"/>
      <c r="T61" s="6">
        <v>11.08</v>
      </c>
      <c r="U61" s="2"/>
      <c r="V61" s="7">
        <f t="shared" si="50"/>
        <v>4.6397913869391717E-5</v>
      </c>
      <c r="W61" s="2"/>
      <c r="X61" s="6">
        <f t="shared" si="51"/>
        <v>-0.13000000000000078</v>
      </c>
      <c r="Y61" s="2"/>
      <c r="Z61" s="7">
        <f t="shared" si="52"/>
        <v>-1.1732851985559638E-2</v>
      </c>
    </row>
    <row r="62" spans="1:26" s="24" customFormat="1" hidden="1" outlineLevel="2" x14ac:dyDescent="0.25">
      <c r="A62" s="26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2898.22</v>
      </c>
      <c r="Q62" s="2"/>
      <c r="R62" s="7">
        <f t="shared" si="49"/>
        <v>1.5256553318764375E-2</v>
      </c>
      <c r="S62" s="2"/>
      <c r="T62" s="6">
        <v>61.49</v>
      </c>
      <c r="U62" s="2"/>
      <c r="V62" s="7">
        <f t="shared" si="50"/>
        <v>2.5749167182571267E-4</v>
      </c>
      <c r="W62" s="2"/>
      <c r="X62" s="6">
        <f t="shared" si="51"/>
        <v>2836.73</v>
      </c>
      <c r="Y62" s="2"/>
      <c r="Z62" s="7">
        <f t="shared" si="52"/>
        <v>46.133192389006339</v>
      </c>
    </row>
    <row r="63" spans="1:26" s="24" customFormat="1" hidden="1" outlineLevel="2" x14ac:dyDescent="0.25">
      <c r="A63" s="26"/>
      <c r="B63" s="11" t="str">
        <f>CONCATENATE("          ", "6241", " - ", "OFFICE EXPENSE")</f>
        <v xml:space="preserve">          6241 - OFFICE EXPENSE</v>
      </c>
      <c r="C63" s="11"/>
      <c r="D63" s="6">
        <v>-65.05</v>
      </c>
      <c r="E63" s="2"/>
      <c r="F63" s="7">
        <f t="shared" si="45"/>
        <v>0</v>
      </c>
      <c r="G63" s="2"/>
      <c r="H63" s="6">
        <v>187.7</v>
      </c>
      <c r="I63" s="2"/>
      <c r="J63" s="7">
        <f t="shared" si="46"/>
        <v>1.8901516753571348E-2</v>
      </c>
      <c r="K63" s="2"/>
      <c r="L63" s="6">
        <f t="shared" si="47"/>
        <v>-252.75</v>
      </c>
      <c r="M63" s="2"/>
      <c r="N63" s="7">
        <f t="shared" si="48"/>
        <v>-1.3465636654235482</v>
      </c>
      <c r="O63" s="11"/>
      <c r="P63" s="6">
        <v>788.91</v>
      </c>
      <c r="Q63" s="2"/>
      <c r="R63" s="7">
        <f t="shared" si="49"/>
        <v>4.1529102272106341E-3</v>
      </c>
      <c r="S63" s="2"/>
      <c r="T63" s="6">
        <v>318.02999999999997</v>
      </c>
      <c r="U63" s="2"/>
      <c r="V63" s="7">
        <f t="shared" si="50"/>
        <v>1.3317625043215385E-3</v>
      </c>
      <c r="W63" s="2"/>
      <c r="X63" s="6">
        <f t="shared" si="51"/>
        <v>470.88</v>
      </c>
      <c r="Y63" s="2"/>
      <c r="Z63" s="7">
        <f t="shared" si="52"/>
        <v>1.4806150363173287</v>
      </c>
    </row>
    <row r="64" spans="1:26" s="24" customFormat="1" hidden="1" outlineLevel="2" x14ac:dyDescent="0.25">
      <c r="A64" s="26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45"/>
        <v>0</v>
      </c>
      <c r="G64" s="2"/>
      <c r="H64" s="6">
        <v>31.02</v>
      </c>
      <c r="I64" s="2"/>
      <c r="J64" s="7">
        <f t="shared" si="46"/>
        <v>3.1237349477665597E-3</v>
      </c>
      <c r="K64" s="2"/>
      <c r="L64" s="6">
        <f t="shared" si="47"/>
        <v>-31.02</v>
      </c>
      <c r="M64" s="2"/>
      <c r="N64" s="7">
        <f t="shared" si="48"/>
        <v>-1</v>
      </c>
      <c r="O64" s="11"/>
      <c r="P64" s="6">
        <v>1858.86</v>
      </c>
      <c r="Q64" s="2"/>
      <c r="R64" s="7">
        <f t="shared" si="49"/>
        <v>9.7852463588403733E-3</v>
      </c>
      <c r="S64" s="2"/>
      <c r="T64" s="6">
        <v>2263.17</v>
      </c>
      <c r="U64" s="2"/>
      <c r="V64" s="7">
        <f t="shared" si="50"/>
        <v>9.477108910811485E-3</v>
      </c>
      <c r="W64" s="2"/>
      <c r="X64" s="6">
        <f t="shared" si="51"/>
        <v>-404.31000000000017</v>
      </c>
      <c r="Y64" s="2"/>
      <c r="Z64" s="7">
        <f t="shared" si="52"/>
        <v>-0.17864764909397005</v>
      </c>
    </row>
    <row r="65" spans="1:26" s="24" customFormat="1" hidden="1" outlineLevel="2" x14ac:dyDescent="0.25">
      <c r="A65" s="26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102.64</v>
      </c>
      <c r="Q65" s="2"/>
      <c r="R65" s="7">
        <f t="shared" si="49"/>
        <v>5.4030840744939159E-4</v>
      </c>
      <c r="S65" s="2"/>
      <c r="T65" s="6">
        <v>771.1</v>
      </c>
      <c r="U65" s="2"/>
      <c r="V65" s="7">
        <f t="shared" si="50"/>
        <v>3.2290100527696711E-3</v>
      </c>
      <c r="W65" s="2"/>
      <c r="X65" s="6">
        <f t="shared" si="51"/>
        <v>-668.46</v>
      </c>
      <c r="Y65" s="2"/>
      <c r="Z65" s="7">
        <f t="shared" si="52"/>
        <v>-0.86689145376734533</v>
      </c>
    </row>
    <row r="66" spans="1:26" s="24" customFormat="1" hidden="1" outlineLevel="2" x14ac:dyDescent="0.25">
      <c r="A66" s="26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637.03</v>
      </c>
      <c r="Q66" s="2"/>
      <c r="R66" s="7">
        <f t="shared" si="49"/>
        <v>3.3533969680191534E-3</v>
      </c>
      <c r="S66" s="2"/>
      <c r="T66" s="6">
        <v>739.23</v>
      </c>
      <c r="U66" s="2"/>
      <c r="V66" s="7">
        <f t="shared" si="50"/>
        <v>3.095553237334877E-3</v>
      </c>
      <c r="W66" s="2"/>
      <c r="X66" s="6">
        <f t="shared" si="51"/>
        <v>-102.20000000000005</v>
      </c>
      <c r="Y66" s="2"/>
      <c r="Z66" s="7">
        <f t="shared" si="52"/>
        <v>-0.13825196488237768</v>
      </c>
    </row>
    <row r="67" spans="1:26" s="27" customFormat="1" outlineLevel="1" collapsed="1" x14ac:dyDescent="0.25">
      <c r="A67" s="25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SUM(OSRRefD22_12x_0)</f>
        <v>86</v>
      </c>
      <c r="E67" s="1"/>
      <c r="F67" s="5">
        <f t="shared" ref="F67:F73" si="53">IF(D$12=0,0,D67/D$12)</f>
        <v>0</v>
      </c>
      <c r="G67" s="1"/>
      <c r="H67" s="1">
        <f>SUM(OSRRefH22_12x_0)</f>
        <v>136</v>
      </c>
      <c r="I67" s="1"/>
      <c r="J67" s="5">
        <f t="shared" ref="J67:J73" si="54">IF(H$12=0,0,H67/H$12)</f>
        <v>1.3695291840627084E-2</v>
      </c>
      <c r="K67" s="1"/>
      <c r="L67" s="1">
        <f t="shared" ref="L67:L73" si="55">+D67-H67</f>
        <v>-50</v>
      </c>
      <c r="M67" s="1"/>
      <c r="N67" s="5">
        <f t="shared" ref="N67:N73" si="56">IF(H67=0,0,L67/H67)</f>
        <v>-0.36764705882352944</v>
      </c>
      <c r="O67" s="13"/>
      <c r="P67" s="1">
        <f>SUM(OSRRefP22_12x_0)</f>
        <v>951.5</v>
      </c>
      <c r="Q67" s="1"/>
      <c r="R67" s="5">
        <f t="shared" ref="R67:R73" si="57">IF(P$12=0,0,P67/P$12)</f>
        <v>5.0088021208894787E-3</v>
      </c>
      <c r="S67" s="1"/>
      <c r="T67" s="1">
        <f>SUM(OSRRefT22_12x_0)</f>
        <v>1192.3499999999999</v>
      </c>
      <c r="U67" s="1"/>
      <c r="V67" s="5">
        <f t="shared" ref="V67:V73" si="58">IF(T$12=0,0,T67/T$12)</f>
        <v>4.9930101626506507E-3</v>
      </c>
      <c r="W67" s="1"/>
      <c r="X67" s="1">
        <f t="shared" ref="X67:X73" si="59">+P67-T67</f>
        <v>-240.84999999999991</v>
      </c>
      <c r="Y67" s="1"/>
      <c r="Z67" s="5">
        <f t="shared" ref="Z67:Z73" si="60">IF(T67=0,0,X67/T67)</f>
        <v>-0.20199605820438624</v>
      </c>
    </row>
    <row r="68" spans="1:26" s="24" customFormat="1" hidden="1" outlineLevel="2" x14ac:dyDescent="0.25">
      <c r="A68" s="26"/>
      <c r="B68" s="11" t="str">
        <f>CONCATENATE("          ", "6309", " - ", "TELEPHONE")</f>
        <v xml:space="preserve">          6309 - TELEPHONE</v>
      </c>
      <c r="C68" s="11"/>
      <c r="D68" s="6">
        <v>86</v>
      </c>
      <c r="E68" s="2"/>
      <c r="F68" s="7">
        <f t="shared" si="53"/>
        <v>0</v>
      </c>
      <c r="G68" s="2"/>
      <c r="H68" s="6">
        <v>136</v>
      </c>
      <c r="I68" s="2"/>
      <c r="J68" s="7">
        <f t="shared" si="54"/>
        <v>1.3695291840627084E-2</v>
      </c>
      <c r="K68" s="2"/>
      <c r="L68" s="6">
        <f t="shared" si="55"/>
        <v>-50</v>
      </c>
      <c r="M68" s="2"/>
      <c r="N68" s="7">
        <f t="shared" si="56"/>
        <v>-0.36764705882352944</v>
      </c>
      <c r="O68" s="11"/>
      <c r="P68" s="6">
        <v>951.5</v>
      </c>
      <c r="Q68" s="2"/>
      <c r="R68" s="7">
        <f t="shared" si="57"/>
        <v>5.0088021208894787E-3</v>
      </c>
      <c r="S68" s="2"/>
      <c r="T68" s="6">
        <v>1192.3499999999999</v>
      </c>
      <c r="U68" s="2"/>
      <c r="V68" s="7">
        <f t="shared" si="58"/>
        <v>4.9930101626506507E-3</v>
      </c>
      <c r="W68" s="2"/>
      <c r="X68" s="6">
        <f t="shared" si="59"/>
        <v>-240.84999999999991</v>
      </c>
      <c r="Y68" s="2"/>
      <c r="Z68" s="7">
        <f t="shared" si="60"/>
        <v>-0.20199605820438624</v>
      </c>
    </row>
    <row r="69" spans="1:26" s="27" customFormat="1" outlineLevel="1" collapsed="1" x14ac:dyDescent="0.25">
      <c r="A69" s="25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SUM(OSRRefD22_13x_0)</f>
        <v>0</v>
      </c>
      <c r="E69" s="1"/>
      <c r="F69" s="5">
        <f t="shared" si="53"/>
        <v>0</v>
      </c>
      <c r="G69" s="1"/>
      <c r="H69" s="1">
        <f>SUM(OSRRefH22_13x_0)</f>
        <v>0</v>
      </c>
      <c r="I69" s="1"/>
      <c r="J69" s="5">
        <f t="shared" si="54"/>
        <v>0</v>
      </c>
      <c r="K69" s="1"/>
      <c r="L69" s="1">
        <f t="shared" si="55"/>
        <v>0</v>
      </c>
      <c r="M69" s="1"/>
      <c r="N69" s="5">
        <f t="shared" si="56"/>
        <v>0</v>
      </c>
      <c r="O69" s="13"/>
      <c r="P69" s="1">
        <f>SUM(OSRRefP22_13x_0)</f>
        <v>170.95</v>
      </c>
      <c r="Q69" s="1"/>
      <c r="R69" s="5">
        <f t="shared" si="57"/>
        <v>8.9989986607047435E-4</v>
      </c>
      <c r="S69" s="1"/>
      <c r="T69" s="1">
        <f>SUM(OSRRefT22_13x_0)</f>
        <v>0</v>
      </c>
      <c r="U69" s="1"/>
      <c r="V69" s="5">
        <f t="shared" si="58"/>
        <v>0</v>
      </c>
      <c r="W69" s="1"/>
      <c r="X69" s="1">
        <f t="shared" si="59"/>
        <v>170.95</v>
      </c>
      <c r="Y69" s="1"/>
      <c r="Z69" s="5">
        <f t="shared" si="60"/>
        <v>0</v>
      </c>
    </row>
    <row r="70" spans="1:26" s="24" customFormat="1" hidden="1" outlineLevel="2" x14ac:dyDescent="0.25">
      <c r="A70" s="26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170.95</v>
      </c>
      <c r="Q70" s="2"/>
      <c r="R70" s="7">
        <f t="shared" si="57"/>
        <v>8.9989986607047435E-4</v>
      </c>
      <c r="S70" s="2"/>
      <c r="T70" s="6"/>
      <c r="U70" s="2"/>
      <c r="V70" s="7">
        <f t="shared" si="58"/>
        <v>0</v>
      </c>
      <c r="W70" s="2"/>
      <c r="X70" s="6">
        <f t="shared" si="59"/>
        <v>170.95</v>
      </c>
      <c r="Y70" s="2"/>
      <c r="Z70" s="7">
        <f t="shared" si="60"/>
        <v>0</v>
      </c>
    </row>
    <row r="71" spans="1:26" s="27" customFormat="1" outlineLevel="1" collapsed="1" x14ac:dyDescent="0.25">
      <c r="A71" s="25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SUM(OSRRefD22_14x_0)</f>
        <v>0</v>
      </c>
      <c r="E71" s="1"/>
      <c r="F71" s="5">
        <f t="shared" si="53"/>
        <v>0</v>
      </c>
      <c r="G71" s="1"/>
      <c r="H71" s="1">
        <f>SUM(OSRRefH22_14x_0)</f>
        <v>0</v>
      </c>
      <c r="I71" s="1"/>
      <c r="J71" s="5">
        <f t="shared" si="54"/>
        <v>0</v>
      </c>
      <c r="K71" s="1"/>
      <c r="L71" s="1">
        <f t="shared" si="55"/>
        <v>0</v>
      </c>
      <c r="M71" s="1"/>
      <c r="N71" s="5">
        <f t="shared" si="56"/>
        <v>0</v>
      </c>
      <c r="O71" s="13"/>
      <c r="P71" s="1">
        <f>SUM(OSRRefP22_14x_0)</f>
        <v>11.5</v>
      </c>
      <c r="Q71" s="1"/>
      <c r="R71" s="5">
        <f t="shared" si="57"/>
        <v>6.0537282596141888E-5</v>
      </c>
      <c r="S71" s="1"/>
      <c r="T71" s="1">
        <f>SUM(OSRRefT22_14x_0)</f>
        <v>6.78</v>
      </c>
      <c r="U71" s="1"/>
      <c r="V71" s="5">
        <f t="shared" si="58"/>
        <v>2.8391503252209012E-5</v>
      </c>
      <c r="W71" s="1"/>
      <c r="X71" s="1">
        <f t="shared" si="59"/>
        <v>4.72</v>
      </c>
      <c r="Y71" s="1"/>
      <c r="Z71" s="5">
        <f t="shared" si="60"/>
        <v>0.69616519174041291</v>
      </c>
    </row>
    <row r="72" spans="1:26" s="24" customFormat="1" hidden="1" outlineLevel="2" x14ac:dyDescent="0.25">
      <c r="A72" s="26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/>
      <c r="Q72" s="2"/>
      <c r="R72" s="7">
        <f t="shared" si="57"/>
        <v>0</v>
      </c>
      <c r="S72" s="2"/>
      <c r="T72" s="6">
        <v>6.78</v>
      </c>
      <c r="U72" s="2"/>
      <c r="V72" s="7">
        <f t="shared" si="58"/>
        <v>2.8391503252209012E-5</v>
      </c>
      <c r="W72" s="2"/>
      <c r="X72" s="6">
        <f t="shared" si="59"/>
        <v>-6.78</v>
      </c>
      <c r="Y72" s="2"/>
      <c r="Z72" s="7">
        <f t="shared" si="60"/>
        <v>-1</v>
      </c>
    </row>
    <row r="73" spans="1:26" s="24" customFormat="1" hidden="1" outlineLevel="2" x14ac:dyDescent="0.25">
      <c r="A73" s="26"/>
      <c r="B73" s="11" t="str">
        <f>CONCATENATE("          ", "6294", " - ", "TRAVEL OPERATIONAL")</f>
        <v xml:space="preserve">          6294 - TRAVEL OPERATIONAL</v>
      </c>
      <c r="C73" s="11"/>
      <c r="D73" s="6"/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0</v>
      </c>
      <c r="M73" s="2"/>
      <c r="N73" s="7">
        <f t="shared" si="56"/>
        <v>0</v>
      </c>
      <c r="O73" s="11"/>
      <c r="P73" s="6">
        <v>11.5</v>
      </c>
      <c r="Q73" s="2"/>
      <c r="R73" s="7">
        <f t="shared" si="57"/>
        <v>6.0537282596141888E-5</v>
      </c>
      <c r="S73" s="2"/>
      <c r="T73" s="6"/>
      <c r="U73" s="2"/>
      <c r="V73" s="7">
        <f t="shared" si="58"/>
        <v>0</v>
      </c>
      <c r="W73" s="2"/>
      <c r="X73" s="6">
        <f t="shared" si="59"/>
        <v>11.5</v>
      </c>
      <c r="Y73" s="2"/>
      <c r="Z73" s="7">
        <f t="shared" si="60"/>
        <v>0</v>
      </c>
    </row>
    <row r="74" spans="1:26" s="58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1">
        <f>+D20-D22+D75</f>
        <v>-865.31999999999994</v>
      </c>
      <c r="E77" s="14"/>
      <c r="F77" s="20">
        <f>IF(D$12=0,0,D77/D$12)</f>
        <v>0</v>
      </c>
      <c r="G77" s="14"/>
      <c r="H77" s="21">
        <f>+H20-H22+H75</f>
        <v>-14680.280000000002</v>
      </c>
      <c r="I77" s="14"/>
      <c r="J77" s="20">
        <f>IF(H$12=0,0,H77/H$12)</f>
        <v>-1.478314109574419</v>
      </c>
      <c r="K77" s="16"/>
      <c r="L77" s="21">
        <f>+D77-H77</f>
        <v>13814.960000000003</v>
      </c>
      <c r="M77" s="16"/>
      <c r="N77" s="20">
        <f>IF(H77=0,0,L77/H77)</f>
        <v>-0.94105562019253042</v>
      </c>
      <c r="O77" s="28"/>
      <c r="P77" s="21">
        <f>+P20-P22+P75</f>
        <v>-66811.240000000078</v>
      </c>
      <c r="Q77" s="14"/>
      <c r="R77" s="20">
        <f>IF(P$12=0,0,P77/P$12)</f>
        <v>-0.35170181882423157</v>
      </c>
      <c r="S77" s="14"/>
      <c r="T77" s="21">
        <f>+T20-T22+T75</f>
        <v>-39319.050000000047</v>
      </c>
      <c r="U77" s="14"/>
      <c r="V77" s="20">
        <f>IF(T$12=0,0,T77/T$12)</f>
        <v>-0.16464999055291593</v>
      </c>
      <c r="W77" s="16"/>
      <c r="X77" s="21">
        <f>+P77-T77</f>
        <v>-27492.190000000031</v>
      </c>
      <c r="Y77" s="16"/>
      <c r="Z77" s="20">
        <f>IF(T77=0,0,X77/T77)</f>
        <v>0.69920789032288422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925.66</v>
      </c>
      <c r="E79" s="4"/>
      <c r="F79" s="12">
        <f>IF(D$12=0,0,D79/D$12)</f>
        <v>0</v>
      </c>
      <c r="G79" s="4"/>
      <c r="H79" s="4">
        <v>1045.73</v>
      </c>
      <c r="I79" s="4"/>
      <c r="J79" s="12">
        <f>IF(H$12=0,0,H79/H$12)</f>
        <v>0.10530571718013941</v>
      </c>
      <c r="K79" s="4"/>
      <c r="L79" s="4">
        <f>+D79-H79</f>
        <v>-120.07000000000005</v>
      </c>
      <c r="M79" s="4"/>
      <c r="N79" s="12">
        <f>IF(H79=0,0,L79/H79)</f>
        <v>-0.1148193128245341</v>
      </c>
      <c r="O79" s="10"/>
      <c r="P79" s="4">
        <v>22494.89</v>
      </c>
      <c r="Q79" s="4"/>
      <c r="R79" s="12">
        <f>IF(P$12=0,0,P79/P$12)</f>
        <v>0.11841560981731532</v>
      </c>
      <c r="S79" s="4"/>
      <c r="T79" s="4">
        <v>24839.08</v>
      </c>
      <c r="U79" s="4"/>
      <c r="V79" s="12">
        <f>IF(T$12=0,0,T79/T$12)</f>
        <v>0.10401457531001178</v>
      </c>
      <c r="W79" s="4"/>
      <c r="X79" s="4">
        <f>+P79-T79</f>
        <v>-2344.1900000000023</v>
      </c>
      <c r="Y79" s="4"/>
      <c r="Z79" s="12">
        <f>IF(T79=0,0,X79/T79)</f>
        <v>-9.4375073472930643E-2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5">
        <f>+D77-D79</f>
        <v>-1790.98</v>
      </c>
      <c r="E81" s="14"/>
      <c r="F81" s="32">
        <f>IF(D$12=0,0,D81/D$12)</f>
        <v>0</v>
      </c>
      <c r="G81" s="14"/>
      <c r="H81" s="35">
        <f>+H77-H79</f>
        <v>-15726.010000000002</v>
      </c>
      <c r="I81" s="14"/>
      <c r="J81" s="32">
        <f>IF(H$12=0,0,H81/H$12)</f>
        <v>-1.5836198267545585</v>
      </c>
      <c r="K81" s="16"/>
      <c r="L81" s="35">
        <f>D81-H81</f>
        <v>13935.030000000002</v>
      </c>
      <c r="M81" s="16"/>
      <c r="N81" s="32">
        <f>IF(H81=0,0,L81/H81)</f>
        <v>-0.88611351512557868</v>
      </c>
      <c r="O81" s="28"/>
      <c r="P81" s="35">
        <f>+P77-P79</f>
        <v>-89306.130000000077</v>
      </c>
      <c r="Q81" s="14"/>
      <c r="R81" s="32">
        <f>IF(P$12=0,0,P81/P$12)</f>
        <v>-0.47011742864154693</v>
      </c>
      <c r="S81" s="14"/>
      <c r="T81" s="35">
        <f>+T77-T79</f>
        <v>-64158.130000000048</v>
      </c>
      <c r="U81" s="14"/>
      <c r="V81" s="32">
        <f>IF(T$12=0,0,T81/T$12)</f>
        <v>-0.2686645658629277</v>
      </c>
      <c r="W81" s="16"/>
      <c r="X81" s="35">
        <f>P81-T81</f>
        <v>-25148.000000000029</v>
      </c>
      <c r="Y81" s="16"/>
      <c r="Z81" s="32">
        <f>IF(T81=0,0,X81/T81)</f>
        <v>0.39196903026942975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6">
        <f>SUM(D81:D83)</f>
        <v>-1790.98</v>
      </c>
      <c r="E84" s="14"/>
      <c r="F84" s="33">
        <f>IF(D$12=0,0,D84/D$12)</f>
        <v>0</v>
      </c>
      <c r="G84" s="14"/>
      <c r="H84" s="36">
        <f>SUM(H81:H83)</f>
        <v>-15726.010000000002</v>
      </c>
      <c r="I84" s="14"/>
      <c r="J84" s="33">
        <f>IF(H$12=0,0,H84/H$12)</f>
        <v>-1.5836198267545585</v>
      </c>
      <c r="K84" s="16"/>
      <c r="L84" s="36">
        <f>+D84-H84</f>
        <v>13935.030000000002</v>
      </c>
      <c r="M84" s="16"/>
      <c r="N84" s="33">
        <f>IF(H84=0,0,L84/H84)</f>
        <v>-0.88611351512557868</v>
      </c>
      <c r="O84" s="28"/>
      <c r="P84" s="36">
        <f>SUM(P81:P83)</f>
        <v>-89306.130000000077</v>
      </c>
      <c r="Q84" s="14"/>
      <c r="R84" s="33">
        <f>IF(P$12=0,0,P84/P$12)</f>
        <v>-0.47011742864154693</v>
      </c>
      <c r="S84" s="14"/>
      <c r="T84" s="36">
        <f>SUM(T81:T83)</f>
        <v>-64158.130000000048</v>
      </c>
      <c r="U84" s="14"/>
      <c r="V84" s="33">
        <f>IF(T$12=0,0,T84/T$12)</f>
        <v>-0.2686645658629277</v>
      </c>
      <c r="W84" s="16"/>
      <c r="X84" s="36">
        <f>+P84-T84</f>
        <v>-25148.000000000029</v>
      </c>
      <c r="Y84" s="16"/>
      <c r="Z84" s="33">
        <f>IF(T84=0,0,X84/T84)</f>
        <v>0.39196903026942975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5">
        <v>43992.37583715278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2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3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3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41333.24</v>
      </c>
      <c r="E18" s="22"/>
      <c r="F18" s="31">
        <f t="shared" ref="F18:F28" si="0">IF(D$12=0,0,D18/D$12)</f>
        <v>0</v>
      </c>
      <c r="G18" s="22"/>
      <c r="H18" s="22">
        <f>SUM(OSRRefH22x_0)</f>
        <v>90792.9</v>
      </c>
      <c r="I18" s="22"/>
      <c r="J18" s="31">
        <f t="shared" ref="J18:J28" si="1">IF(H$12=0,0,H18/H$12)</f>
        <v>0</v>
      </c>
      <c r="K18" s="4"/>
      <c r="L18" s="22">
        <f t="shared" ref="L18:L28" si="2">+D18-H18</f>
        <v>-49459.659999999996</v>
      </c>
      <c r="M18" s="4"/>
      <c r="N18" s="31">
        <f t="shared" ref="N18:N28" si="3">IF(H18=0,0,L18/H18)</f>
        <v>-0.54475250818070575</v>
      </c>
      <c r="O18" s="10"/>
      <c r="P18" s="22">
        <f>SUM(OSRRefP22x_0)</f>
        <v>971383.59</v>
      </c>
      <c r="Q18" s="22"/>
      <c r="R18" s="31">
        <f t="shared" ref="R18:R28" si="4">IF(P$12=0,0,P18/P$12)</f>
        <v>0</v>
      </c>
      <c r="S18" s="22"/>
      <c r="T18" s="22">
        <f>SUM(OSRRefT22x_0)</f>
        <v>1023914.4799999997</v>
      </c>
      <c r="U18" s="22"/>
      <c r="V18" s="31">
        <f t="shared" ref="V18:V28" si="5">IF(T$12=0,0,T18/T$12)</f>
        <v>0</v>
      </c>
      <c r="W18" s="4"/>
      <c r="X18" s="22">
        <f t="shared" ref="X18:X28" si="6">+P18-T18</f>
        <v>-52530.889999999781</v>
      </c>
      <c r="Y18" s="4"/>
      <c r="Z18" s="31">
        <f t="shared" ref="Z18:Z28" si="7">IF(T18=0,0,X18/T18)</f>
        <v>-5.1303981949742318E-2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2582.0699999999997</v>
      </c>
      <c r="E19" s="1"/>
      <c r="F19" s="5">
        <f t="shared" si="0"/>
        <v>0</v>
      </c>
      <c r="G19" s="1"/>
      <c r="H19" s="1">
        <f>SUM(OSRRefH22_0x_0)</f>
        <v>9595.3599999999988</v>
      </c>
      <c r="I19" s="1"/>
      <c r="J19" s="5">
        <f t="shared" si="1"/>
        <v>0</v>
      </c>
      <c r="K19" s="1"/>
      <c r="L19" s="1">
        <f t="shared" si="2"/>
        <v>-7013.2899999999991</v>
      </c>
      <c r="M19" s="1"/>
      <c r="N19" s="5">
        <f t="shared" si="3"/>
        <v>-0.73090431208417406</v>
      </c>
      <c r="O19" s="13"/>
      <c r="P19" s="1">
        <f>SUM(OSRRefP22_0x_0)</f>
        <v>71672.309999999983</v>
      </c>
      <c r="Q19" s="1"/>
      <c r="R19" s="5">
        <f t="shared" si="4"/>
        <v>0</v>
      </c>
      <c r="S19" s="1"/>
      <c r="T19" s="1">
        <f>SUM(OSRRefT22_0x_0)</f>
        <v>111435.48</v>
      </c>
      <c r="U19" s="1"/>
      <c r="V19" s="5">
        <f t="shared" si="5"/>
        <v>0</v>
      </c>
      <c r="W19" s="1"/>
      <c r="X19" s="1">
        <f t="shared" si="6"/>
        <v>-39763.170000000013</v>
      </c>
      <c r="Y19" s="1"/>
      <c r="Z19" s="5">
        <f t="shared" si="7"/>
        <v>-0.35682683827448863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318.24</v>
      </c>
      <c r="E20" s="2"/>
      <c r="F20" s="7">
        <f t="shared" si="0"/>
        <v>0</v>
      </c>
      <c r="G20" s="2"/>
      <c r="H20" s="6">
        <v>2476.5700000000002</v>
      </c>
      <c r="I20" s="2"/>
      <c r="J20" s="7">
        <f t="shared" si="1"/>
        <v>0</v>
      </c>
      <c r="K20" s="2"/>
      <c r="L20" s="6">
        <f t="shared" si="2"/>
        <v>-2158.33</v>
      </c>
      <c r="M20" s="2"/>
      <c r="N20" s="7">
        <f t="shared" si="3"/>
        <v>-0.87149969514287895</v>
      </c>
      <c r="O20" s="11"/>
      <c r="P20" s="6">
        <v>23645.42</v>
      </c>
      <c r="Q20" s="2"/>
      <c r="R20" s="7">
        <f t="shared" si="4"/>
        <v>0</v>
      </c>
      <c r="S20" s="2"/>
      <c r="T20" s="6">
        <v>20137.289999999997</v>
      </c>
      <c r="U20" s="2"/>
      <c r="V20" s="7">
        <f t="shared" si="5"/>
        <v>0</v>
      </c>
      <c r="W20" s="2"/>
      <c r="X20" s="6">
        <f t="shared" si="6"/>
        <v>3508.130000000001</v>
      </c>
      <c r="Y20" s="2"/>
      <c r="Z20" s="7">
        <f t="shared" si="7"/>
        <v>0.17421063112265858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252.56</v>
      </c>
      <c r="E21" s="2"/>
      <c r="F21" s="7">
        <f t="shared" si="0"/>
        <v>0</v>
      </c>
      <c r="G21" s="2"/>
      <c r="H21" s="6">
        <v>741.16</v>
      </c>
      <c r="I21" s="2"/>
      <c r="J21" s="7">
        <f t="shared" si="1"/>
        <v>0</v>
      </c>
      <c r="K21" s="2"/>
      <c r="L21" s="6">
        <f t="shared" si="2"/>
        <v>-488.59999999999997</v>
      </c>
      <c r="M21" s="2"/>
      <c r="N21" s="7">
        <f t="shared" si="3"/>
        <v>-0.6592368719304873</v>
      </c>
      <c r="O21" s="11"/>
      <c r="P21" s="6">
        <v>8794.73</v>
      </c>
      <c r="Q21" s="2"/>
      <c r="R21" s="7">
        <f t="shared" si="4"/>
        <v>0</v>
      </c>
      <c r="S21" s="2"/>
      <c r="T21" s="6">
        <v>7450.14</v>
      </c>
      <c r="U21" s="2"/>
      <c r="V21" s="7">
        <f t="shared" si="5"/>
        <v>0</v>
      </c>
      <c r="W21" s="2"/>
      <c r="X21" s="6">
        <f t="shared" si="6"/>
        <v>1344.5899999999992</v>
      </c>
      <c r="Y21" s="2"/>
      <c r="Z21" s="7">
        <f t="shared" si="7"/>
        <v>0.18047848765258093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734.13</v>
      </c>
      <c r="E22" s="2"/>
      <c r="F22" s="7">
        <f t="shared" si="0"/>
        <v>0</v>
      </c>
      <c r="G22" s="2"/>
      <c r="H22" s="6">
        <v>2542.1999999999998</v>
      </c>
      <c r="I22" s="2"/>
      <c r="J22" s="7">
        <f t="shared" si="1"/>
        <v>0</v>
      </c>
      <c r="K22" s="2"/>
      <c r="L22" s="6">
        <f t="shared" si="2"/>
        <v>-1808.0699999999997</v>
      </c>
      <c r="M22" s="2"/>
      <c r="N22" s="7">
        <f t="shared" si="3"/>
        <v>-0.71122256313429311</v>
      </c>
      <c r="O22" s="11"/>
      <c r="P22" s="6">
        <v>33874.630000000005</v>
      </c>
      <c r="Q22" s="2"/>
      <c r="R22" s="7">
        <f t="shared" si="4"/>
        <v>0</v>
      </c>
      <c r="S22" s="2"/>
      <c r="T22" s="6">
        <v>36871.590000000004</v>
      </c>
      <c r="U22" s="2"/>
      <c r="V22" s="7">
        <f t="shared" si="5"/>
        <v>0</v>
      </c>
      <c r="W22" s="2"/>
      <c r="X22" s="6">
        <f t="shared" si="6"/>
        <v>-2996.9599999999991</v>
      </c>
      <c r="Y22" s="2"/>
      <c r="Z22" s="7">
        <f t="shared" si="7"/>
        <v>-8.1281007952192966E-2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24.22</v>
      </c>
      <c r="E23" s="2"/>
      <c r="F23" s="7">
        <f t="shared" si="0"/>
        <v>0</v>
      </c>
      <c r="G23" s="2"/>
      <c r="H23" s="6">
        <v>58.84</v>
      </c>
      <c r="I23" s="2"/>
      <c r="J23" s="7">
        <f t="shared" si="1"/>
        <v>0</v>
      </c>
      <c r="K23" s="2"/>
      <c r="L23" s="6">
        <f t="shared" si="2"/>
        <v>-34.620000000000005</v>
      </c>
      <c r="M23" s="2"/>
      <c r="N23" s="7">
        <f t="shared" si="3"/>
        <v>-0.58837525492862008</v>
      </c>
      <c r="O23" s="11"/>
      <c r="P23" s="6">
        <v>823.94</v>
      </c>
      <c r="Q23" s="2"/>
      <c r="R23" s="7">
        <f t="shared" si="4"/>
        <v>0</v>
      </c>
      <c r="S23" s="2"/>
      <c r="T23" s="6">
        <v>686.88</v>
      </c>
      <c r="U23" s="2"/>
      <c r="V23" s="7">
        <f t="shared" si="5"/>
        <v>0</v>
      </c>
      <c r="W23" s="2"/>
      <c r="X23" s="6">
        <f t="shared" si="6"/>
        <v>137.06000000000006</v>
      </c>
      <c r="Y23" s="2"/>
      <c r="Z23" s="7">
        <f t="shared" si="7"/>
        <v>0.19953994875378531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604.76</v>
      </c>
      <c r="E24" s="2"/>
      <c r="F24" s="7">
        <f t="shared" si="0"/>
        <v>0</v>
      </c>
      <c r="G24" s="2"/>
      <c r="H24" s="6">
        <v>1067.8699999999999</v>
      </c>
      <c r="I24" s="2"/>
      <c r="J24" s="7">
        <f t="shared" si="1"/>
        <v>0</v>
      </c>
      <c r="K24" s="2"/>
      <c r="L24" s="6">
        <f t="shared" si="2"/>
        <v>-463.1099999999999</v>
      </c>
      <c r="M24" s="2"/>
      <c r="N24" s="7">
        <f t="shared" si="3"/>
        <v>-0.43367638382949231</v>
      </c>
      <c r="O24" s="11"/>
      <c r="P24" s="6">
        <v>16174.72</v>
      </c>
      <c r="Q24" s="2"/>
      <c r="R24" s="7">
        <f t="shared" si="4"/>
        <v>0</v>
      </c>
      <c r="S24" s="2"/>
      <c r="T24" s="6">
        <v>13677.69</v>
      </c>
      <c r="U24" s="2"/>
      <c r="V24" s="7">
        <f t="shared" si="5"/>
        <v>0</v>
      </c>
      <c r="W24" s="2"/>
      <c r="X24" s="6">
        <f t="shared" si="6"/>
        <v>2497.0299999999988</v>
      </c>
      <c r="Y24" s="2"/>
      <c r="Z24" s="7">
        <f t="shared" si="7"/>
        <v>0.18256226014772953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-56</v>
      </c>
      <c r="M25" s="2"/>
      <c r="N25" s="7">
        <f t="shared" si="3"/>
        <v>-1</v>
      </c>
      <c r="O25" s="11"/>
      <c r="P25" s="6">
        <v>588</v>
      </c>
      <c r="Q25" s="2"/>
      <c r="R25" s="7">
        <f t="shared" si="4"/>
        <v>0</v>
      </c>
      <c r="S25" s="2"/>
      <c r="T25" s="6">
        <v>672</v>
      </c>
      <c r="U25" s="2"/>
      <c r="V25" s="7">
        <f t="shared" si="5"/>
        <v>0</v>
      </c>
      <c r="W25" s="2"/>
      <c r="X25" s="6">
        <f t="shared" si="6"/>
        <v>-84</v>
      </c>
      <c r="Y25" s="2"/>
      <c r="Z25" s="7">
        <f t="shared" si="7"/>
        <v>-0.125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384.28</v>
      </c>
      <c r="E26" s="2"/>
      <c r="F26" s="7">
        <f t="shared" si="0"/>
        <v>0</v>
      </c>
      <c r="G26" s="2"/>
      <c r="H26" s="6">
        <v>1263.8800000000001</v>
      </c>
      <c r="I26" s="2"/>
      <c r="J26" s="7">
        <f t="shared" si="1"/>
        <v>0</v>
      </c>
      <c r="K26" s="2"/>
      <c r="L26" s="6">
        <f t="shared" si="2"/>
        <v>-879.60000000000014</v>
      </c>
      <c r="M26" s="2"/>
      <c r="N26" s="7">
        <f t="shared" si="3"/>
        <v>-0.69595214735576172</v>
      </c>
      <c r="O26" s="11"/>
      <c r="P26" s="6">
        <v>15943.489999999998</v>
      </c>
      <c r="Q26" s="2"/>
      <c r="R26" s="7">
        <f t="shared" si="4"/>
        <v>0</v>
      </c>
      <c r="S26" s="2"/>
      <c r="T26" s="6">
        <v>14574.27</v>
      </c>
      <c r="U26" s="2"/>
      <c r="V26" s="7">
        <f t="shared" si="5"/>
        <v>0</v>
      </c>
      <c r="W26" s="2"/>
      <c r="X26" s="6">
        <f t="shared" si="6"/>
        <v>1369.2199999999975</v>
      </c>
      <c r="Y26" s="2"/>
      <c r="Z26" s="7">
        <f t="shared" si="7"/>
        <v>9.3947758618441776E-2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191.88</v>
      </c>
      <c r="E27" s="2"/>
      <c r="F27" s="7">
        <f t="shared" si="0"/>
        <v>0</v>
      </c>
      <c r="G27" s="2"/>
      <c r="H27" s="6">
        <v>1012.71</v>
      </c>
      <c r="I27" s="2"/>
      <c r="J27" s="7">
        <f t="shared" si="1"/>
        <v>0</v>
      </c>
      <c r="K27" s="2"/>
      <c r="L27" s="6">
        <f t="shared" si="2"/>
        <v>-820.83</v>
      </c>
      <c r="M27" s="2"/>
      <c r="N27" s="7">
        <f t="shared" si="3"/>
        <v>-0.81052818674645255</v>
      </c>
      <c r="O27" s="11"/>
      <c r="P27" s="6">
        <v>-31748.79</v>
      </c>
      <c r="Q27" s="2"/>
      <c r="R27" s="7">
        <f t="shared" si="4"/>
        <v>0</v>
      </c>
      <c r="S27" s="2"/>
      <c r="T27" s="6">
        <v>12240.83</v>
      </c>
      <c r="U27" s="2"/>
      <c r="V27" s="7">
        <f t="shared" si="5"/>
        <v>0</v>
      </c>
      <c r="W27" s="2"/>
      <c r="X27" s="6">
        <f t="shared" si="6"/>
        <v>-43989.62</v>
      </c>
      <c r="Y27" s="2"/>
      <c r="Z27" s="7">
        <f t="shared" si="7"/>
        <v>-3.5936795135623973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72</v>
      </c>
      <c r="E28" s="2"/>
      <c r="F28" s="7">
        <f t="shared" si="0"/>
        <v>0</v>
      </c>
      <c r="G28" s="2"/>
      <c r="H28" s="6">
        <v>376.13</v>
      </c>
      <c r="I28" s="2"/>
      <c r="J28" s="7">
        <f t="shared" si="1"/>
        <v>0</v>
      </c>
      <c r="K28" s="2"/>
      <c r="L28" s="6">
        <f t="shared" si="2"/>
        <v>-304.13</v>
      </c>
      <c r="M28" s="2"/>
      <c r="N28" s="7">
        <f t="shared" si="3"/>
        <v>-0.80857682184351154</v>
      </c>
      <c r="O28" s="11"/>
      <c r="P28" s="6">
        <v>3576.17</v>
      </c>
      <c r="Q28" s="2"/>
      <c r="R28" s="7">
        <f t="shared" si="4"/>
        <v>0</v>
      </c>
      <c r="S28" s="2"/>
      <c r="T28" s="6">
        <v>5124.79</v>
      </c>
      <c r="U28" s="2"/>
      <c r="V28" s="7">
        <f t="shared" si="5"/>
        <v>0</v>
      </c>
      <c r="W28" s="2"/>
      <c r="X28" s="6">
        <f t="shared" si="6"/>
        <v>-1548.62</v>
      </c>
      <c r="Y28" s="2"/>
      <c r="Z28" s="7">
        <f t="shared" si="7"/>
        <v>-0.30218213819493089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2652</v>
      </c>
      <c r="E29" s="1"/>
      <c r="F29" s="5">
        <f t="shared" ref="F29:F35" si="8">IF(D$12=0,0,D29/D$12)</f>
        <v>0</v>
      </c>
      <c r="G29" s="1"/>
      <c r="H29" s="1">
        <f>SUM(OSRRefH22_1x_0)</f>
        <v>25899.879999999997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-23247.879999999997</v>
      </c>
      <c r="M29" s="1"/>
      <c r="N29" s="5">
        <f t="shared" ref="N29:N35" si="11">IF(H29=0,0,L29/H29)</f>
        <v>-0.89760570319244726</v>
      </c>
      <c r="O29" s="13"/>
      <c r="P29" s="1">
        <f>SUM(OSRRefP22_1x_0)</f>
        <v>256205.05000000002</v>
      </c>
      <c r="Q29" s="1"/>
      <c r="R29" s="5">
        <f t="shared" ref="R29:R35" si="12">IF(P$12=0,0,P29/P$12)</f>
        <v>0</v>
      </c>
      <c r="S29" s="1"/>
      <c r="T29" s="1">
        <f>SUM(OSRRefT22_1x_0)</f>
        <v>237314.25999999998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18890.790000000037</v>
      </c>
      <c r="Y29" s="1"/>
      <c r="Z29" s="5">
        <f t="shared" ref="Z29:Z35" si="15">IF(T29=0,0,X29/T29)</f>
        <v>7.9602422543002843E-2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10268.879999999999</v>
      </c>
      <c r="I30" s="2"/>
      <c r="J30" s="7">
        <f t="shared" si="9"/>
        <v>0</v>
      </c>
      <c r="K30" s="2"/>
      <c r="L30" s="6">
        <f t="shared" si="10"/>
        <v>-10268.879999999999</v>
      </c>
      <c r="M30" s="2"/>
      <c r="N30" s="7">
        <f t="shared" si="11"/>
        <v>-1</v>
      </c>
      <c r="O30" s="11"/>
      <c r="P30" s="6">
        <v>67427.61</v>
      </c>
      <c r="Q30" s="2"/>
      <c r="R30" s="7">
        <f t="shared" si="12"/>
        <v>0</v>
      </c>
      <c r="S30" s="2"/>
      <c r="T30" s="6">
        <v>93273.04</v>
      </c>
      <c r="U30" s="2"/>
      <c r="V30" s="7">
        <f t="shared" si="13"/>
        <v>0</v>
      </c>
      <c r="W30" s="2"/>
      <c r="X30" s="6">
        <f t="shared" si="14"/>
        <v>-25845.429999999993</v>
      </c>
      <c r="Y30" s="2"/>
      <c r="Z30" s="7">
        <f t="shared" si="15"/>
        <v>-0.27709432436210929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2652</v>
      </c>
      <c r="E31" s="2"/>
      <c r="F31" s="7">
        <f t="shared" si="8"/>
        <v>0</v>
      </c>
      <c r="G31" s="2"/>
      <c r="H31" s="6">
        <v>4416</v>
      </c>
      <c r="I31" s="2"/>
      <c r="J31" s="7">
        <f t="shared" si="9"/>
        <v>0</v>
      </c>
      <c r="K31" s="2"/>
      <c r="L31" s="6">
        <f t="shared" si="10"/>
        <v>-1764</v>
      </c>
      <c r="M31" s="2"/>
      <c r="N31" s="7">
        <f t="shared" si="11"/>
        <v>-0.39945652173913043</v>
      </c>
      <c r="O31" s="11"/>
      <c r="P31" s="6">
        <v>52504.86</v>
      </c>
      <c r="Q31" s="2"/>
      <c r="R31" s="7">
        <f t="shared" si="12"/>
        <v>0</v>
      </c>
      <c r="S31" s="2"/>
      <c r="T31" s="6">
        <v>41732.32</v>
      </c>
      <c r="U31" s="2"/>
      <c r="V31" s="7">
        <f t="shared" si="13"/>
        <v>0</v>
      </c>
      <c r="W31" s="2"/>
      <c r="X31" s="6">
        <f t="shared" si="14"/>
        <v>10772.54</v>
      </c>
      <c r="Y31" s="2"/>
      <c r="Z31" s="7">
        <f t="shared" si="15"/>
        <v>0.25813422306739719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3248</v>
      </c>
      <c r="I32" s="2"/>
      <c r="J32" s="7">
        <f t="shared" si="9"/>
        <v>0</v>
      </c>
      <c r="K32" s="2"/>
      <c r="L32" s="6">
        <f t="shared" si="10"/>
        <v>-3248</v>
      </c>
      <c r="M32" s="2"/>
      <c r="N32" s="7">
        <f t="shared" si="11"/>
        <v>-1</v>
      </c>
      <c r="O32" s="11"/>
      <c r="P32" s="6">
        <v>23599.230000000003</v>
      </c>
      <c r="Q32" s="2"/>
      <c r="R32" s="7">
        <f t="shared" si="12"/>
        <v>0</v>
      </c>
      <c r="S32" s="2"/>
      <c r="T32" s="6">
        <v>22056.63</v>
      </c>
      <c r="U32" s="2"/>
      <c r="V32" s="7">
        <f t="shared" si="13"/>
        <v>0</v>
      </c>
      <c r="W32" s="2"/>
      <c r="X32" s="6">
        <f t="shared" si="14"/>
        <v>1542.6000000000022</v>
      </c>
      <c r="Y32" s="2"/>
      <c r="Z32" s="7">
        <f t="shared" si="15"/>
        <v>6.9938154650098505E-2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10034.5</v>
      </c>
      <c r="I33" s="2"/>
      <c r="J33" s="7">
        <f t="shared" si="9"/>
        <v>0</v>
      </c>
      <c r="K33" s="2"/>
      <c r="L33" s="6">
        <f t="shared" si="10"/>
        <v>-10034.5</v>
      </c>
      <c r="M33" s="2"/>
      <c r="N33" s="7">
        <f t="shared" si="11"/>
        <v>-1</v>
      </c>
      <c r="O33" s="11"/>
      <c r="P33" s="6">
        <v>94654.75</v>
      </c>
      <c r="Q33" s="2"/>
      <c r="R33" s="7">
        <f t="shared" si="12"/>
        <v>0</v>
      </c>
      <c r="S33" s="2"/>
      <c r="T33" s="6">
        <v>76376.01999999999</v>
      </c>
      <c r="U33" s="2"/>
      <c r="V33" s="7">
        <f t="shared" si="13"/>
        <v>0</v>
      </c>
      <c r="W33" s="2"/>
      <c r="X33" s="6">
        <f t="shared" si="14"/>
        <v>18278.73000000001</v>
      </c>
      <c r="Y33" s="2"/>
      <c r="Z33" s="7">
        <f t="shared" si="15"/>
        <v>0.23932551080823553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1176.75</v>
      </c>
      <c r="U34" s="2"/>
      <c r="V34" s="7">
        <f t="shared" si="13"/>
        <v>0</v>
      </c>
      <c r="W34" s="2"/>
      <c r="X34" s="6">
        <f t="shared" si="14"/>
        <v>60.130000000000109</v>
      </c>
      <c r="Y34" s="2"/>
      <c r="Z34" s="7">
        <f t="shared" si="15"/>
        <v>5.1098364138517198E-2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-2067.5</v>
      </c>
      <c r="I35" s="2"/>
      <c r="J35" s="7">
        <f t="shared" si="9"/>
        <v>0</v>
      </c>
      <c r="K35" s="2"/>
      <c r="L35" s="6">
        <f t="shared" si="10"/>
        <v>2067.5</v>
      </c>
      <c r="M35" s="2"/>
      <c r="N35" s="7">
        <f t="shared" si="11"/>
        <v>-1</v>
      </c>
      <c r="O35" s="11"/>
      <c r="P35" s="6">
        <v>16781.72</v>
      </c>
      <c r="Q35" s="2"/>
      <c r="R35" s="7">
        <f t="shared" si="12"/>
        <v>0</v>
      </c>
      <c r="S35" s="2"/>
      <c r="T35" s="6">
        <v>2699.5</v>
      </c>
      <c r="U35" s="2"/>
      <c r="V35" s="7">
        <f t="shared" si="13"/>
        <v>0</v>
      </c>
      <c r="W35" s="2"/>
      <c r="X35" s="6">
        <f t="shared" si="14"/>
        <v>14082.220000000001</v>
      </c>
      <c r="Y35" s="2"/>
      <c r="Z35" s="7">
        <f t="shared" si="15"/>
        <v>5.2166030746434533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1232.9100000000001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-1232.9100000000001</v>
      </c>
      <c r="M36" s="1"/>
      <c r="N36" s="5">
        <f t="shared" ref="N36:N43" si="19">IF(H36=0,0,L36/H36)</f>
        <v>-1</v>
      </c>
      <c r="O36" s="13"/>
      <c r="P36" s="1">
        <f>SUM(OSRRefP22_2x_0)</f>
        <v>3780.74</v>
      </c>
      <c r="Q36" s="1"/>
      <c r="R36" s="5">
        <f t="shared" ref="R36:R43" si="20">IF(P$12=0,0,P36/P$12)</f>
        <v>0</v>
      </c>
      <c r="S36" s="1"/>
      <c r="T36" s="1">
        <f>SUM(OSRRefT22_2x_0)</f>
        <v>3389.53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391.20999999999958</v>
      </c>
      <c r="Y36" s="1"/>
      <c r="Z36" s="5">
        <f t="shared" ref="Z36:Z43" si="23">IF(T36=0,0,X36/T36)</f>
        <v>0.11541718173316051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16"/>
        <v>0</v>
      </c>
      <c r="G37" s="2"/>
      <c r="H37" s="6">
        <v>1232.9100000000001</v>
      </c>
      <c r="I37" s="2"/>
      <c r="J37" s="7">
        <f t="shared" si="17"/>
        <v>0</v>
      </c>
      <c r="K37" s="2"/>
      <c r="L37" s="6">
        <f t="shared" si="18"/>
        <v>-1232.9100000000001</v>
      </c>
      <c r="M37" s="2"/>
      <c r="N37" s="7">
        <f t="shared" si="19"/>
        <v>-1</v>
      </c>
      <c r="O37" s="11"/>
      <c r="P37" s="6">
        <v>3780.74</v>
      </c>
      <c r="Q37" s="2"/>
      <c r="R37" s="7">
        <f t="shared" si="20"/>
        <v>0</v>
      </c>
      <c r="S37" s="2"/>
      <c r="T37" s="6">
        <v>3389.53</v>
      </c>
      <c r="U37" s="2"/>
      <c r="V37" s="7">
        <f t="shared" si="21"/>
        <v>0</v>
      </c>
      <c r="W37" s="2"/>
      <c r="X37" s="6">
        <f t="shared" si="22"/>
        <v>391.20999999999958</v>
      </c>
      <c r="Y37" s="2"/>
      <c r="Z37" s="7">
        <f t="shared" si="23"/>
        <v>0.11541718173316051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252.5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252.5</v>
      </c>
      <c r="M38" s="1"/>
      <c r="N38" s="5">
        <f t="shared" si="19"/>
        <v>0</v>
      </c>
      <c r="O38" s="13"/>
      <c r="P38" s="1">
        <f>SUM(OSRRefP22_3x_0)</f>
        <v>257.5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257.5</v>
      </c>
      <c r="Y38" s="1"/>
      <c r="Z38" s="5">
        <f t="shared" si="23"/>
        <v>0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252.5</v>
      </c>
      <c r="E39" s="2"/>
      <c r="F39" s="7">
        <f t="shared" si="16"/>
        <v>0</v>
      </c>
      <c r="G39" s="2"/>
      <c r="H39" s="6"/>
      <c r="I39" s="2"/>
      <c r="J39" s="7">
        <f t="shared" si="17"/>
        <v>0</v>
      </c>
      <c r="K39" s="2"/>
      <c r="L39" s="6">
        <f t="shared" si="18"/>
        <v>252.5</v>
      </c>
      <c r="M39" s="2"/>
      <c r="N39" s="7">
        <f t="shared" si="19"/>
        <v>0</v>
      </c>
      <c r="O39" s="11"/>
      <c r="P39" s="6">
        <v>257.5</v>
      </c>
      <c r="Q39" s="2"/>
      <c r="R39" s="7">
        <f t="shared" si="20"/>
        <v>0</v>
      </c>
      <c r="S39" s="2"/>
      <c r="T39" s="6"/>
      <c r="U39" s="2"/>
      <c r="V39" s="7">
        <f t="shared" si="21"/>
        <v>0</v>
      </c>
      <c r="W39" s="2"/>
      <c r="X39" s="6">
        <f t="shared" si="22"/>
        <v>257.5</v>
      </c>
      <c r="Y39" s="2"/>
      <c r="Z39" s="7">
        <f t="shared" si="23"/>
        <v>0</v>
      </c>
    </row>
    <row r="40" spans="1:26" s="27" customFormat="1" outlineLevel="1" collapsed="1" x14ac:dyDescent="0.25">
      <c r="A40" s="25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7188.55</v>
      </c>
      <c r="E40" s="1"/>
      <c r="F40" s="5">
        <f t="shared" si="16"/>
        <v>0</v>
      </c>
      <c r="G40" s="1"/>
      <c r="H40" s="1">
        <f>SUM(OSRRefH22_4x_0)</f>
        <v>8279.7999999999993</v>
      </c>
      <c r="I40" s="1"/>
      <c r="J40" s="5">
        <f t="shared" si="17"/>
        <v>0</v>
      </c>
      <c r="K40" s="1"/>
      <c r="L40" s="1">
        <f t="shared" si="18"/>
        <v>-1091.2499999999991</v>
      </c>
      <c r="M40" s="1"/>
      <c r="N40" s="5">
        <f t="shared" si="19"/>
        <v>-0.13179666175511476</v>
      </c>
      <c r="O40" s="13"/>
      <c r="P40" s="1">
        <f>SUM(OSRRefP22_4x_0)</f>
        <v>78386.27</v>
      </c>
      <c r="Q40" s="1"/>
      <c r="R40" s="5">
        <f t="shared" si="20"/>
        <v>0</v>
      </c>
      <c r="S40" s="1"/>
      <c r="T40" s="1">
        <f>SUM(OSRRefT22_4x_0)</f>
        <v>101578.91999999998</v>
      </c>
      <c r="U40" s="1"/>
      <c r="V40" s="5">
        <f t="shared" si="21"/>
        <v>0</v>
      </c>
      <c r="W40" s="1"/>
      <c r="X40" s="1">
        <f t="shared" si="22"/>
        <v>-23192.64999999998</v>
      </c>
      <c r="Y40" s="1"/>
      <c r="Z40" s="5">
        <f t="shared" si="23"/>
        <v>-0.22832148638713606</v>
      </c>
    </row>
    <row r="41" spans="1:26" s="24" customFormat="1" hidden="1" outlineLevel="2" x14ac:dyDescent="0.25">
      <c r="A41" s="26"/>
      <c r="B41" s="11" t="str">
        <f>CONCATENATE("          ", "6321", " - ", "BUILDING DEPRECIATION")</f>
        <v xml:space="preserve">          6321 - BUILDING DEPRECIATION</v>
      </c>
      <c r="C41" s="11"/>
      <c r="D41" s="6">
        <v>2266.9499999999998</v>
      </c>
      <c r="E41" s="2"/>
      <c r="F41" s="7">
        <f t="shared" si="16"/>
        <v>0</v>
      </c>
      <c r="G41" s="2"/>
      <c r="H41" s="6">
        <v>4849.1000000000004</v>
      </c>
      <c r="I41" s="2"/>
      <c r="J41" s="7">
        <f t="shared" si="17"/>
        <v>0</v>
      </c>
      <c r="K41" s="2"/>
      <c r="L41" s="6">
        <f t="shared" si="18"/>
        <v>-2582.1500000000005</v>
      </c>
      <c r="M41" s="2"/>
      <c r="N41" s="7">
        <f t="shared" si="19"/>
        <v>-0.53250087645130029</v>
      </c>
      <c r="O41" s="11"/>
      <c r="P41" s="6">
        <v>24936.449999999997</v>
      </c>
      <c r="Q41" s="2"/>
      <c r="R41" s="7">
        <f t="shared" si="20"/>
        <v>0</v>
      </c>
      <c r="S41" s="2"/>
      <c r="T41" s="6">
        <v>65999.849999999991</v>
      </c>
      <c r="U41" s="2"/>
      <c r="V41" s="7">
        <f t="shared" si="21"/>
        <v>0</v>
      </c>
      <c r="W41" s="2"/>
      <c r="X41" s="6">
        <f t="shared" si="22"/>
        <v>-41063.399999999994</v>
      </c>
      <c r="Y41" s="2"/>
      <c r="Z41" s="7">
        <f t="shared" si="23"/>
        <v>-0.62217414130486659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4921.6000000000004</v>
      </c>
      <c r="E42" s="2"/>
      <c r="F42" s="7">
        <f t="shared" si="16"/>
        <v>0</v>
      </c>
      <c r="G42" s="2"/>
      <c r="H42" s="6">
        <v>3006.45</v>
      </c>
      <c r="I42" s="2"/>
      <c r="J42" s="7">
        <f t="shared" si="17"/>
        <v>0</v>
      </c>
      <c r="K42" s="2"/>
      <c r="L42" s="6">
        <f t="shared" si="18"/>
        <v>1915.1500000000005</v>
      </c>
      <c r="M42" s="2"/>
      <c r="N42" s="7">
        <f t="shared" si="19"/>
        <v>0.63701375376274361</v>
      </c>
      <c r="O42" s="11"/>
      <c r="P42" s="6">
        <v>49207.340000000004</v>
      </c>
      <c r="Q42" s="2"/>
      <c r="R42" s="7">
        <f t="shared" si="20"/>
        <v>0</v>
      </c>
      <c r="S42" s="2"/>
      <c r="T42" s="6">
        <v>30912.32</v>
      </c>
      <c r="U42" s="2"/>
      <c r="V42" s="7">
        <f t="shared" si="21"/>
        <v>0</v>
      </c>
      <c r="W42" s="2"/>
      <c r="X42" s="6">
        <f t="shared" si="22"/>
        <v>18295.020000000004</v>
      </c>
      <c r="Y42" s="2"/>
      <c r="Z42" s="7">
        <f t="shared" si="23"/>
        <v>0.59183587644020264</v>
      </c>
    </row>
    <row r="43" spans="1:26" s="24" customFormat="1" hidden="1" outlineLevel="2" x14ac:dyDescent="0.25">
      <c r="A43" s="26"/>
      <c r="B43" s="11" t="str">
        <f>CONCATENATE("          ", "6326", " - ", "VEHICLES DEPRECIATION EXPENSE")</f>
        <v xml:space="preserve">          6326 - VEHICLES DEPRECIATION EXPENSE</v>
      </c>
      <c r="C43" s="11"/>
      <c r="D43" s="6"/>
      <c r="E43" s="2"/>
      <c r="F43" s="7">
        <f t="shared" si="16"/>
        <v>0</v>
      </c>
      <c r="G43" s="2"/>
      <c r="H43" s="6">
        <v>424.25</v>
      </c>
      <c r="I43" s="2"/>
      <c r="J43" s="7">
        <f t="shared" si="17"/>
        <v>0</v>
      </c>
      <c r="K43" s="2"/>
      <c r="L43" s="6">
        <f t="shared" si="18"/>
        <v>-424.25</v>
      </c>
      <c r="M43" s="2"/>
      <c r="N43" s="7">
        <f t="shared" si="19"/>
        <v>-1</v>
      </c>
      <c r="O43" s="11"/>
      <c r="P43" s="6">
        <v>4242.4799999999996</v>
      </c>
      <c r="Q43" s="2"/>
      <c r="R43" s="7">
        <f t="shared" si="20"/>
        <v>0</v>
      </c>
      <c r="S43" s="2"/>
      <c r="T43" s="6">
        <v>4666.75</v>
      </c>
      <c r="U43" s="2"/>
      <c r="V43" s="7">
        <f t="shared" si="21"/>
        <v>0</v>
      </c>
      <c r="W43" s="2"/>
      <c r="X43" s="6">
        <f t="shared" si="22"/>
        <v>-424.27000000000044</v>
      </c>
      <c r="Y43" s="2"/>
      <c r="Z43" s="7">
        <f t="shared" si="23"/>
        <v>-9.0913376546847474E-2</v>
      </c>
    </row>
    <row r="44" spans="1:26" s="27" customFormat="1" outlineLevel="1" collapsed="1" x14ac:dyDescent="0.25">
      <c r="A44" s="25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2" si="24">IF(D$12=0,0,D44/D$12)</f>
        <v>0</v>
      </c>
      <c r="G44" s="1"/>
      <c r="H44" s="1">
        <f>SUM(OSRRefH22_5x_0)</f>
        <v>0</v>
      </c>
      <c r="I44" s="1"/>
      <c r="J44" s="5">
        <f t="shared" ref="J44:J62" si="25">IF(H$12=0,0,H44/H$12)</f>
        <v>0</v>
      </c>
      <c r="K44" s="1"/>
      <c r="L44" s="1">
        <f t="shared" ref="L44:L62" si="26">+D44-H44</f>
        <v>0</v>
      </c>
      <c r="M44" s="1"/>
      <c r="N44" s="5">
        <f t="shared" ref="N44:N62" si="27">IF(H44=0,0,L44/H44)</f>
        <v>0</v>
      </c>
      <c r="O44" s="13"/>
      <c r="P44" s="1">
        <f>SUM(OSRRefP22_5x_0)</f>
        <v>163.68</v>
      </c>
      <c r="Q44" s="1"/>
      <c r="R44" s="5">
        <f t="shared" ref="R44:R62" si="28">IF(P$12=0,0,P44/P$12)</f>
        <v>0</v>
      </c>
      <c r="S44" s="1"/>
      <c r="T44" s="1">
        <f>SUM(OSRRefT22_5x_0)</f>
        <v>876.48</v>
      </c>
      <c r="U44" s="1"/>
      <c r="V44" s="5">
        <f t="shared" ref="V44:V62" si="29">IF(T$12=0,0,T44/T$12)</f>
        <v>0</v>
      </c>
      <c r="W44" s="1"/>
      <c r="X44" s="1">
        <f t="shared" ref="X44:X62" si="30">+P44-T44</f>
        <v>-712.8</v>
      </c>
      <c r="Y44" s="1"/>
      <c r="Z44" s="5">
        <f t="shared" ref="Z44:Z62" si="31">IF(T44=0,0,X44/T44)</f>
        <v>-0.81325301204819267</v>
      </c>
    </row>
    <row r="45" spans="1:26" s="24" customFormat="1" hidden="1" outlineLevel="2" x14ac:dyDescent="0.25">
      <c r="A45" s="26"/>
      <c r="B45" s="11" t="str">
        <f>CONCATENATE("          ", "6399", " - ", "DONATION-ON CAMPUS")</f>
        <v xml:space="preserve">          6399 - DONATION-ON CAMPUS</v>
      </c>
      <c r="C45" s="11"/>
      <c r="D45" s="6"/>
      <c r="E45" s="2"/>
      <c r="F45" s="7">
        <f t="shared" si="24"/>
        <v>0</v>
      </c>
      <c r="G45" s="2"/>
      <c r="H45" s="6"/>
      <c r="I45" s="2"/>
      <c r="J45" s="7">
        <f t="shared" si="25"/>
        <v>0</v>
      </c>
      <c r="K45" s="2"/>
      <c r="L45" s="6">
        <f t="shared" si="26"/>
        <v>0</v>
      </c>
      <c r="M45" s="2"/>
      <c r="N45" s="7">
        <f t="shared" si="27"/>
        <v>0</v>
      </c>
      <c r="O45" s="11"/>
      <c r="P45" s="6">
        <v>163.68</v>
      </c>
      <c r="Q45" s="2"/>
      <c r="R45" s="7">
        <f t="shared" si="28"/>
        <v>0</v>
      </c>
      <c r="S45" s="2"/>
      <c r="T45" s="6">
        <v>876.48</v>
      </c>
      <c r="U45" s="2"/>
      <c r="V45" s="7">
        <f t="shared" si="29"/>
        <v>0</v>
      </c>
      <c r="W45" s="2"/>
      <c r="X45" s="6">
        <f t="shared" si="30"/>
        <v>-712.8</v>
      </c>
      <c r="Y45" s="2"/>
      <c r="Z45" s="7">
        <f t="shared" si="31"/>
        <v>-0.81325301204819267</v>
      </c>
    </row>
    <row r="46" spans="1:26" s="27" customFormat="1" outlineLevel="1" collapsed="1" x14ac:dyDescent="0.25">
      <c r="A46" s="25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580.45000000000005</v>
      </c>
      <c r="I46" s="1"/>
      <c r="J46" s="5">
        <f t="shared" si="25"/>
        <v>0</v>
      </c>
      <c r="K46" s="1"/>
      <c r="L46" s="1">
        <f t="shared" si="26"/>
        <v>-580.45000000000005</v>
      </c>
      <c r="M46" s="1"/>
      <c r="N46" s="5">
        <f t="shared" si="27"/>
        <v>-1</v>
      </c>
      <c r="O46" s="13"/>
      <c r="P46" s="1">
        <f>SUM(OSRRefP22_6x_0)</f>
        <v>502.38</v>
      </c>
      <c r="Q46" s="1"/>
      <c r="R46" s="5">
        <f t="shared" si="28"/>
        <v>0</v>
      </c>
      <c r="S46" s="1"/>
      <c r="T46" s="1">
        <f>SUM(OSRRefT22_6x_0)</f>
        <v>2026.15</v>
      </c>
      <c r="U46" s="1"/>
      <c r="V46" s="5">
        <f t="shared" si="29"/>
        <v>0</v>
      </c>
      <c r="W46" s="1"/>
      <c r="X46" s="1">
        <f t="shared" si="30"/>
        <v>-1523.77</v>
      </c>
      <c r="Y46" s="1"/>
      <c r="Z46" s="5">
        <f t="shared" si="31"/>
        <v>-0.75205192113120944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4"/>
        <v>0</v>
      </c>
      <c r="G47" s="2"/>
      <c r="H47" s="6">
        <v>580.45000000000005</v>
      </c>
      <c r="I47" s="2"/>
      <c r="J47" s="7">
        <f t="shared" si="25"/>
        <v>0</v>
      </c>
      <c r="K47" s="2"/>
      <c r="L47" s="6">
        <f t="shared" si="26"/>
        <v>-580.45000000000005</v>
      </c>
      <c r="M47" s="2"/>
      <c r="N47" s="7">
        <f t="shared" si="27"/>
        <v>-1</v>
      </c>
      <c r="O47" s="11"/>
      <c r="P47" s="6">
        <v>502.38</v>
      </c>
      <c r="Q47" s="2"/>
      <c r="R47" s="7">
        <f t="shared" si="28"/>
        <v>0</v>
      </c>
      <c r="S47" s="2"/>
      <c r="T47" s="6">
        <v>2026.15</v>
      </c>
      <c r="U47" s="2"/>
      <c r="V47" s="7">
        <f t="shared" si="29"/>
        <v>0</v>
      </c>
      <c r="W47" s="2"/>
      <c r="X47" s="6">
        <f t="shared" si="30"/>
        <v>-1523.77</v>
      </c>
      <c r="Y47" s="2"/>
      <c r="Z47" s="7">
        <f t="shared" si="31"/>
        <v>-0.75205192113120944</v>
      </c>
    </row>
    <row r="48" spans="1:26" s="27" customFormat="1" outlineLevel="1" collapsed="1" x14ac:dyDescent="0.25">
      <c r="A48" s="25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587.95000000000005</v>
      </c>
      <c r="E48" s="1"/>
      <c r="F48" s="5">
        <f t="shared" si="24"/>
        <v>0</v>
      </c>
      <c r="G48" s="1"/>
      <c r="H48" s="1">
        <f>SUM(OSRRefH22_7x_0)</f>
        <v>863.98</v>
      </c>
      <c r="I48" s="1"/>
      <c r="J48" s="5">
        <f t="shared" si="25"/>
        <v>0</v>
      </c>
      <c r="K48" s="1"/>
      <c r="L48" s="1">
        <f t="shared" si="26"/>
        <v>-276.02999999999997</v>
      </c>
      <c r="M48" s="1"/>
      <c r="N48" s="5">
        <f t="shared" si="27"/>
        <v>-0.3194865621889395</v>
      </c>
      <c r="O48" s="13"/>
      <c r="P48" s="1">
        <f>SUM(OSRRefP22_7x_0)</f>
        <v>11097.35</v>
      </c>
      <c r="Q48" s="1"/>
      <c r="R48" s="5">
        <f t="shared" si="28"/>
        <v>0</v>
      </c>
      <c r="S48" s="1"/>
      <c r="T48" s="1">
        <f>SUM(OSRRefT22_7x_0)</f>
        <v>10956.17</v>
      </c>
      <c r="U48" s="1"/>
      <c r="V48" s="5">
        <f t="shared" si="29"/>
        <v>0</v>
      </c>
      <c r="W48" s="1"/>
      <c r="X48" s="1">
        <f t="shared" si="30"/>
        <v>141.18000000000029</v>
      </c>
      <c r="Y48" s="1"/>
      <c r="Z48" s="5">
        <f t="shared" si="31"/>
        <v>1.2885889868448581E-2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587.95000000000005</v>
      </c>
      <c r="E49" s="2"/>
      <c r="F49" s="7">
        <f t="shared" si="24"/>
        <v>0</v>
      </c>
      <c r="G49" s="2"/>
      <c r="H49" s="6">
        <v>863.98</v>
      </c>
      <c r="I49" s="2"/>
      <c r="J49" s="7">
        <f t="shared" si="25"/>
        <v>0</v>
      </c>
      <c r="K49" s="2"/>
      <c r="L49" s="6">
        <f t="shared" si="26"/>
        <v>-276.02999999999997</v>
      </c>
      <c r="M49" s="2"/>
      <c r="N49" s="7">
        <f t="shared" si="27"/>
        <v>-0.3194865621889395</v>
      </c>
      <c r="O49" s="11"/>
      <c r="P49" s="6">
        <v>11097.35</v>
      </c>
      <c r="Q49" s="2"/>
      <c r="R49" s="7">
        <f t="shared" si="28"/>
        <v>0</v>
      </c>
      <c r="S49" s="2"/>
      <c r="T49" s="6">
        <v>10956.17</v>
      </c>
      <c r="U49" s="2"/>
      <c r="V49" s="7">
        <f t="shared" si="29"/>
        <v>0</v>
      </c>
      <c r="W49" s="2"/>
      <c r="X49" s="6">
        <f t="shared" si="30"/>
        <v>141.18000000000029</v>
      </c>
      <c r="Y49" s="2"/>
      <c r="Z49" s="7">
        <f t="shared" si="31"/>
        <v>1.2885889868448581E-2</v>
      </c>
    </row>
    <row r="50" spans="1:26" s="27" customFormat="1" outlineLevel="1" collapsed="1" x14ac:dyDescent="0.25">
      <c r="A50" s="25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0.57999999999999996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0.57999999999999996</v>
      </c>
      <c r="M50" s="1"/>
      <c r="N50" s="5">
        <f t="shared" si="27"/>
        <v>0</v>
      </c>
      <c r="O50" s="13"/>
      <c r="P50" s="1">
        <f>SUM(OSRRefP22_8x_0)</f>
        <v>0.57999999999999996</v>
      </c>
      <c r="Q50" s="1"/>
      <c r="R50" s="5">
        <f t="shared" si="28"/>
        <v>0</v>
      </c>
      <c r="S50" s="1"/>
      <c r="T50" s="1">
        <f>SUM(OSRRefT22_8x_0)</f>
        <v>9.01</v>
      </c>
      <c r="U50" s="1"/>
      <c r="V50" s="5">
        <f t="shared" si="29"/>
        <v>0</v>
      </c>
      <c r="W50" s="1"/>
      <c r="X50" s="1">
        <f t="shared" si="30"/>
        <v>-8.43</v>
      </c>
      <c r="Y50" s="1"/>
      <c r="Z50" s="5">
        <f t="shared" si="31"/>
        <v>-0.93562708102108771</v>
      </c>
    </row>
    <row r="51" spans="1:26" s="24" customFormat="1" hidden="1" outlineLevel="2" x14ac:dyDescent="0.25">
      <c r="A51" s="26"/>
      <c r="B51" s="11" t="str">
        <f>CONCATENATE("          ", "6307", " - ", "POSTAGE")</f>
        <v xml:space="preserve">          6307 - POSTAGE</v>
      </c>
      <c r="C51" s="11"/>
      <c r="D51" s="6">
        <v>0.57999999999999996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0.57999999999999996</v>
      </c>
      <c r="M51" s="2"/>
      <c r="N51" s="7">
        <f t="shared" si="27"/>
        <v>0</v>
      </c>
      <c r="O51" s="11"/>
      <c r="P51" s="6">
        <v>0.57999999999999996</v>
      </c>
      <c r="Q51" s="2"/>
      <c r="R51" s="7">
        <f t="shared" si="28"/>
        <v>0</v>
      </c>
      <c r="S51" s="2"/>
      <c r="T51" s="6">
        <v>9.01</v>
      </c>
      <c r="U51" s="2"/>
      <c r="V51" s="7">
        <f t="shared" si="29"/>
        <v>0</v>
      </c>
      <c r="W51" s="2"/>
      <c r="X51" s="6">
        <f t="shared" si="30"/>
        <v>-8.43</v>
      </c>
      <c r="Y51" s="2"/>
      <c r="Z51" s="7">
        <f t="shared" si="31"/>
        <v>-0.93562708102108771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3"/>
      <c r="P52" s="1">
        <f>SUM(OSRRefP22_9x_0)</f>
        <v>23322.710000000003</v>
      </c>
      <c r="Q52" s="1"/>
      <c r="R52" s="5">
        <f t="shared" si="28"/>
        <v>0</v>
      </c>
      <c r="S52" s="1"/>
      <c r="T52" s="1">
        <f>SUM(OSRRefT22_9x_0)</f>
        <v>5080.82</v>
      </c>
      <c r="U52" s="1"/>
      <c r="V52" s="5">
        <f t="shared" si="29"/>
        <v>0</v>
      </c>
      <c r="W52" s="1"/>
      <c r="X52" s="1">
        <f t="shared" si="30"/>
        <v>18241.890000000003</v>
      </c>
      <c r="Y52" s="1"/>
      <c r="Z52" s="5">
        <f t="shared" si="31"/>
        <v>3.5903436846808199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23322.710000000003</v>
      </c>
      <c r="Q53" s="2"/>
      <c r="R53" s="7">
        <f t="shared" si="28"/>
        <v>0</v>
      </c>
      <c r="S53" s="2"/>
      <c r="T53" s="6">
        <v>5080.82</v>
      </c>
      <c r="U53" s="2"/>
      <c r="V53" s="7">
        <f t="shared" si="29"/>
        <v>0</v>
      </c>
      <c r="W53" s="2"/>
      <c r="X53" s="6">
        <f t="shared" si="30"/>
        <v>18241.890000000003</v>
      </c>
      <c r="Y53" s="2"/>
      <c r="Z53" s="7">
        <f t="shared" si="31"/>
        <v>3.5903436846808199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3389.02</v>
      </c>
      <c r="I54" s="1"/>
      <c r="J54" s="5">
        <f t="shared" si="25"/>
        <v>0</v>
      </c>
      <c r="K54" s="1"/>
      <c r="L54" s="1">
        <f t="shared" si="26"/>
        <v>209.82999999999993</v>
      </c>
      <c r="M54" s="1"/>
      <c r="N54" s="5">
        <f t="shared" si="27"/>
        <v>6.191465379372206E-2</v>
      </c>
      <c r="O54" s="13"/>
      <c r="P54" s="1">
        <f>SUM(OSRRefP22_10x_0)</f>
        <v>45348.35</v>
      </c>
      <c r="Q54" s="1"/>
      <c r="R54" s="5">
        <f t="shared" si="28"/>
        <v>0</v>
      </c>
      <c r="S54" s="1"/>
      <c r="T54" s="1">
        <f>SUM(OSRRefT22_10x_0)</f>
        <v>35841.879999999997</v>
      </c>
      <c r="U54" s="1"/>
      <c r="V54" s="5">
        <f t="shared" si="29"/>
        <v>0</v>
      </c>
      <c r="W54" s="1"/>
      <c r="X54" s="1">
        <f t="shared" si="30"/>
        <v>9506.4700000000012</v>
      </c>
      <c r="Y54" s="1"/>
      <c r="Z54" s="5">
        <f t="shared" si="31"/>
        <v>0.26523357591733476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3598.85</v>
      </c>
      <c r="E55" s="2"/>
      <c r="F55" s="7">
        <f t="shared" si="24"/>
        <v>0</v>
      </c>
      <c r="G55" s="2"/>
      <c r="H55" s="6">
        <v>3389.02</v>
      </c>
      <c r="I55" s="2"/>
      <c r="J55" s="7">
        <f t="shared" si="25"/>
        <v>0</v>
      </c>
      <c r="K55" s="2"/>
      <c r="L55" s="6">
        <f t="shared" si="26"/>
        <v>209.82999999999993</v>
      </c>
      <c r="M55" s="2"/>
      <c r="N55" s="7">
        <f t="shared" si="27"/>
        <v>6.191465379372206E-2</v>
      </c>
      <c r="O55" s="11"/>
      <c r="P55" s="6">
        <v>45348.35</v>
      </c>
      <c r="Q55" s="2"/>
      <c r="R55" s="7">
        <f t="shared" si="28"/>
        <v>0</v>
      </c>
      <c r="S55" s="2"/>
      <c r="T55" s="6">
        <v>35841.879999999997</v>
      </c>
      <c r="U55" s="2"/>
      <c r="V55" s="7">
        <f t="shared" si="29"/>
        <v>0</v>
      </c>
      <c r="W55" s="2"/>
      <c r="X55" s="6">
        <f t="shared" si="30"/>
        <v>9506.4700000000012</v>
      </c>
      <c r="Y55" s="2"/>
      <c r="Z55" s="7">
        <f t="shared" si="31"/>
        <v>0.26523357591733476</v>
      </c>
    </row>
    <row r="56" spans="1:26" s="27" customFormat="1" outlineLevel="1" collapsed="1" x14ac:dyDescent="0.25">
      <c r="A56" s="25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125</v>
      </c>
      <c r="Q56" s="1"/>
      <c r="R56" s="5">
        <f t="shared" si="28"/>
        <v>0</v>
      </c>
      <c r="S56" s="1"/>
      <c r="T56" s="1">
        <f>SUM(OSRRefT22_11x_0)</f>
        <v>0</v>
      </c>
      <c r="U56" s="1"/>
      <c r="V56" s="5">
        <f t="shared" si="29"/>
        <v>0</v>
      </c>
      <c r="W56" s="1"/>
      <c r="X56" s="1">
        <f t="shared" si="30"/>
        <v>125</v>
      </c>
      <c r="Y56" s="1"/>
      <c r="Z56" s="5">
        <f t="shared" si="31"/>
        <v>0</v>
      </c>
    </row>
    <row r="57" spans="1:26" s="24" customFormat="1" hidden="1" outlineLevel="2" x14ac:dyDescent="0.25">
      <c r="A57" s="26"/>
      <c r="B57" s="11" t="str">
        <f>CONCATENATE("          ", "6336", " - ", "PROFESSIONAL SERVICES")</f>
        <v xml:space="preserve">          6336 - PROFESSIONAL SERVICES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125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125</v>
      </c>
      <c r="Y57" s="2"/>
      <c r="Z57" s="7">
        <f t="shared" si="31"/>
        <v>0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5713.66</v>
      </c>
      <c r="E58" s="1"/>
      <c r="F58" s="5">
        <f t="shared" si="24"/>
        <v>0</v>
      </c>
      <c r="G58" s="1"/>
      <c r="H58" s="1">
        <f>SUM(OSRRefH22_12x_0)</f>
        <v>6259.73</v>
      </c>
      <c r="I58" s="1"/>
      <c r="J58" s="5">
        <f t="shared" si="25"/>
        <v>0</v>
      </c>
      <c r="K58" s="1"/>
      <c r="L58" s="1">
        <f t="shared" si="26"/>
        <v>-546.06999999999971</v>
      </c>
      <c r="M58" s="1"/>
      <c r="N58" s="5">
        <f t="shared" si="27"/>
        <v>-8.7235391941824933E-2</v>
      </c>
      <c r="O58" s="13"/>
      <c r="P58" s="1">
        <f>SUM(OSRRefP22_12x_0)</f>
        <v>118641.34</v>
      </c>
      <c r="Q58" s="1"/>
      <c r="R58" s="5">
        <f t="shared" si="28"/>
        <v>0</v>
      </c>
      <c r="S58" s="1"/>
      <c r="T58" s="1">
        <f>SUM(OSRRefT22_12x_0)</f>
        <v>161986.87</v>
      </c>
      <c r="U58" s="1"/>
      <c r="V58" s="5">
        <f t="shared" si="29"/>
        <v>0</v>
      </c>
      <c r="W58" s="1"/>
      <c r="X58" s="1">
        <f t="shared" si="30"/>
        <v>-43345.53</v>
      </c>
      <c r="Y58" s="1"/>
      <c r="Z58" s="5">
        <f t="shared" si="31"/>
        <v>-0.26758668773586403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/>
      <c r="Q59" s="2"/>
      <c r="R59" s="7">
        <f t="shared" si="28"/>
        <v>0</v>
      </c>
      <c r="S59" s="2"/>
      <c r="T59" s="6">
        <v>16463.21</v>
      </c>
      <c r="U59" s="2"/>
      <c r="V59" s="7">
        <f t="shared" si="29"/>
        <v>0</v>
      </c>
      <c r="W59" s="2"/>
      <c r="X59" s="6">
        <f t="shared" si="30"/>
        <v>-16463.21</v>
      </c>
      <c r="Y59" s="2"/>
      <c r="Z59" s="7">
        <f t="shared" si="31"/>
        <v>-1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8142.88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8142.88</v>
      </c>
      <c r="Y60" s="2"/>
      <c r="Z60" s="7">
        <f t="shared" si="31"/>
        <v>0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5002.32</v>
      </c>
      <c r="E61" s="2"/>
      <c r="F61" s="7">
        <f t="shared" si="24"/>
        <v>0</v>
      </c>
      <c r="G61" s="2"/>
      <c r="H61" s="6">
        <v>5015.32</v>
      </c>
      <c r="I61" s="2"/>
      <c r="J61" s="7">
        <f t="shared" si="25"/>
        <v>0</v>
      </c>
      <c r="K61" s="2"/>
      <c r="L61" s="6">
        <f t="shared" si="26"/>
        <v>-13</v>
      </c>
      <c r="M61" s="2"/>
      <c r="N61" s="7">
        <f t="shared" si="27"/>
        <v>-2.5920579344887269E-3</v>
      </c>
      <c r="O61" s="11"/>
      <c r="P61" s="6">
        <v>63636.24</v>
      </c>
      <c r="Q61" s="2"/>
      <c r="R61" s="7">
        <f t="shared" si="28"/>
        <v>0</v>
      </c>
      <c r="S61" s="2"/>
      <c r="T61" s="6">
        <v>89468.819999999992</v>
      </c>
      <c r="U61" s="2"/>
      <c r="V61" s="7">
        <f t="shared" si="29"/>
        <v>0</v>
      </c>
      <c r="W61" s="2"/>
      <c r="X61" s="6">
        <f t="shared" si="30"/>
        <v>-25832.579999999994</v>
      </c>
      <c r="Y61" s="2"/>
      <c r="Z61" s="7">
        <f t="shared" si="31"/>
        <v>-0.28873276746021681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711.34</v>
      </c>
      <c r="E62" s="2"/>
      <c r="F62" s="7">
        <f t="shared" si="24"/>
        <v>0</v>
      </c>
      <c r="G62" s="2"/>
      <c r="H62" s="6">
        <v>1244.4100000000001</v>
      </c>
      <c r="I62" s="2"/>
      <c r="J62" s="7">
        <f t="shared" si="25"/>
        <v>0</v>
      </c>
      <c r="K62" s="2"/>
      <c r="L62" s="6">
        <f t="shared" si="26"/>
        <v>-533.07000000000005</v>
      </c>
      <c r="M62" s="2"/>
      <c r="N62" s="7">
        <f t="shared" si="27"/>
        <v>-0.42837167814466293</v>
      </c>
      <c r="O62" s="11"/>
      <c r="P62" s="6">
        <v>46862.22</v>
      </c>
      <c r="Q62" s="2"/>
      <c r="R62" s="7">
        <f t="shared" si="28"/>
        <v>0</v>
      </c>
      <c r="S62" s="2"/>
      <c r="T62" s="6">
        <v>56054.84</v>
      </c>
      <c r="U62" s="2"/>
      <c r="V62" s="7">
        <f t="shared" si="29"/>
        <v>0</v>
      </c>
      <c r="W62" s="2"/>
      <c r="X62" s="6">
        <f t="shared" si="30"/>
        <v>-9192.6199999999953</v>
      </c>
      <c r="Y62" s="2"/>
      <c r="Z62" s="7">
        <f t="shared" si="31"/>
        <v>-0.1639933322439239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SUM(OSRRefD22_13x_0)</f>
        <v>4254</v>
      </c>
      <c r="E63" s="1"/>
      <c r="F63" s="5">
        <f t="shared" ref="F63:F68" si="32">IF(D$12=0,0,D63/D$12)</f>
        <v>0</v>
      </c>
      <c r="G63" s="1"/>
      <c r="H63" s="1">
        <f>SUM(OSRRefH22_13x_0)</f>
        <v>15818.380000000001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-11564.380000000001</v>
      </c>
      <c r="M63" s="1"/>
      <c r="N63" s="5">
        <f t="shared" ref="N63:N68" si="35">IF(H63=0,0,L63/H63)</f>
        <v>-0.73107233484086231</v>
      </c>
      <c r="O63" s="13"/>
      <c r="P63" s="1">
        <f>SUM(OSRRefP22_13x_0)</f>
        <v>139480.26999999999</v>
      </c>
      <c r="Q63" s="1"/>
      <c r="R63" s="5">
        <f t="shared" ref="R63:R68" si="36">IF(P$12=0,0,P63/P$12)</f>
        <v>0</v>
      </c>
      <c r="S63" s="1"/>
      <c r="T63" s="1">
        <f>SUM(OSRRefT22_13x_0)</f>
        <v>163530.38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-24050.110000000015</v>
      </c>
      <c r="Y63" s="1"/>
      <c r="Z63" s="5">
        <f t="shared" ref="Z63:Z68" si="39">IF(T63=0,0,X63/T63)</f>
        <v>-0.14706814721521477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2"/>
        <v>0</v>
      </c>
      <c r="G64" s="2"/>
      <c r="H64" s="6">
        <v>1252.52</v>
      </c>
      <c r="I64" s="2"/>
      <c r="J64" s="7">
        <f t="shared" si="33"/>
        <v>0</v>
      </c>
      <c r="K64" s="2"/>
      <c r="L64" s="6">
        <f t="shared" si="34"/>
        <v>-1252.52</v>
      </c>
      <c r="M64" s="2"/>
      <c r="N64" s="7">
        <f t="shared" si="35"/>
        <v>-1</v>
      </c>
      <c r="O64" s="11"/>
      <c r="P64" s="6">
        <v>6262.6</v>
      </c>
      <c r="Q64" s="2"/>
      <c r="R64" s="7">
        <f t="shared" si="36"/>
        <v>0</v>
      </c>
      <c r="S64" s="2"/>
      <c r="T64" s="6">
        <v>6888.86</v>
      </c>
      <c r="U64" s="2"/>
      <c r="V64" s="7">
        <f t="shared" si="37"/>
        <v>0</v>
      </c>
      <c r="W64" s="2"/>
      <c r="X64" s="6">
        <f t="shared" si="38"/>
        <v>-626.25999999999931</v>
      </c>
      <c r="Y64" s="2"/>
      <c r="Z64" s="7">
        <f t="shared" si="39"/>
        <v>-9.0909090909090814E-2</v>
      </c>
    </row>
    <row r="65" spans="1:26" s="24" customFormat="1" hidden="1" outlineLevel="2" x14ac:dyDescent="0.25">
      <c r="A65" s="26"/>
      <c r="B65" s="11" t="str">
        <f>CONCATENATE("          ", "6283", " - ", "PLANT SERVICE")</f>
        <v xml:space="preserve">          6283 - PLANT SERVICE</v>
      </c>
      <c r="C65" s="11"/>
      <c r="D65" s="6"/>
      <c r="E65" s="2"/>
      <c r="F65" s="7">
        <f t="shared" si="32"/>
        <v>0</v>
      </c>
      <c r="G65" s="2"/>
      <c r="H65" s="6">
        <v>33</v>
      </c>
      <c r="I65" s="2"/>
      <c r="J65" s="7">
        <f t="shared" si="33"/>
        <v>0</v>
      </c>
      <c r="K65" s="2"/>
      <c r="L65" s="6">
        <f t="shared" si="34"/>
        <v>-33</v>
      </c>
      <c r="M65" s="2"/>
      <c r="N65" s="7">
        <f t="shared" si="35"/>
        <v>-1</v>
      </c>
      <c r="O65" s="11"/>
      <c r="P65" s="6">
        <v>319.77</v>
      </c>
      <c r="Q65" s="2"/>
      <c r="R65" s="7">
        <f t="shared" si="36"/>
        <v>0</v>
      </c>
      <c r="S65" s="2"/>
      <c r="T65" s="6">
        <v>363</v>
      </c>
      <c r="U65" s="2"/>
      <c r="V65" s="7">
        <f t="shared" si="37"/>
        <v>0</v>
      </c>
      <c r="W65" s="2"/>
      <c r="X65" s="6">
        <f t="shared" si="38"/>
        <v>-43.230000000000018</v>
      </c>
      <c r="Y65" s="2"/>
      <c r="Z65" s="7">
        <f t="shared" si="39"/>
        <v>-0.11909090909090914</v>
      </c>
    </row>
    <row r="66" spans="1:26" s="24" customFormat="1" hidden="1" outlineLevel="2" x14ac:dyDescent="0.25">
      <c r="A66" s="26"/>
      <c r="B66" s="11" t="str">
        <f>CONCATENATE("          ", "6284", " - ", "TRASH REMOVAL EXPENSE")</f>
        <v xml:space="preserve">          6284 - TRASH REMOVAL EXPENSE</v>
      </c>
      <c r="C66" s="11"/>
      <c r="D66" s="6">
        <v>4254</v>
      </c>
      <c r="E66" s="2"/>
      <c r="F66" s="7">
        <f t="shared" si="32"/>
        <v>0</v>
      </c>
      <c r="G66" s="2"/>
      <c r="H66" s="6">
        <v>3482</v>
      </c>
      <c r="I66" s="2"/>
      <c r="J66" s="7">
        <f t="shared" si="33"/>
        <v>0</v>
      </c>
      <c r="K66" s="2"/>
      <c r="L66" s="6">
        <f t="shared" si="34"/>
        <v>772</v>
      </c>
      <c r="M66" s="2"/>
      <c r="N66" s="7">
        <f t="shared" si="35"/>
        <v>0.22171165996553704</v>
      </c>
      <c r="O66" s="11"/>
      <c r="P66" s="6">
        <v>39009</v>
      </c>
      <c r="Q66" s="2"/>
      <c r="R66" s="7">
        <f t="shared" si="36"/>
        <v>0</v>
      </c>
      <c r="S66" s="2"/>
      <c r="T66" s="6">
        <v>46701.990000000005</v>
      </c>
      <c r="U66" s="2"/>
      <c r="V66" s="7">
        <f t="shared" si="37"/>
        <v>0</v>
      </c>
      <c r="W66" s="2"/>
      <c r="X66" s="6">
        <f t="shared" si="38"/>
        <v>-7692.9900000000052</v>
      </c>
      <c r="Y66" s="2"/>
      <c r="Z66" s="7">
        <f t="shared" si="39"/>
        <v>-0.16472510057922596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32"/>
        <v>0</v>
      </c>
      <c r="G67" s="2"/>
      <c r="H67" s="6">
        <v>10703.51</v>
      </c>
      <c r="I67" s="2"/>
      <c r="J67" s="7">
        <f t="shared" si="33"/>
        <v>0</v>
      </c>
      <c r="K67" s="2"/>
      <c r="L67" s="6">
        <f t="shared" si="34"/>
        <v>-10703.51</v>
      </c>
      <c r="M67" s="2"/>
      <c r="N67" s="7">
        <f t="shared" si="35"/>
        <v>-1</v>
      </c>
      <c r="O67" s="11"/>
      <c r="P67" s="6">
        <v>93144.07</v>
      </c>
      <c r="Q67" s="2"/>
      <c r="R67" s="7">
        <f t="shared" si="36"/>
        <v>0</v>
      </c>
      <c r="S67" s="2"/>
      <c r="T67" s="6">
        <v>107509.20999999999</v>
      </c>
      <c r="U67" s="2"/>
      <c r="V67" s="7">
        <f t="shared" si="37"/>
        <v>0</v>
      </c>
      <c r="W67" s="2"/>
      <c r="X67" s="6">
        <f t="shared" si="38"/>
        <v>-14365.139999999985</v>
      </c>
      <c r="Y67" s="2"/>
      <c r="Z67" s="7">
        <f t="shared" si="39"/>
        <v>-0.13361776167827841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32"/>
        <v>0</v>
      </c>
      <c r="G68" s="2"/>
      <c r="H68" s="6">
        <v>347.35</v>
      </c>
      <c r="I68" s="2"/>
      <c r="J68" s="7">
        <f t="shared" si="33"/>
        <v>0</v>
      </c>
      <c r="K68" s="2"/>
      <c r="L68" s="6">
        <f t="shared" si="34"/>
        <v>-347.35</v>
      </c>
      <c r="M68" s="2"/>
      <c r="N68" s="7">
        <f t="shared" si="35"/>
        <v>-1</v>
      </c>
      <c r="O68" s="11"/>
      <c r="P68" s="6">
        <v>744.83</v>
      </c>
      <c r="Q68" s="2"/>
      <c r="R68" s="7">
        <f t="shared" si="36"/>
        <v>0</v>
      </c>
      <c r="S68" s="2"/>
      <c r="T68" s="6">
        <v>2067.3200000000002</v>
      </c>
      <c r="U68" s="2"/>
      <c r="V68" s="7">
        <f t="shared" si="37"/>
        <v>0</v>
      </c>
      <c r="W68" s="2"/>
      <c r="X68" s="6">
        <f t="shared" si="38"/>
        <v>-1322.4900000000002</v>
      </c>
      <c r="Y68" s="2"/>
      <c r="Z68" s="7">
        <f t="shared" si="39"/>
        <v>-0.63971228450360862</v>
      </c>
    </row>
    <row r="69" spans="1:26" s="27" customFormat="1" outlineLevel="1" collapsed="1" x14ac:dyDescent="0.25">
      <c r="A69" s="25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SUM(OSRRefD22_14x_0)</f>
        <v>0</v>
      </c>
      <c r="E69" s="1"/>
      <c r="F69" s="5">
        <f t="shared" ref="F69:F71" si="40">IF(D$12=0,0,D69/D$12)</f>
        <v>0</v>
      </c>
      <c r="G69" s="1"/>
      <c r="H69" s="1">
        <f>SUM(OSRRefH22_14x_0)</f>
        <v>0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0</v>
      </c>
      <c r="M69" s="1"/>
      <c r="N69" s="5">
        <f t="shared" ref="N69:N71" si="43">IF(H69=0,0,L69/H69)</f>
        <v>0</v>
      </c>
      <c r="O69" s="13"/>
      <c r="P69" s="1">
        <f>SUM(OSRRefP22_14x_0)</f>
        <v>795</v>
      </c>
      <c r="Q69" s="1"/>
      <c r="R69" s="5">
        <f t="shared" ref="R69:R71" si="44">IF(P$12=0,0,P69/P$12)</f>
        <v>0</v>
      </c>
      <c r="S69" s="1"/>
      <c r="T69" s="1">
        <f>SUM(OSRRefT22_14x_0)</f>
        <v>1182.8399999999999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-387.83999999999992</v>
      </c>
      <c r="Y69" s="1"/>
      <c r="Z69" s="5">
        <f t="shared" ref="Z69:Z71" si="47">IF(T69=0,0,X69/T69)</f>
        <v>-0.32788880998275333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795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795</v>
      </c>
      <c r="Y70" s="2"/>
      <c r="Z70" s="7">
        <f t="shared" si="47"/>
        <v>0</v>
      </c>
    </row>
    <row r="71" spans="1:26" s="24" customFormat="1" hidden="1" outlineLevel="2" x14ac:dyDescent="0.25">
      <c r="A71" s="26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/>
      <c r="Q71" s="2"/>
      <c r="R71" s="7">
        <f t="shared" si="44"/>
        <v>0</v>
      </c>
      <c r="S71" s="2"/>
      <c r="T71" s="6">
        <v>1182.8399999999999</v>
      </c>
      <c r="U71" s="2"/>
      <c r="V71" s="7">
        <f t="shared" si="45"/>
        <v>0</v>
      </c>
      <c r="W71" s="2"/>
      <c r="X71" s="6">
        <f t="shared" si="46"/>
        <v>-1182.8399999999999</v>
      </c>
      <c r="Y71" s="2"/>
      <c r="Z71" s="7">
        <f t="shared" si="47"/>
        <v>-1</v>
      </c>
    </row>
    <row r="72" spans="1:26" s="27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SUM(OSRRefD22_15x_0)</f>
        <v>1095.08</v>
      </c>
      <c r="E72" s="1"/>
      <c r="F72" s="5">
        <f t="shared" ref="F72:F81" si="48">IF(D$12=0,0,D72/D$12)</f>
        <v>0</v>
      </c>
      <c r="G72" s="1"/>
      <c r="H72" s="1">
        <f>SUM(OSRRefH22_15x_0)</f>
        <v>6756.32</v>
      </c>
      <c r="I72" s="1"/>
      <c r="J72" s="5">
        <f t="shared" ref="J72:J81" si="49">IF(H$12=0,0,H72/H$12)</f>
        <v>0</v>
      </c>
      <c r="K72" s="1"/>
      <c r="L72" s="1">
        <f t="shared" ref="L72:L81" si="50">+D72-H72</f>
        <v>-5661.24</v>
      </c>
      <c r="M72" s="1"/>
      <c r="N72" s="5">
        <f t="shared" ref="N72:N81" si="51">IF(H72=0,0,L72/H72)</f>
        <v>-0.83791768299902902</v>
      </c>
      <c r="O72" s="13"/>
      <c r="P72" s="1">
        <f>SUM(OSRRefP22_15x_0)</f>
        <v>67950.259999999995</v>
      </c>
      <c r="Q72" s="1"/>
      <c r="R72" s="5">
        <f t="shared" ref="R72:R81" si="52">IF(P$12=0,0,P72/P$12)</f>
        <v>0</v>
      </c>
      <c r="S72" s="1"/>
      <c r="T72" s="1">
        <f>SUM(OSRRefT22_15x_0)</f>
        <v>76310.650000000009</v>
      </c>
      <c r="U72" s="1"/>
      <c r="V72" s="5">
        <f t="shared" ref="V72:V81" si="53">IF(T$12=0,0,T72/T$12)</f>
        <v>0</v>
      </c>
      <c r="W72" s="1"/>
      <c r="X72" s="1">
        <f t="shared" ref="X72:X81" si="54">+P72-T72</f>
        <v>-8360.390000000014</v>
      </c>
      <c r="Y72" s="1"/>
      <c r="Z72" s="5">
        <f t="shared" ref="Z72:Z81" si="55">IF(T72=0,0,X72/T72)</f>
        <v>-0.10955731604959482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8480.18</v>
      </c>
      <c r="Q73" s="2"/>
      <c r="R73" s="7">
        <f t="shared" si="52"/>
        <v>0</v>
      </c>
      <c r="S73" s="2"/>
      <c r="T73" s="6">
        <v>732.36</v>
      </c>
      <c r="U73" s="2"/>
      <c r="V73" s="7">
        <f t="shared" si="53"/>
        <v>0</v>
      </c>
      <c r="W73" s="2"/>
      <c r="X73" s="6">
        <f t="shared" si="54"/>
        <v>7747.8200000000006</v>
      </c>
      <c r="Y73" s="2"/>
      <c r="Z73" s="7">
        <f t="shared" si="55"/>
        <v>10.579250641760883</v>
      </c>
    </row>
    <row r="74" spans="1:26" s="24" customFormat="1" hidden="1" outlineLevel="2" x14ac:dyDescent="0.25">
      <c r="A74" s="26"/>
      <c r="B74" s="11" t="str">
        <f>CONCATENATE("          ", "6235", " - ", "COVID-19 EXPENSES")</f>
        <v xml:space="preserve">          6235 - COVID-19 EXPENSES</v>
      </c>
      <c r="C74" s="11"/>
      <c r="D74" s="6">
        <v>1095.08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1095.08</v>
      </c>
      <c r="M74" s="2"/>
      <c r="N74" s="7">
        <f t="shared" si="51"/>
        <v>0</v>
      </c>
      <c r="O74" s="11"/>
      <c r="P74" s="6">
        <v>1095.08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1095.08</v>
      </c>
      <c r="Y74" s="2"/>
      <c r="Z74" s="7">
        <f t="shared" si="55"/>
        <v>0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48"/>
        <v>0</v>
      </c>
      <c r="G75" s="2"/>
      <c r="H75" s="6">
        <v>1193.8599999999999</v>
      </c>
      <c r="I75" s="2"/>
      <c r="J75" s="7">
        <f t="shared" si="49"/>
        <v>0</v>
      </c>
      <c r="K75" s="2"/>
      <c r="L75" s="6">
        <f t="shared" si="50"/>
        <v>-1193.8599999999999</v>
      </c>
      <c r="M75" s="2"/>
      <c r="N75" s="7">
        <f t="shared" si="51"/>
        <v>-1</v>
      </c>
      <c r="O75" s="11"/>
      <c r="P75" s="6">
        <v>35461.51</v>
      </c>
      <c r="Q75" s="2"/>
      <c r="R75" s="7">
        <f t="shared" si="52"/>
        <v>0</v>
      </c>
      <c r="S75" s="2"/>
      <c r="T75" s="6">
        <v>33277.24</v>
      </c>
      <c r="U75" s="2"/>
      <c r="V75" s="7">
        <f t="shared" si="53"/>
        <v>0</v>
      </c>
      <c r="W75" s="2"/>
      <c r="X75" s="6">
        <f t="shared" si="54"/>
        <v>2184.2700000000041</v>
      </c>
      <c r="Y75" s="2"/>
      <c r="Z75" s="7">
        <f t="shared" si="55"/>
        <v>6.5638556562984313E-2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6"/>
      <c r="E76" s="2"/>
      <c r="F76" s="7">
        <f t="shared" si="48"/>
        <v>0</v>
      </c>
      <c r="G76" s="2"/>
      <c r="H76" s="6">
        <v>2881.3</v>
      </c>
      <c r="I76" s="2"/>
      <c r="J76" s="7">
        <f t="shared" si="49"/>
        <v>0</v>
      </c>
      <c r="K76" s="2"/>
      <c r="L76" s="6">
        <f t="shared" si="50"/>
        <v>-2881.3</v>
      </c>
      <c r="M76" s="2"/>
      <c r="N76" s="7">
        <f t="shared" si="51"/>
        <v>-1</v>
      </c>
      <c r="O76" s="11"/>
      <c r="P76" s="6">
        <v>18397.89</v>
      </c>
      <c r="Q76" s="2"/>
      <c r="R76" s="7">
        <f t="shared" si="52"/>
        <v>0</v>
      </c>
      <c r="S76" s="2"/>
      <c r="T76" s="6">
        <v>24543.070000000003</v>
      </c>
      <c r="U76" s="2"/>
      <c r="V76" s="7">
        <f t="shared" si="53"/>
        <v>0</v>
      </c>
      <c r="W76" s="2"/>
      <c r="X76" s="6">
        <f t="shared" si="54"/>
        <v>-6145.1800000000039</v>
      </c>
      <c r="Y76" s="2"/>
      <c r="Z76" s="7">
        <f t="shared" si="55"/>
        <v>-0.25038350947945809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48"/>
        <v>0</v>
      </c>
      <c r="G77" s="2"/>
      <c r="H77" s="6">
        <v>2681.16</v>
      </c>
      <c r="I77" s="2"/>
      <c r="J77" s="7">
        <f t="shared" si="49"/>
        <v>0</v>
      </c>
      <c r="K77" s="2"/>
      <c r="L77" s="6">
        <f t="shared" si="50"/>
        <v>-2681.16</v>
      </c>
      <c r="M77" s="2"/>
      <c r="N77" s="7">
        <f t="shared" si="51"/>
        <v>-1</v>
      </c>
      <c r="O77" s="11"/>
      <c r="P77" s="6">
        <v>2858.28</v>
      </c>
      <c r="Q77" s="2"/>
      <c r="R77" s="7">
        <f t="shared" si="52"/>
        <v>0</v>
      </c>
      <c r="S77" s="2"/>
      <c r="T77" s="6">
        <v>11703.39</v>
      </c>
      <c r="U77" s="2"/>
      <c r="V77" s="7">
        <f t="shared" si="53"/>
        <v>0</v>
      </c>
      <c r="W77" s="2"/>
      <c r="X77" s="6">
        <f t="shared" si="54"/>
        <v>-8845.1099999999988</v>
      </c>
      <c r="Y77" s="2"/>
      <c r="Z77" s="7">
        <f t="shared" si="55"/>
        <v>-0.75577332721544777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>
        <v>1027.17</v>
      </c>
      <c r="Q78" s="2"/>
      <c r="R78" s="7">
        <f t="shared" si="52"/>
        <v>0</v>
      </c>
      <c r="S78" s="2"/>
      <c r="T78" s="6">
        <v>4500.3</v>
      </c>
      <c r="U78" s="2"/>
      <c r="V78" s="7">
        <f t="shared" si="53"/>
        <v>0</v>
      </c>
      <c r="W78" s="2"/>
      <c r="X78" s="6">
        <f t="shared" si="54"/>
        <v>-3473.13</v>
      </c>
      <c r="Y78" s="2"/>
      <c r="Z78" s="7">
        <f t="shared" si="55"/>
        <v>-0.77175521631891209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0</v>
      </c>
      <c r="M79" s="2"/>
      <c r="N79" s="7">
        <f t="shared" si="51"/>
        <v>0</v>
      </c>
      <c r="O79" s="11"/>
      <c r="P79" s="6">
        <v>15.99</v>
      </c>
      <c r="Q79" s="2"/>
      <c r="R79" s="7">
        <f t="shared" si="52"/>
        <v>0</v>
      </c>
      <c r="S79" s="2"/>
      <c r="T79" s="6">
        <v>87.11</v>
      </c>
      <c r="U79" s="2"/>
      <c r="V79" s="7">
        <f t="shared" si="53"/>
        <v>0</v>
      </c>
      <c r="W79" s="2"/>
      <c r="X79" s="6">
        <f t="shared" si="54"/>
        <v>-71.12</v>
      </c>
      <c r="Y79" s="2"/>
      <c r="Z79" s="7">
        <f t="shared" si="55"/>
        <v>-0.81643898519113767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>
        <v>123.68</v>
      </c>
      <c r="Q80" s="2"/>
      <c r="R80" s="7">
        <f t="shared" si="52"/>
        <v>0</v>
      </c>
      <c r="S80" s="2"/>
      <c r="T80" s="6">
        <v>191.55</v>
      </c>
      <c r="U80" s="2"/>
      <c r="V80" s="7">
        <f t="shared" si="53"/>
        <v>0</v>
      </c>
      <c r="W80" s="2"/>
      <c r="X80" s="6">
        <f t="shared" si="54"/>
        <v>-67.87</v>
      </c>
      <c r="Y80" s="2"/>
      <c r="Z80" s="7">
        <f t="shared" si="55"/>
        <v>-0.35432002088227615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1"/>
      <c r="P81" s="6">
        <v>490.48</v>
      </c>
      <c r="Q81" s="2"/>
      <c r="R81" s="7">
        <f t="shared" si="52"/>
        <v>0</v>
      </c>
      <c r="S81" s="2"/>
      <c r="T81" s="6">
        <v>1275.6300000000001</v>
      </c>
      <c r="U81" s="2"/>
      <c r="V81" s="7">
        <f t="shared" si="53"/>
        <v>0</v>
      </c>
      <c r="W81" s="2"/>
      <c r="X81" s="6">
        <f t="shared" si="54"/>
        <v>-785.15000000000009</v>
      </c>
      <c r="Y81" s="2"/>
      <c r="Z81" s="7">
        <f t="shared" si="55"/>
        <v>-0.61549979225951101</v>
      </c>
    </row>
    <row r="82" spans="1:26" s="27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SUM(OSRRefD22_16x_0)</f>
        <v>485</v>
      </c>
      <c r="E82" s="1"/>
      <c r="F82" s="5">
        <f t="shared" ref="F82:F89" si="56">IF(D$12=0,0,D82/D$12)</f>
        <v>0</v>
      </c>
      <c r="G82" s="1"/>
      <c r="H82" s="1">
        <f>SUM(OSRRefH22_16x_0)</f>
        <v>491.2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-6.1999999999999886</v>
      </c>
      <c r="M82" s="1"/>
      <c r="N82" s="5">
        <f t="shared" ref="N82:N89" si="59">IF(H82=0,0,L82/H82)</f>
        <v>-1.2622149837133528E-2</v>
      </c>
      <c r="O82" s="13"/>
      <c r="P82" s="1">
        <f>SUM(OSRRefP22_16x_0)</f>
        <v>4907.9399999999996</v>
      </c>
      <c r="Q82" s="1"/>
      <c r="R82" s="5">
        <f t="shared" ref="R82:R89" si="60">IF(P$12=0,0,P82/P$12)</f>
        <v>0</v>
      </c>
      <c r="S82" s="1"/>
      <c r="T82" s="1">
        <f>SUM(OSRRefT22_16x_0)</f>
        <v>4794.45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113.48999999999978</v>
      </c>
      <c r="Y82" s="1"/>
      <c r="Z82" s="5">
        <f t="shared" ref="Z82:Z89" si="63">IF(T82=0,0,X82/T82)</f>
        <v>2.3671119732190299E-2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485</v>
      </c>
      <c r="E83" s="2"/>
      <c r="F83" s="7">
        <f t="shared" si="56"/>
        <v>0</v>
      </c>
      <c r="G83" s="2"/>
      <c r="H83" s="6">
        <v>491.2</v>
      </c>
      <c r="I83" s="2"/>
      <c r="J83" s="7">
        <f t="shared" si="57"/>
        <v>0</v>
      </c>
      <c r="K83" s="2"/>
      <c r="L83" s="6">
        <f t="shared" si="58"/>
        <v>-6.1999999999999886</v>
      </c>
      <c r="M83" s="2"/>
      <c r="N83" s="7">
        <f t="shared" si="59"/>
        <v>-1.2622149837133528E-2</v>
      </c>
      <c r="O83" s="11"/>
      <c r="P83" s="6">
        <v>4907.9399999999996</v>
      </c>
      <c r="Q83" s="2"/>
      <c r="R83" s="7">
        <f t="shared" si="60"/>
        <v>0</v>
      </c>
      <c r="S83" s="2"/>
      <c r="T83" s="6">
        <v>4794.45</v>
      </c>
      <c r="U83" s="2"/>
      <c r="V83" s="7">
        <f t="shared" si="61"/>
        <v>0</v>
      </c>
      <c r="W83" s="2"/>
      <c r="X83" s="6">
        <f t="shared" si="62"/>
        <v>113.48999999999978</v>
      </c>
      <c r="Y83" s="2"/>
      <c r="Z83" s="7">
        <f t="shared" si="63"/>
        <v>2.3671119732190299E-2</v>
      </c>
    </row>
    <row r="84" spans="1:26" s="27" customFormat="1" outlineLevel="1" collapsed="1" x14ac:dyDescent="0.25">
      <c r="A84" s="25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SUM(OSRRefD22_17x_0)</f>
        <v>0</v>
      </c>
      <c r="E84" s="1"/>
      <c r="F84" s="5">
        <f t="shared" si="56"/>
        <v>0</v>
      </c>
      <c r="G84" s="1"/>
      <c r="H84" s="1">
        <f>SUM(OSRRefH22_17x_0)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3"/>
      <c r="P84" s="1">
        <f>SUM(OSRRefP22_17x_0)</f>
        <v>240</v>
      </c>
      <c r="Q84" s="1"/>
      <c r="R84" s="5">
        <f t="shared" si="60"/>
        <v>0</v>
      </c>
      <c r="S84" s="1"/>
      <c r="T84" s="1">
        <f>SUM(OSRRefT22_17x_0)</f>
        <v>170</v>
      </c>
      <c r="U84" s="1"/>
      <c r="V84" s="5">
        <f t="shared" si="61"/>
        <v>0</v>
      </c>
      <c r="W84" s="1"/>
      <c r="X84" s="1">
        <f t="shared" si="62"/>
        <v>70</v>
      </c>
      <c r="Y84" s="1"/>
      <c r="Z84" s="5">
        <f t="shared" si="63"/>
        <v>0.41176470588235292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1"/>
      <c r="P85" s="6">
        <v>240</v>
      </c>
      <c r="Q85" s="2"/>
      <c r="R85" s="7">
        <f t="shared" si="60"/>
        <v>0</v>
      </c>
      <c r="S85" s="2"/>
      <c r="T85" s="6">
        <v>170</v>
      </c>
      <c r="U85" s="2"/>
      <c r="V85" s="7">
        <f t="shared" si="61"/>
        <v>0</v>
      </c>
      <c r="W85" s="2"/>
      <c r="X85" s="6">
        <f t="shared" si="62"/>
        <v>70</v>
      </c>
      <c r="Y85" s="2"/>
      <c r="Z85" s="7">
        <f t="shared" si="63"/>
        <v>0.41176470588235292</v>
      </c>
    </row>
    <row r="86" spans="1:26" s="27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SUM(OSRRefD22_18x_0)</f>
        <v>0</v>
      </c>
      <c r="E86" s="1"/>
      <c r="F86" s="5">
        <f t="shared" si="56"/>
        <v>0</v>
      </c>
      <c r="G86" s="1"/>
      <c r="H86" s="1">
        <f>SUM(OSRRefH22_18x_0)</f>
        <v>271.87</v>
      </c>
      <c r="I86" s="1"/>
      <c r="J86" s="5">
        <f t="shared" si="57"/>
        <v>0</v>
      </c>
      <c r="K86" s="1"/>
      <c r="L86" s="1">
        <f t="shared" si="58"/>
        <v>-271.87</v>
      </c>
      <c r="M86" s="1"/>
      <c r="N86" s="5">
        <f t="shared" si="59"/>
        <v>-1</v>
      </c>
      <c r="O86" s="13"/>
      <c r="P86" s="1">
        <f>SUM(OSRRefP22_18x_0)</f>
        <v>2300.86</v>
      </c>
      <c r="Q86" s="1"/>
      <c r="R86" s="5">
        <f t="shared" si="60"/>
        <v>0</v>
      </c>
      <c r="S86" s="1"/>
      <c r="T86" s="1">
        <f>SUM(OSRRefT22_18x_0)</f>
        <v>2786.87</v>
      </c>
      <c r="U86" s="1"/>
      <c r="V86" s="5">
        <f t="shared" si="61"/>
        <v>0</v>
      </c>
      <c r="W86" s="1"/>
      <c r="X86" s="1">
        <f t="shared" si="62"/>
        <v>-486.00999999999976</v>
      </c>
      <c r="Y86" s="1"/>
      <c r="Z86" s="5">
        <f t="shared" si="63"/>
        <v>-0.17439277756048893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6"/>
        <v>0</v>
      </c>
      <c r="G87" s="2"/>
      <c r="H87" s="6">
        <v>60.73</v>
      </c>
      <c r="I87" s="2"/>
      <c r="J87" s="7">
        <f t="shared" si="57"/>
        <v>0</v>
      </c>
      <c r="K87" s="2"/>
      <c r="L87" s="6">
        <f t="shared" si="58"/>
        <v>-60.73</v>
      </c>
      <c r="M87" s="2"/>
      <c r="N87" s="7">
        <f t="shared" si="59"/>
        <v>-1</v>
      </c>
      <c r="O87" s="11"/>
      <c r="P87" s="6">
        <v>966.72</v>
      </c>
      <c r="Q87" s="2"/>
      <c r="R87" s="7">
        <f t="shared" si="60"/>
        <v>0</v>
      </c>
      <c r="S87" s="2"/>
      <c r="T87" s="6">
        <v>1466.67</v>
      </c>
      <c r="U87" s="2"/>
      <c r="V87" s="7">
        <f t="shared" si="61"/>
        <v>0</v>
      </c>
      <c r="W87" s="2"/>
      <c r="X87" s="6">
        <f t="shared" si="62"/>
        <v>-499.95000000000005</v>
      </c>
      <c r="Y87" s="2"/>
      <c r="Z87" s="7">
        <f t="shared" si="63"/>
        <v>-0.34087422528585165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1"/>
      <c r="P88" s="6">
        <v>45.49</v>
      </c>
      <c r="Q88" s="2"/>
      <c r="R88" s="7">
        <f t="shared" si="60"/>
        <v>0</v>
      </c>
      <c r="S88" s="2"/>
      <c r="T88" s="6">
        <v>29.49</v>
      </c>
      <c r="U88" s="2"/>
      <c r="V88" s="7">
        <f t="shared" si="61"/>
        <v>0</v>
      </c>
      <c r="W88" s="2"/>
      <c r="X88" s="6">
        <f t="shared" si="62"/>
        <v>16.000000000000004</v>
      </c>
      <c r="Y88" s="2"/>
      <c r="Z88" s="7">
        <f t="shared" si="63"/>
        <v>0.54255679891488651</v>
      </c>
    </row>
    <row r="89" spans="1:26" s="24" customFormat="1" hidden="1" outlineLevel="2" x14ac:dyDescent="0.25">
      <c r="A89" s="26"/>
      <c r="B89" s="11" t="str">
        <f>CONCATENATE("          ", "6298", " - ", "VEHICLE MILEAGE")</f>
        <v xml:space="preserve">          6298 - VEHICLE MILEAGE</v>
      </c>
      <c r="C89" s="11"/>
      <c r="D89" s="6"/>
      <c r="E89" s="2"/>
      <c r="F89" s="7">
        <f t="shared" si="56"/>
        <v>0</v>
      </c>
      <c r="G89" s="2"/>
      <c r="H89" s="6">
        <v>211.14</v>
      </c>
      <c r="I89" s="2"/>
      <c r="J89" s="7">
        <f t="shared" si="57"/>
        <v>0</v>
      </c>
      <c r="K89" s="2"/>
      <c r="L89" s="6">
        <f t="shared" si="58"/>
        <v>-211.14</v>
      </c>
      <c r="M89" s="2"/>
      <c r="N89" s="7">
        <f t="shared" si="59"/>
        <v>-1</v>
      </c>
      <c r="O89" s="11"/>
      <c r="P89" s="6">
        <v>1288.6500000000001</v>
      </c>
      <c r="Q89" s="2"/>
      <c r="R89" s="7">
        <f t="shared" si="60"/>
        <v>0</v>
      </c>
      <c r="S89" s="2"/>
      <c r="T89" s="6">
        <v>1290.71</v>
      </c>
      <c r="U89" s="2"/>
      <c r="V89" s="7">
        <f t="shared" si="61"/>
        <v>0</v>
      </c>
      <c r="W89" s="2"/>
      <c r="X89" s="6">
        <f t="shared" si="62"/>
        <v>-2.0599999999999454</v>
      </c>
      <c r="Y89" s="2"/>
      <c r="Z89" s="7">
        <f t="shared" si="63"/>
        <v>-1.596020794756332E-3</v>
      </c>
    </row>
    <row r="90" spans="1:26" s="27" customFormat="1" outlineLevel="1" collapsed="1" x14ac:dyDescent="0.25">
      <c r="A90" s="25"/>
      <c r="B90" s="13" t="str">
        <f>CONCATENATE("     ","Utilities                                         ")</f>
        <v xml:space="preserve">     Utilities                                         </v>
      </c>
      <c r="C90" s="13"/>
      <c r="D90" s="1">
        <f>SUM(OSRRefD22_19x_0)</f>
        <v>12923</v>
      </c>
      <c r="E90" s="1"/>
      <c r="F90" s="5">
        <f t="shared" ref="F90:F91" si="64">IF(D$12=0,0,D90/D$12)</f>
        <v>0</v>
      </c>
      <c r="G90" s="1"/>
      <c r="H90" s="1">
        <f>SUM(OSRRefH22_19x_0)</f>
        <v>11354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1569</v>
      </c>
      <c r="M90" s="1"/>
      <c r="N90" s="5">
        <f t="shared" ref="N90:N91" si="67">IF(H90=0,0,L90/H90)</f>
        <v>0.13818918442839528</v>
      </c>
      <c r="O90" s="13"/>
      <c r="P90" s="1">
        <f>SUM(OSRRefP22_19x_0)</f>
        <v>146206</v>
      </c>
      <c r="Q90" s="1"/>
      <c r="R90" s="5">
        <f t="shared" ref="R90:R91" si="68">IF(P$12=0,0,P90/P$12)</f>
        <v>0</v>
      </c>
      <c r="S90" s="1"/>
      <c r="T90" s="1">
        <f>SUM(OSRRefT22_19x_0)</f>
        <v>104643.71999999999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41562.280000000013</v>
      </c>
      <c r="Y90" s="1"/>
      <c r="Z90" s="5">
        <f t="shared" ref="Z90:Z91" si="71">IF(T90=0,0,X90/T90)</f>
        <v>0.39717892292055385</v>
      </c>
    </row>
    <row r="91" spans="1:26" s="24" customFormat="1" hidden="1" outlineLevel="2" x14ac:dyDescent="0.25">
      <c r="A91" s="26"/>
      <c r="B91" s="11" t="str">
        <f>CONCATENATE("          ", "6274", " - ", "UTILITIES")</f>
        <v xml:space="preserve">          6274 - UTILITIES</v>
      </c>
      <c r="C91" s="11"/>
      <c r="D91" s="6">
        <v>12923</v>
      </c>
      <c r="E91" s="2"/>
      <c r="F91" s="7">
        <f t="shared" si="64"/>
        <v>0</v>
      </c>
      <c r="G91" s="2"/>
      <c r="H91" s="6">
        <v>11354</v>
      </c>
      <c r="I91" s="2"/>
      <c r="J91" s="7">
        <f t="shared" si="65"/>
        <v>0</v>
      </c>
      <c r="K91" s="2"/>
      <c r="L91" s="6">
        <f t="shared" si="66"/>
        <v>1569</v>
      </c>
      <c r="M91" s="2"/>
      <c r="N91" s="7">
        <f t="shared" si="67"/>
        <v>0.13818918442839528</v>
      </c>
      <c r="O91" s="11"/>
      <c r="P91" s="6">
        <v>146206</v>
      </c>
      <c r="Q91" s="2"/>
      <c r="R91" s="7">
        <f t="shared" si="68"/>
        <v>0</v>
      </c>
      <c r="S91" s="2"/>
      <c r="T91" s="6">
        <v>104643.71999999999</v>
      </c>
      <c r="U91" s="2"/>
      <c r="V91" s="7">
        <f t="shared" si="69"/>
        <v>0</v>
      </c>
      <c r="W91" s="2"/>
      <c r="X91" s="6">
        <f t="shared" si="70"/>
        <v>41562.280000000013</v>
      </c>
      <c r="Y91" s="2"/>
      <c r="Z91" s="7">
        <f t="shared" si="71"/>
        <v>0.39717892292055385</v>
      </c>
    </row>
    <row r="92" spans="1:26" s="58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8" t="s">
        <v>0</v>
      </c>
      <c r="C93" s="10"/>
      <c r="D93" s="4">
        <f>SUM(OSRRefD25x_0)</f>
        <v>0</v>
      </c>
      <c r="E93" s="4"/>
      <c r="F93" s="12">
        <f t="shared" ref="F93:F95" si="72">IF(D$12=0,0,D93/D$12)</f>
        <v>0</v>
      </c>
      <c r="G93" s="4"/>
      <c r="H93" s="4">
        <f>SUM(OSRRefH25x_0)</f>
        <v>8318.7099999999991</v>
      </c>
      <c r="I93" s="4"/>
      <c r="J93" s="12">
        <f t="shared" ref="J93:J95" si="73">IF(H$12=0,0,H93/H$12)</f>
        <v>0</v>
      </c>
      <c r="K93" s="4"/>
      <c r="L93" s="4">
        <f t="shared" ref="L93:L95" si="74">+D93-H93</f>
        <v>-8318.7099999999991</v>
      </c>
      <c r="M93" s="4"/>
      <c r="N93" s="12">
        <f t="shared" ref="N93:N95" si="75">IF(H93=0,0,L93/H93)</f>
        <v>-1</v>
      </c>
      <c r="O93" s="10"/>
      <c r="P93" s="4">
        <f>SUM(OSRRefP25x_0)</f>
        <v>111740.72</v>
      </c>
      <c r="Q93" s="4"/>
      <c r="R93" s="12">
        <f t="shared" ref="R93:R95" si="76">IF(P$12=0,0,P93/P$12)</f>
        <v>0</v>
      </c>
      <c r="S93" s="4"/>
      <c r="T93" s="4">
        <f>SUM(OSRRefT25x_0)</f>
        <v>129947.73</v>
      </c>
      <c r="U93" s="4"/>
      <c r="V93" s="12">
        <f t="shared" ref="V93:V95" si="77">IF(T$12=0,0,T93/T$12)</f>
        <v>0</v>
      </c>
      <c r="W93" s="4"/>
      <c r="X93" s="4">
        <f t="shared" ref="X93:X95" si="78">+P93-T93</f>
        <v>-18207.009999999995</v>
      </c>
      <c r="Y93" s="4"/>
      <c r="Z93" s="12">
        <f t="shared" ref="Z93:Z95" si="79">IF(T93=0,0,X93/T93)</f>
        <v>-0.14011025817842293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 t="shared" ref="D94:D95" si="80">0</f>
        <v>0</v>
      </c>
      <c r="E94" s="2"/>
      <c r="F94" s="19">
        <f t="shared" si="72"/>
        <v>0</v>
      </c>
      <c r="G94" s="2"/>
      <c r="H94" s="2">
        <f>--8318.71</f>
        <v>8318.7099999999991</v>
      </c>
      <c r="I94" s="2"/>
      <c r="J94" s="19">
        <f t="shared" si="73"/>
        <v>0</v>
      </c>
      <c r="K94" s="2"/>
      <c r="L94" s="2">
        <f t="shared" si="74"/>
        <v>-8318.7099999999991</v>
      </c>
      <c r="M94" s="2"/>
      <c r="N94" s="19">
        <f t="shared" si="75"/>
        <v>-1</v>
      </c>
      <c r="O94" s="11"/>
      <c r="P94" s="2">
        <f>--109690.69</f>
        <v>109690.69</v>
      </c>
      <c r="Q94" s="2"/>
      <c r="R94" s="19">
        <f t="shared" si="76"/>
        <v>0</v>
      </c>
      <c r="S94" s="2"/>
      <c r="T94" s="2">
        <f>--128161.04</f>
        <v>128161.04</v>
      </c>
      <c r="U94" s="2"/>
      <c r="V94" s="19">
        <f t="shared" si="77"/>
        <v>0</v>
      </c>
      <c r="W94" s="2"/>
      <c r="X94" s="2">
        <f t="shared" si="78"/>
        <v>-18470.349999999991</v>
      </c>
      <c r="Y94" s="2"/>
      <c r="Z94" s="19">
        <f t="shared" si="79"/>
        <v>-0.14411829055070083</v>
      </c>
    </row>
    <row r="95" spans="1:26" s="24" customFormat="1" hidden="1" outlineLevel="1" x14ac:dyDescent="0.25">
      <c r="A95" s="44"/>
      <c r="B95" s="11" t="str">
        <f>CONCATENATE("          ", "9160", " - ", "MISC. INCOME")</f>
        <v xml:space="preserve">          9160 - MISC. INCOME</v>
      </c>
      <c r="C95" s="11"/>
      <c r="D95" s="2">
        <f t="shared" si="80"/>
        <v>0</v>
      </c>
      <c r="E95" s="2"/>
      <c r="F95" s="19">
        <f t="shared" si="72"/>
        <v>0</v>
      </c>
      <c r="G95" s="2"/>
      <c r="H95" s="2">
        <f>0</f>
        <v>0</v>
      </c>
      <c r="I95" s="2"/>
      <c r="J95" s="19">
        <f t="shared" si="73"/>
        <v>0</v>
      </c>
      <c r="K95" s="2"/>
      <c r="L95" s="2">
        <f t="shared" si="74"/>
        <v>0</v>
      </c>
      <c r="M95" s="2"/>
      <c r="N95" s="19">
        <f t="shared" si="75"/>
        <v>0</v>
      </c>
      <c r="O95" s="11"/>
      <c r="P95" s="2">
        <f>--2050.03</f>
        <v>2050.0300000000002</v>
      </c>
      <c r="Q95" s="2"/>
      <c r="R95" s="19">
        <f t="shared" si="76"/>
        <v>0</v>
      </c>
      <c r="S95" s="2"/>
      <c r="T95" s="2">
        <f>--1786.69</f>
        <v>1786.69</v>
      </c>
      <c r="U95" s="2"/>
      <c r="V95" s="19">
        <f t="shared" si="77"/>
        <v>0</v>
      </c>
      <c r="W95" s="2"/>
      <c r="X95" s="2">
        <f t="shared" si="78"/>
        <v>263.34000000000015</v>
      </c>
      <c r="Y95" s="2"/>
      <c r="Z95" s="19">
        <f t="shared" si="79"/>
        <v>0.14738986617712091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1">
        <f>+D16-D18+D93</f>
        <v>-41333.24</v>
      </c>
      <c r="E97" s="14"/>
      <c r="F97" s="20">
        <f>IF(D$12=0,0,D97/D$12)</f>
        <v>0</v>
      </c>
      <c r="G97" s="14"/>
      <c r="H97" s="21">
        <f>+H16-H18+H93</f>
        <v>-82474.19</v>
      </c>
      <c r="I97" s="14"/>
      <c r="J97" s="20">
        <f>IF(H$12=0,0,H97/H$12)</f>
        <v>0</v>
      </c>
      <c r="K97" s="16"/>
      <c r="L97" s="21">
        <f>+D97-H97</f>
        <v>41140.950000000004</v>
      </c>
      <c r="M97" s="16"/>
      <c r="N97" s="20">
        <f>IF(H97=0,0,L97/H97)</f>
        <v>-0.49883424135478022</v>
      </c>
      <c r="O97" s="28"/>
      <c r="P97" s="21">
        <f>+P16-P18+P93</f>
        <v>-859642.87</v>
      </c>
      <c r="Q97" s="14"/>
      <c r="R97" s="20">
        <f>IF(P$12=0,0,P97/P$12)</f>
        <v>0</v>
      </c>
      <c r="S97" s="14"/>
      <c r="T97" s="21">
        <f>+T16-T18+T93</f>
        <v>-893966.74999999977</v>
      </c>
      <c r="U97" s="14"/>
      <c r="V97" s="20">
        <f>IF(T$12=0,0,T97/T$12)</f>
        <v>0</v>
      </c>
      <c r="W97" s="16"/>
      <c r="X97" s="21">
        <f>+P97-T97</f>
        <v>34323.879999999772</v>
      </c>
      <c r="Y97" s="16"/>
      <c r="Z97" s="20">
        <f>IF(T97=0,0,X97/T97)</f>
        <v>-3.8395029792774489E-2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13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5">
        <f>+D97-D99</f>
        <v>-41333.24</v>
      </c>
      <c r="E101" s="14"/>
      <c r="F101" s="32">
        <f>IF(D$12=0,0,D101/D$12)</f>
        <v>0</v>
      </c>
      <c r="G101" s="14"/>
      <c r="H101" s="35">
        <f>+H97-H99</f>
        <v>-82474.19</v>
      </c>
      <c r="I101" s="14"/>
      <c r="J101" s="32">
        <f>IF(H$12=0,0,H101/H$12)</f>
        <v>0</v>
      </c>
      <c r="K101" s="16"/>
      <c r="L101" s="35">
        <f>D101-H101</f>
        <v>41140.950000000004</v>
      </c>
      <c r="M101" s="16"/>
      <c r="N101" s="32">
        <f>IF(H101=0,0,L101/H101)</f>
        <v>-0.49883424135478022</v>
      </c>
      <c r="O101" s="28"/>
      <c r="P101" s="35">
        <f>+P97-P99</f>
        <v>-859642.87</v>
      </c>
      <c r="Q101" s="14"/>
      <c r="R101" s="32">
        <f>IF(P$12=0,0,P101/P$12)</f>
        <v>0</v>
      </c>
      <c r="S101" s="14"/>
      <c r="T101" s="35">
        <f>+T97-T99</f>
        <v>-893966.74999999977</v>
      </c>
      <c r="U101" s="14"/>
      <c r="V101" s="32">
        <f>IF(T$12=0,0,T101/T$12)</f>
        <v>0</v>
      </c>
      <c r="W101" s="16"/>
      <c r="X101" s="35">
        <f>P101-T101</f>
        <v>34323.879999999772</v>
      </c>
      <c r="Y101" s="16"/>
      <c r="Z101" s="32">
        <f>IF(T101=0,0,X101/T101)</f>
        <v>-3.8395029792774489E-2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6">
        <f>SUM(D101:D103)</f>
        <v>-41333.24</v>
      </c>
      <c r="E104" s="14"/>
      <c r="F104" s="33">
        <f>IF(D$12=0,0,D104/D$12)</f>
        <v>0</v>
      </c>
      <c r="G104" s="14"/>
      <c r="H104" s="36">
        <f>SUM(H101:H103)</f>
        <v>-82474.19</v>
      </c>
      <c r="I104" s="14"/>
      <c r="J104" s="33">
        <f>IF(H$12=0,0,H104/H$12)</f>
        <v>0</v>
      </c>
      <c r="K104" s="16"/>
      <c r="L104" s="36">
        <f>+D104-H104</f>
        <v>41140.950000000004</v>
      </c>
      <c r="M104" s="16"/>
      <c r="N104" s="33">
        <f>IF(H104=0,0,L104/H104)</f>
        <v>-0.49883424135478022</v>
      </c>
      <c r="O104" s="28"/>
      <c r="P104" s="36">
        <f>SUM(P101:P103)</f>
        <v>-859642.87</v>
      </c>
      <c r="Q104" s="14"/>
      <c r="R104" s="33">
        <f>IF(P$12=0,0,P104/P$12)</f>
        <v>0</v>
      </c>
      <c r="S104" s="14"/>
      <c r="T104" s="36">
        <f>SUM(T101:T103)</f>
        <v>-893966.74999999977</v>
      </c>
      <c r="U104" s="14"/>
      <c r="V104" s="33">
        <f>IF(T$12=0,0,T104/T$12)</f>
        <v>0</v>
      </c>
      <c r="W104" s="16"/>
      <c r="X104" s="36">
        <f>+P104-T104</f>
        <v>34323.879999999772</v>
      </c>
      <c r="Y104" s="16"/>
      <c r="Z104" s="33">
        <f>IF(T104=0,0,X104/T104)</f>
        <v>-3.8395029792774489E-2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5">
        <v>43992.375885567133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2" t="s">
        <v>313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3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119078.5</v>
      </c>
      <c r="I12" s="4"/>
      <c r="J12" s="12"/>
      <c r="K12" s="4"/>
      <c r="L12" s="4">
        <f t="shared" ref="L12:L15" si="0">+D12-H12</f>
        <v>-119078.5</v>
      </c>
      <c r="M12" s="4"/>
      <c r="N12" s="12">
        <f t="shared" ref="N12:N15" si="1">IF(H12=0,0,L12/H12)</f>
        <v>-1</v>
      </c>
      <c r="O12" s="10"/>
      <c r="P12" s="4">
        <f>SUM(OSRRefP13x_0)</f>
        <v>379973.86</v>
      </c>
      <c r="Q12" s="4"/>
      <c r="R12" s="12"/>
      <c r="S12" s="4"/>
      <c r="T12" s="4">
        <f>SUM(OSRRefT13x_0)</f>
        <v>1042758.56</v>
      </c>
      <c r="U12" s="4"/>
      <c r="V12" s="12"/>
      <c r="W12" s="4"/>
      <c r="X12" s="4">
        <f t="shared" ref="X12:X15" si="2">+P12-T12</f>
        <v>-662784.70000000007</v>
      </c>
      <c r="Y12" s="4"/>
      <c r="Z12" s="12">
        <f t="shared" ref="Z12:Z15" si="3">IF(T12=0,0,X12/T12)</f>
        <v>-0.63560705749564883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5" si="4">0</f>
        <v>0</v>
      </c>
      <c r="E13" s="2"/>
      <c r="F13" s="19"/>
      <c r="G13" s="2"/>
      <c r="H13" s="2">
        <f>--113365.71</f>
        <v>113365.71</v>
      </c>
      <c r="I13" s="2"/>
      <c r="J13" s="19"/>
      <c r="K13" s="2"/>
      <c r="L13" s="2">
        <f t="shared" si="0"/>
        <v>-113365.71</v>
      </c>
      <c r="M13" s="2"/>
      <c r="N13" s="19">
        <f t="shared" si="1"/>
        <v>-1</v>
      </c>
      <c r="O13" s="11"/>
      <c r="P13" s="2">
        <f>--329896.47</f>
        <v>329896.46999999997</v>
      </c>
      <c r="Q13" s="2"/>
      <c r="R13" s="19"/>
      <c r="S13" s="2"/>
      <c r="T13" s="2">
        <f>--966087.93</f>
        <v>966087.93</v>
      </c>
      <c r="U13" s="2"/>
      <c r="V13" s="19"/>
      <c r="W13" s="2"/>
      <c r="X13" s="2">
        <f t="shared" si="2"/>
        <v>-636191.46000000008</v>
      </c>
      <c r="Y13" s="2"/>
      <c r="Z13" s="19">
        <f t="shared" si="3"/>
        <v>-0.65852334993979278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--5712.79</f>
        <v>5712.79</v>
      </c>
      <c r="I14" s="2"/>
      <c r="J14" s="19"/>
      <c r="K14" s="2"/>
      <c r="L14" s="2">
        <f t="shared" si="0"/>
        <v>-5712.79</v>
      </c>
      <c r="M14" s="2"/>
      <c r="N14" s="19">
        <f t="shared" si="1"/>
        <v>-1</v>
      </c>
      <c r="O14" s="11"/>
      <c r="P14" s="2">
        <f>--50077.39</f>
        <v>50077.39</v>
      </c>
      <c r="Q14" s="2"/>
      <c r="R14" s="19"/>
      <c r="S14" s="2"/>
      <c r="T14" s="2">
        <f>--76143.5</f>
        <v>76143.5</v>
      </c>
      <c r="U14" s="2"/>
      <c r="V14" s="19"/>
      <c r="W14" s="2"/>
      <c r="X14" s="2">
        <f t="shared" si="2"/>
        <v>-26066.11</v>
      </c>
      <c r="Y14" s="2"/>
      <c r="Z14" s="19">
        <f t="shared" si="3"/>
        <v>-0.34232876082659713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31756.959999999999</v>
      </c>
      <c r="I17" s="4"/>
      <c r="J17" s="12">
        <f t="shared" ref="J17:J19" si="6">IF(H$12=0,0,H17/H$12)</f>
        <v>0.26668928479952297</v>
      </c>
      <c r="K17" s="4"/>
      <c r="L17" s="4">
        <f t="shared" ref="L17:L19" si="7">+D17-H17</f>
        <v>-31756.959999999999</v>
      </c>
      <c r="M17" s="4"/>
      <c r="N17" s="12">
        <f t="shared" ref="N17:N19" si="8">IF(H17=0,0,L17/H17)</f>
        <v>-1</v>
      </c>
      <c r="O17" s="10"/>
      <c r="P17" s="4">
        <f>SUM(OSRRefP16x_0)</f>
        <v>202331.49</v>
      </c>
      <c r="Q17" s="4"/>
      <c r="R17" s="12">
        <f t="shared" ref="R17:R19" si="9">IF(P$12=0,0,P17/P$12)</f>
        <v>0.53248791903737802</v>
      </c>
      <c r="S17" s="4"/>
      <c r="T17" s="4">
        <f>SUM(OSRRefT16x_0)</f>
        <v>313094.06</v>
      </c>
      <c r="U17" s="4"/>
      <c r="V17" s="12">
        <f t="shared" ref="V17:V19" si="10">IF(T$12=0,0,T17/T$12)</f>
        <v>0.3002555644328635</v>
      </c>
      <c r="W17" s="4"/>
      <c r="X17" s="4">
        <f t="shared" ref="X17:X19" si="11">+P17-T17</f>
        <v>-110762.57</v>
      </c>
      <c r="Y17" s="4"/>
      <c r="Z17" s="12">
        <f t="shared" ref="Z17:Z19" si="12">IF(T17=0,0,X17/T17)</f>
        <v>-0.35376771440505772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31756.959999999999</v>
      </c>
      <c r="I18" s="2"/>
      <c r="J18" s="19">
        <f t="shared" si="6"/>
        <v>0.26668928479952297</v>
      </c>
      <c r="K18" s="2"/>
      <c r="L18" s="2">
        <f t="shared" si="7"/>
        <v>-31756.959999999999</v>
      </c>
      <c r="M18" s="2"/>
      <c r="N18" s="19">
        <f t="shared" si="8"/>
        <v>-1</v>
      </c>
      <c r="O18" s="11"/>
      <c r="P18" s="2">
        <v>216281.49</v>
      </c>
      <c r="Q18" s="2"/>
      <c r="R18" s="19">
        <f t="shared" si="9"/>
        <v>0.56920097082467724</v>
      </c>
      <c r="S18" s="2"/>
      <c r="T18" s="2">
        <v>313094.06</v>
      </c>
      <c r="U18" s="2"/>
      <c r="V18" s="19">
        <f t="shared" si="10"/>
        <v>0.3002555644328635</v>
      </c>
      <c r="W18" s="2"/>
      <c r="X18" s="2">
        <f t="shared" si="11"/>
        <v>-96812.57</v>
      </c>
      <c r="Y18" s="2"/>
      <c r="Z18" s="19">
        <f t="shared" si="12"/>
        <v>-0.30921241367530261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-13950</v>
      </c>
      <c r="Q19" s="2"/>
      <c r="R19" s="19">
        <f t="shared" si="9"/>
        <v>-3.6713051787299264E-2</v>
      </c>
      <c r="S19" s="2"/>
      <c r="T19" s="2"/>
      <c r="U19" s="2"/>
      <c r="V19" s="19">
        <f t="shared" si="10"/>
        <v>0</v>
      </c>
      <c r="W19" s="2"/>
      <c r="X19" s="2">
        <f t="shared" si="11"/>
        <v>-13950</v>
      </c>
      <c r="Y19" s="2"/>
      <c r="Z19" s="19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0</v>
      </c>
      <c r="E21" s="14"/>
      <c r="F21" s="20">
        <f>IF(D$12=0,0,D21/D$12)</f>
        <v>0</v>
      </c>
      <c r="G21" s="14"/>
      <c r="H21" s="21">
        <f>H12-H17</f>
        <v>87321.540000000008</v>
      </c>
      <c r="I21" s="14"/>
      <c r="J21" s="20">
        <f>IF(H$12=0,0,H21/H$12)</f>
        <v>0.73331071520047708</v>
      </c>
      <c r="K21" s="16"/>
      <c r="L21" s="21">
        <f>+D21-H21</f>
        <v>-87321.540000000008</v>
      </c>
      <c r="M21" s="16"/>
      <c r="N21" s="20">
        <f>IF(H21=0,0,L21/H21)</f>
        <v>-1</v>
      </c>
      <c r="O21" s="28"/>
      <c r="P21" s="21">
        <f>P12-P17</f>
        <v>177642.37</v>
      </c>
      <c r="Q21" s="14"/>
      <c r="R21" s="20">
        <f>IF(P$12=0,0,P21/P$12)</f>
        <v>0.46751208096262203</v>
      </c>
      <c r="S21" s="14"/>
      <c r="T21" s="21">
        <f>T12-T17</f>
        <v>729664.5</v>
      </c>
      <c r="U21" s="14"/>
      <c r="V21" s="20">
        <f>IF(T$12=0,0,T21/T$12)</f>
        <v>0.69974443556713639</v>
      </c>
      <c r="W21" s="16"/>
      <c r="X21" s="21">
        <f>+P21-T21</f>
        <v>-552022.13</v>
      </c>
      <c r="Y21" s="16"/>
      <c r="Z21" s="20">
        <f>IF(T21=0,0,X21/T21)</f>
        <v>-0.75654239722502603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379.28</v>
      </c>
      <c r="E23" s="22"/>
      <c r="F23" s="31">
        <f t="shared" ref="F23:F32" si="13">IF(D$12=0,0,D23/D$12)</f>
        <v>0</v>
      </c>
      <c r="G23" s="22"/>
      <c r="H23" s="22">
        <f>SUM(OSRRefH22x_0)</f>
        <v>94811.709999999992</v>
      </c>
      <c r="I23" s="22"/>
      <c r="J23" s="31">
        <f t="shared" ref="J23:J32" si="14">IF(H$12=0,0,H23/H$12)</f>
        <v>0.79621182665216639</v>
      </c>
      <c r="K23" s="4"/>
      <c r="L23" s="22">
        <f t="shared" ref="L23:L32" si="15">+D23-H23</f>
        <v>-94432.43</v>
      </c>
      <c r="M23" s="4"/>
      <c r="N23" s="31">
        <f t="shared" ref="N23:N32" si="16">IF(H23=0,0,L23/H23)</f>
        <v>-0.99599965025417225</v>
      </c>
      <c r="O23" s="10"/>
      <c r="P23" s="22">
        <f>SUM(OSRRefP22x_0)</f>
        <v>340200.53999999992</v>
      </c>
      <c r="Q23" s="22"/>
      <c r="R23" s="31">
        <f t="shared" ref="R23:R32" si="17">IF(P$12=0,0,P23/P$12)</f>
        <v>0.89532616796323816</v>
      </c>
      <c r="S23" s="22"/>
      <c r="T23" s="22">
        <f>SUM(OSRRefT22x_0)</f>
        <v>669779.6799999997</v>
      </c>
      <c r="U23" s="22"/>
      <c r="V23" s="31">
        <f t="shared" ref="V23:V32" si="18">IF(T$12=0,0,T23/T$12)</f>
        <v>0.64231520669559372</v>
      </c>
      <c r="W23" s="4"/>
      <c r="X23" s="22">
        <f t="shared" ref="X23:X32" si="19">+P23-T23</f>
        <v>-329579.13999999978</v>
      </c>
      <c r="Y23" s="4"/>
      <c r="Z23" s="31">
        <f t="shared" ref="Z23:Z32" si="20">IF(T23=0,0,X23/T23)</f>
        <v>-0.49207097474202255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15653.449999999999</v>
      </c>
      <c r="I24" s="1"/>
      <c r="J24" s="5">
        <f t="shared" si="14"/>
        <v>0.13145488060397131</v>
      </c>
      <c r="K24" s="1"/>
      <c r="L24" s="1">
        <f t="shared" si="15"/>
        <v>-15653.449999999999</v>
      </c>
      <c r="M24" s="1"/>
      <c r="N24" s="5">
        <f t="shared" si="16"/>
        <v>-1</v>
      </c>
      <c r="O24" s="13"/>
      <c r="P24" s="1">
        <f>SUM(OSRRefP22_0x_0)</f>
        <v>77499.010000000009</v>
      </c>
      <c r="Q24" s="1"/>
      <c r="R24" s="5">
        <f t="shared" si="17"/>
        <v>0.20395879337594436</v>
      </c>
      <c r="S24" s="1"/>
      <c r="T24" s="1">
        <f>SUM(OSRRefT22_0x_0)</f>
        <v>140067.24</v>
      </c>
      <c r="U24" s="1"/>
      <c r="V24" s="5">
        <f t="shared" si="18"/>
        <v>0.13432374988127643</v>
      </c>
      <c r="W24" s="1"/>
      <c r="X24" s="1">
        <f t="shared" si="19"/>
        <v>-62568.229999999981</v>
      </c>
      <c r="Y24" s="1"/>
      <c r="Z24" s="5">
        <f t="shared" si="20"/>
        <v>-0.4467013842780081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4546.4799999999996</v>
      </c>
      <c r="I25" s="2"/>
      <c r="J25" s="7">
        <f t="shared" si="14"/>
        <v>3.8180527971044306E-2</v>
      </c>
      <c r="K25" s="2"/>
      <c r="L25" s="6">
        <f t="shared" si="15"/>
        <v>-4546.4799999999996</v>
      </c>
      <c r="M25" s="2"/>
      <c r="N25" s="7">
        <f t="shared" si="16"/>
        <v>-1</v>
      </c>
      <c r="O25" s="11"/>
      <c r="P25" s="6">
        <v>14871.7</v>
      </c>
      <c r="Q25" s="2"/>
      <c r="R25" s="7">
        <f t="shared" si="17"/>
        <v>3.9138744965245768E-2</v>
      </c>
      <c r="S25" s="2"/>
      <c r="T25" s="6">
        <v>28676.99</v>
      </c>
      <c r="U25" s="2"/>
      <c r="V25" s="7">
        <f t="shared" si="18"/>
        <v>2.7501083280486328E-2</v>
      </c>
      <c r="W25" s="2"/>
      <c r="X25" s="6">
        <f t="shared" si="19"/>
        <v>-13805.29</v>
      </c>
      <c r="Y25" s="2"/>
      <c r="Z25" s="7">
        <f t="shared" si="20"/>
        <v>-0.48140652139572526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3"/>
        <v>0</v>
      </c>
      <c r="G26" s="2"/>
      <c r="H26" s="6">
        <v>1471.74</v>
      </c>
      <c r="I26" s="2"/>
      <c r="J26" s="7">
        <f t="shared" si="14"/>
        <v>1.2359409969054028E-2</v>
      </c>
      <c r="K26" s="2"/>
      <c r="L26" s="6">
        <f t="shared" si="15"/>
        <v>-1471.74</v>
      </c>
      <c r="M26" s="2"/>
      <c r="N26" s="7">
        <f t="shared" si="16"/>
        <v>-1</v>
      </c>
      <c r="O26" s="11"/>
      <c r="P26" s="6">
        <v>5449.61</v>
      </c>
      <c r="Q26" s="2"/>
      <c r="R26" s="7">
        <f t="shared" si="17"/>
        <v>1.4342065530507809E-2</v>
      </c>
      <c r="S26" s="2"/>
      <c r="T26" s="6">
        <v>12043.5</v>
      </c>
      <c r="U26" s="2"/>
      <c r="V26" s="7">
        <f t="shared" si="18"/>
        <v>1.1549653449979829E-2</v>
      </c>
      <c r="W26" s="2"/>
      <c r="X26" s="6">
        <f t="shared" si="19"/>
        <v>-6593.89</v>
      </c>
      <c r="Y26" s="2"/>
      <c r="Z26" s="7">
        <f t="shared" si="20"/>
        <v>-0.54750612363515594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3"/>
        <v>0</v>
      </c>
      <c r="G27" s="2"/>
      <c r="H27" s="6">
        <v>5334.36</v>
      </c>
      <c r="I27" s="2"/>
      <c r="J27" s="7">
        <f t="shared" si="14"/>
        <v>4.4797003657251304E-2</v>
      </c>
      <c r="K27" s="2"/>
      <c r="L27" s="6">
        <f t="shared" si="15"/>
        <v>-5334.36</v>
      </c>
      <c r="M27" s="2"/>
      <c r="N27" s="7">
        <f t="shared" si="16"/>
        <v>-1</v>
      </c>
      <c r="O27" s="11"/>
      <c r="P27" s="6">
        <v>36209.82</v>
      </c>
      <c r="Q27" s="2"/>
      <c r="R27" s="7">
        <f t="shared" si="17"/>
        <v>9.5295555331095669E-2</v>
      </c>
      <c r="S27" s="2"/>
      <c r="T27" s="6">
        <v>56042.559999999998</v>
      </c>
      <c r="U27" s="2"/>
      <c r="V27" s="7">
        <f t="shared" si="18"/>
        <v>5.3744521646506546E-2</v>
      </c>
      <c r="W27" s="2"/>
      <c r="X27" s="6">
        <f t="shared" si="19"/>
        <v>-19832.739999999998</v>
      </c>
      <c r="Y27" s="2"/>
      <c r="Z27" s="7">
        <f t="shared" si="20"/>
        <v>-0.35388711721948463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3"/>
        <v>0</v>
      </c>
      <c r="G28" s="2"/>
      <c r="H28" s="6">
        <v>114.02</v>
      </c>
      <c r="I28" s="2"/>
      <c r="J28" s="7">
        <f t="shared" si="14"/>
        <v>9.5751961941072485E-4</v>
      </c>
      <c r="K28" s="2"/>
      <c r="L28" s="6">
        <f t="shared" si="15"/>
        <v>-114.02</v>
      </c>
      <c r="M28" s="2"/>
      <c r="N28" s="7">
        <f t="shared" si="16"/>
        <v>-1</v>
      </c>
      <c r="O28" s="11"/>
      <c r="P28" s="6">
        <v>552.04999999999995</v>
      </c>
      <c r="Q28" s="2"/>
      <c r="R28" s="7">
        <f t="shared" si="17"/>
        <v>1.4528630995826923E-3</v>
      </c>
      <c r="S28" s="2"/>
      <c r="T28" s="6">
        <v>1057.8</v>
      </c>
      <c r="U28" s="2"/>
      <c r="V28" s="7">
        <f t="shared" si="18"/>
        <v>1.0144246622151919E-3</v>
      </c>
      <c r="W28" s="2"/>
      <c r="X28" s="6">
        <f t="shared" si="19"/>
        <v>-505.75</v>
      </c>
      <c r="Y28" s="2"/>
      <c r="Z28" s="7">
        <f t="shared" si="20"/>
        <v>-0.47811495556816036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3"/>
        <v>0</v>
      </c>
      <c r="G29" s="2"/>
      <c r="H29" s="6">
        <v>1079</v>
      </c>
      <c r="I29" s="2"/>
      <c r="J29" s="7">
        <f t="shared" si="14"/>
        <v>9.0612495118766196E-3</v>
      </c>
      <c r="K29" s="2"/>
      <c r="L29" s="6">
        <f t="shared" si="15"/>
        <v>-1079</v>
      </c>
      <c r="M29" s="2"/>
      <c r="N29" s="7">
        <f t="shared" si="16"/>
        <v>-1</v>
      </c>
      <c r="O29" s="11"/>
      <c r="P29" s="6">
        <v>6215.55</v>
      </c>
      <c r="Q29" s="2"/>
      <c r="R29" s="7">
        <f t="shared" si="17"/>
        <v>1.6357835773229242E-2</v>
      </c>
      <c r="S29" s="2"/>
      <c r="T29" s="6">
        <v>13193.1</v>
      </c>
      <c r="U29" s="2"/>
      <c r="V29" s="7">
        <f t="shared" si="18"/>
        <v>1.2652113831604509E-2</v>
      </c>
      <c r="W29" s="2"/>
      <c r="X29" s="6">
        <f t="shared" si="19"/>
        <v>-6977.55</v>
      </c>
      <c r="Y29" s="2"/>
      <c r="Z29" s="7">
        <f t="shared" si="20"/>
        <v>-0.52887873206448821</v>
      </c>
    </row>
    <row r="30" spans="1:26" s="24" customFormat="1" hidden="1" outlineLevel="2" x14ac:dyDescent="0.25">
      <c r="A30" s="26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3"/>
        <v>0</v>
      </c>
      <c r="G30" s="2"/>
      <c r="H30" s="6">
        <v>1391.31</v>
      </c>
      <c r="I30" s="2"/>
      <c r="J30" s="7">
        <f t="shared" si="14"/>
        <v>1.1683973177357794E-2</v>
      </c>
      <c r="K30" s="2"/>
      <c r="L30" s="6">
        <f t="shared" si="15"/>
        <v>-1391.31</v>
      </c>
      <c r="M30" s="2"/>
      <c r="N30" s="7">
        <f t="shared" si="16"/>
        <v>-1</v>
      </c>
      <c r="O30" s="11"/>
      <c r="P30" s="6">
        <v>7805.68</v>
      </c>
      <c r="Q30" s="2"/>
      <c r="R30" s="7">
        <f t="shared" si="17"/>
        <v>2.0542676277783951E-2</v>
      </c>
      <c r="S30" s="2"/>
      <c r="T30" s="6">
        <v>11961.74</v>
      </c>
      <c r="U30" s="2"/>
      <c r="V30" s="7">
        <f t="shared" si="18"/>
        <v>1.1471246038009027E-2</v>
      </c>
      <c r="W30" s="2"/>
      <c r="X30" s="6">
        <f t="shared" si="19"/>
        <v>-4156.0599999999995</v>
      </c>
      <c r="Y30" s="2"/>
      <c r="Z30" s="7">
        <f t="shared" si="20"/>
        <v>-0.3474461073388988</v>
      </c>
    </row>
    <row r="31" spans="1:26" s="24" customFormat="1" hidden="1" outlineLevel="2" x14ac:dyDescent="0.25">
      <c r="A31" s="26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3"/>
        <v>0</v>
      </c>
      <c r="G31" s="2"/>
      <c r="H31" s="6">
        <v>1168.53</v>
      </c>
      <c r="I31" s="2"/>
      <c r="J31" s="7">
        <f t="shared" si="14"/>
        <v>9.8131064801790409E-3</v>
      </c>
      <c r="K31" s="2"/>
      <c r="L31" s="6">
        <f t="shared" si="15"/>
        <v>-1168.53</v>
      </c>
      <c r="M31" s="2"/>
      <c r="N31" s="7">
        <f t="shared" si="16"/>
        <v>-1</v>
      </c>
      <c r="O31" s="11"/>
      <c r="P31" s="6">
        <v>2660.64</v>
      </c>
      <c r="Q31" s="2"/>
      <c r="R31" s="7">
        <f t="shared" si="17"/>
        <v>7.0021658858322516E-3</v>
      </c>
      <c r="S31" s="2"/>
      <c r="T31" s="6">
        <v>11223.22</v>
      </c>
      <c r="U31" s="2"/>
      <c r="V31" s="7">
        <f t="shared" si="18"/>
        <v>1.0763009224302122E-2</v>
      </c>
      <c r="W31" s="2"/>
      <c r="X31" s="6">
        <f t="shared" si="19"/>
        <v>-8562.58</v>
      </c>
      <c r="Y31" s="2"/>
      <c r="Z31" s="7">
        <f t="shared" si="20"/>
        <v>-0.7629343450453614</v>
      </c>
    </row>
    <row r="32" spans="1:26" s="24" customFormat="1" hidden="1" outlineLevel="2" x14ac:dyDescent="0.25">
      <c r="A32" s="26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3"/>
        <v>0</v>
      </c>
      <c r="G32" s="2"/>
      <c r="H32" s="6">
        <v>548.01</v>
      </c>
      <c r="I32" s="2"/>
      <c r="J32" s="7">
        <f t="shared" si="14"/>
        <v>4.6020902177975036E-3</v>
      </c>
      <c r="K32" s="2"/>
      <c r="L32" s="6">
        <f t="shared" si="15"/>
        <v>-548.01</v>
      </c>
      <c r="M32" s="2"/>
      <c r="N32" s="7">
        <f t="shared" si="16"/>
        <v>-1</v>
      </c>
      <c r="O32" s="11"/>
      <c r="P32" s="6">
        <v>3733.96</v>
      </c>
      <c r="Q32" s="2"/>
      <c r="R32" s="7">
        <f t="shared" si="17"/>
        <v>9.8268865126669505E-3</v>
      </c>
      <c r="S32" s="2"/>
      <c r="T32" s="6">
        <v>5868.33</v>
      </c>
      <c r="U32" s="2"/>
      <c r="V32" s="7">
        <f t="shared" si="18"/>
        <v>5.6276977481728848E-3</v>
      </c>
      <c r="W32" s="2"/>
      <c r="X32" s="6">
        <f t="shared" si="19"/>
        <v>-2134.37</v>
      </c>
      <c r="Y32" s="2"/>
      <c r="Z32" s="7">
        <f t="shared" si="20"/>
        <v>-0.36370994814538377</v>
      </c>
    </row>
    <row r="33" spans="1:26" s="27" customFormat="1" outlineLevel="1" collapsed="1" x14ac:dyDescent="0.25">
      <c r="A33" s="25"/>
      <c r="B33" s="13" t="str">
        <f>CONCATENATE("     ","*Payroll                                          ")</f>
        <v xml:space="preserve">     *Payroll                                          </v>
      </c>
      <c r="C33" s="13"/>
      <c r="D33" s="1">
        <f>SUM(OSRRefD22_1x_0)</f>
        <v>0</v>
      </c>
      <c r="E33" s="1"/>
      <c r="F33" s="5">
        <f t="shared" ref="F33:F39" si="21">IF(D$12=0,0,D33/D$12)</f>
        <v>0</v>
      </c>
      <c r="G33" s="1"/>
      <c r="H33" s="1">
        <f>SUM(OSRRefH22_1x_0)</f>
        <v>57126.30000000001</v>
      </c>
      <c r="I33" s="1"/>
      <c r="J33" s="5">
        <f t="shared" ref="J33:J39" si="22">IF(H$12=0,0,H33/H$12)</f>
        <v>0.47973647635803279</v>
      </c>
      <c r="K33" s="1"/>
      <c r="L33" s="1">
        <f t="shared" ref="L33:L39" si="23">+D33-H33</f>
        <v>-57126.30000000001</v>
      </c>
      <c r="M33" s="1"/>
      <c r="N33" s="5">
        <f t="shared" ref="N33:N39" si="24">IF(H33=0,0,L33/H33)</f>
        <v>-1</v>
      </c>
      <c r="O33" s="13"/>
      <c r="P33" s="1">
        <f>SUM(OSRRefP22_1x_0)</f>
        <v>208564.34</v>
      </c>
      <c r="Q33" s="1"/>
      <c r="R33" s="5">
        <f t="shared" ref="R33:R39" si="25">IF(P$12=0,0,P33/P$12)</f>
        <v>0.54889128425834344</v>
      </c>
      <c r="S33" s="1"/>
      <c r="T33" s="1">
        <f>SUM(OSRRefT22_1x_0)</f>
        <v>415717.81999999995</v>
      </c>
      <c r="U33" s="1"/>
      <c r="V33" s="5">
        <f t="shared" ref="V33:V39" si="26">IF(T$12=0,0,T33/T$12)</f>
        <v>0.3986712130179012</v>
      </c>
      <c r="W33" s="1"/>
      <c r="X33" s="1">
        <f t="shared" ref="X33:X39" si="27">+P33-T33</f>
        <v>-207153.47999999995</v>
      </c>
      <c r="Y33" s="1"/>
      <c r="Z33" s="5">
        <f t="shared" ref="Z33:Z39" si="28">IF(T33=0,0,X33/T33)</f>
        <v>-0.49830310377361253</v>
      </c>
    </row>
    <row r="34" spans="1:26" s="24" customFormat="1" hidden="1" outlineLevel="2" x14ac:dyDescent="0.25">
      <c r="A34" s="26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1"/>
        <v>0</v>
      </c>
      <c r="G34" s="2"/>
      <c r="H34" s="6">
        <v>17105.18</v>
      </c>
      <c r="I34" s="2"/>
      <c r="J34" s="7">
        <f t="shared" si="22"/>
        <v>0.14364625016270779</v>
      </c>
      <c r="K34" s="2"/>
      <c r="L34" s="6">
        <f t="shared" si="23"/>
        <v>-17105.18</v>
      </c>
      <c r="M34" s="2"/>
      <c r="N34" s="7">
        <f t="shared" si="24"/>
        <v>-1</v>
      </c>
      <c r="O34" s="11"/>
      <c r="P34" s="6">
        <v>60376.42</v>
      </c>
      <c r="Q34" s="2"/>
      <c r="R34" s="7">
        <f t="shared" si="25"/>
        <v>0.15889624617861872</v>
      </c>
      <c r="S34" s="2"/>
      <c r="T34" s="6">
        <v>151924.1</v>
      </c>
      <c r="U34" s="2"/>
      <c r="V34" s="7">
        <f t="shared" si="26"/>
        <v>0.14569441654835227</v>
      </c>
      <c r="W34" s="2"/>
      <c r="X34" s="6">
        <f t="shared" si="27"/>
        <v>-91547.680000000008</v>
      </c>
      <c r="Y34" s="2"/>
      <c r="Z34" s="7">
        <f t="shared" si="28"/>
        <v>-0.60258826611446115</v>
      </c>
    </row>
    <row r="35" spans="1:26" s="24" customFormat="1" hidden="1" outlineLevel="2" x14ac:dyDescent="0.25">
      <c r="A35" s="26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1"/>
        <v>0</v>
      </c>
      <c r="G35" s="2"/>
      <c r="H35" s="6">
        <v>9648.52</v>
      </c>
      <c r="I35" s="2"/>
      <c r="J35" s="7">
        <f t="shared" si="22"/>
        <v>8.102654971300445E-2</v>
      </c>
      <c r="K35" s="2"/>
      <c r="L35" s="6">
        <f t="shared" si="23"/>
        <v>-9648.52</v>
      </c>
      <c r="M35" s="2"/>
      <c r="N35" s="7">
        <f t="shared" si="24"/>
        <v>-1</v>
      </c>
      <c r="O35" s="11"/>
      <c r="P35" s="6">
        <v>54540.13</v>
      </c>
      <c r="Q35" s="2"/>
      <c r="R35" s="7">
        <f t="shared" si="25"/>
        <v>0.14353653169720676</v>
      </c>
      <c r="S35" s="2"/>
      <c r="T35" s="6">
        <v>73351.069999999992</v>
      </c>
      <c r="U35" s="2"/>
      <c r="V35" s="7">
        <f t="shared" si="26"/>
        <v>7.0343292123154558E-2</v>
      </c>
      <c r="W35" s="2"/>
      <c r="X35" s="6">
        <f t="shared" si="27"/>
        <v>-18810.939999999995</v>
      </c>
      <c r="Y35" s="2"/>
      <c r="Z35" s="7">
        <f t="shared" si="28"/>
        <v>-0.25645079206070198</v>
      </c>
    </row>
    <row r="36" spans="1:26" s="24" customFormat="1" hidden="1" outlineLevel="2" x14ac:dyDescent="0.25">
      <c r="A36" s="26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1"/>
        <v>0</v>
      </c>
      <c r="G36" s="2"/>
      <c r="H36" s="6">
        <v>23072.46</v>
      </c>
      <c r="I36" s="2"/>
      <c r="J36" s="7">
        <f t="shared" si="22"/>
        <v>0.19375840307024358</v>
      </c>
      <c r="K36" s="2"/>
      <c r="L36" s="6">
        <f t="shared" si="23"/>
        <v>-23072.46</v>
      </c>
      <c r="M36" s="2"/>
      <c r="N36" s="7">
        <f t="shared" si="24"/>
        <v>-1</v>
      </c>
      <c r="O36" s="11"/>
      <c r="P36" s="6">
        <v>47656.53</v>
      </c>
      <c r="Q36" s="2"/>
      <c r="R36" s="7">
        <f t="shared" si="25"/>
        <v>0.12542054866616351</v>
      </c>
      <c r="S36" s="2"/>
      <c r="T36" s="6">
        <v>107554.7</v>
      </c>
      <c r="U36" s="2"/>
      <c r="V36" s="7">
        <f t="shared" si="26"/>
        <v>0.10314439423062612</v>
      </c>
      <c r="W36" s="2"/>
      <c r="X36" s="6">
        <f t="shared" si="27"/>
        <v>-59898.17</v>
      </c>
      <c r="Y36" s="2"/>
      <c r="Z36" s="7">
        <f t="shared" si="28"/>
        <v>-0.5569089030976796</v>
      </c>
    </row>
    <row r="37" spans="1:26" s="24" customFormat="1" hidden="1" outlineLevel="2" x14ac:dyDescent="0.25">
      <c r="A37" s="26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1"/>
        <v>0</v>
      </c>
      <c r="G37" s="2"/>
      <c r="H37" s="6">
        <v>2318.87</v>
      </c>
      <c r="I37" s="2"/>
      <c r="J37" s="7">
        <f t="shared" si="22"/>
        <v>1.9473456585361756E-2</v>
      </c>
      <c r="K37" s="2"/>
      <c r="L37" s="6">
        <f t="shared" si="23"/>
        <v>-2318.87</v>
      </c>
      <c r="M37" s="2"/>
      <c r="N37" s="7">
        <f t="shared" si="24"/>
        <v>-1</v>
      </c>
      <c r="O37" s="11"/>
      <c r="P37" s="6">
        <v>1299.6300000000001</v>
      </c>
      <c r="Q37" s="2"/>
      <c r="R37" s="7">
        <f t="shared" si="25"/>
        <v>3.4203142289840681E-3</v>
      </c>
      <c r="S37" s="2"/>
      <c r="T37" s="6">
        <v>4202.17</v>
      </c>
      <c r="U37" s="2"/>
      <c r="V37" s="7">
        <f t="shared" si="26"/>
        <v>4.0298590308383564E-3</v>
      </c>
      <c r="W37" s="2"/>
      <c r="X37" s="6">
        <f t="shared" si="27"/>
        <v>-2902.54</v>
      </c>
      <c r="Y37" s="2"/>
      <c r="Z37" s="7">
        <f t="shared" si="28"/>
        <v>-0.69072407827384419</v>
      </c>
    </row>
    <row r="38" spans="1:26" s="24" customFormat="1" hidden="1" outlineLevel="2" x14ac:dyDescent="0.25">
      <c r="A38" s="26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1"/>
        <v>0</v>
      </c>
      <c r="G38" s="2"/>
      <c r="H38" s="6">
        <v>3226.44</v>
      </c>
      <c r="I38" s="2"/>
      <c r="J38" s="7">
        <f t="shared" si="22"/>
        <v>2.709506753948026E-2</v>
      </c>
      <c r="K38" s="2"/>
      <c r="L38" s="6">
        <f t="shared" si="23"/>
        <v>-3226.44</v>
      </c>
      <c r="M38" s="2"/>
      <c r="N38" s="7">
        <f t="shared" si="24"/>
        <v>-1</v>
      </c>
      <c r="O38" s="11"/>
      <c r="P38" s="6">
        <v>41286.409999999996</v>
      </c>
      <c r="Q38" s="2"/>
      <c r="R38" s="7">
        <f t="shared" si="25"/>
        <v>0.10865592175209104</v>
      </c>
      <c r="S38" s="2"/>
      <c r="T38" s="6">
        <v>63929.789999999994</v>
      </c>
      <c r="U38" s="2"/>
      <c r="V38" s="7">
        <f t="shared" si="26"/>
        <v>6.1308333925352759E-2</v>
      </c>
      <c r="W38" s="2"/>
      <c r="X38" s="6">
        <f t="shared" si="27"/>
        <v>-22643.379999999997</v>
      </c>
      <c r="Y38" s="2"/>
      <c r="Z38" s="7">
        <f t="shared" si="28"/>
        <v>-0.35419137150301916</v>
      </c>
    </row>
    <row r="39" spans="1:26" s="24" customFormat="1" hidden="1" outlineLevel="2" x14ac:dyDescent="0.25">
      <c r="A39" s="26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1"/>
        <v>0</v>
      </c>
      <c r="G39" s="2"/>
      <c r="H39" s="6">
        <v>1754.83</v>
      </c>
      <c r="I39" s="2"/>
      <c r="J39" s="7">
        <f t="shared" si="22"/>
        <v>1.4736749287234891E-2</v>
      </c>
      <c r="K39" s="2"/>
      <c r="L39" s="6">
        <f t="shared" si="23"/>
        <v>-1754.83</v>
      </c>
      <c r="M39" s="2"/>
      <c r="N39" s="7">
        <f t="shared" si="24"/>
        <v>-1</v>
      </c>
      <c r="O39" s="11"/>
      <c r="P39" s="6">
        <v>3405.22</v>
      </c>
      <c r="Q39" s="2"/>
      <c r="R39" s="7">
        <f t="shared" si="25"/>
        <v>8.9617217352793693E-3</v>
      </c>
      <c r="S39" s="2"/>
      <c r="T39" s="6">
        <v>14755.99</v>
      </c>
      <c r="U39" s="2"/>
      <c r="V39" s="7">
        <f t="shared" si="26"/>
        <v>1.4150917159577189E-2</v>
      </c>
      <c r="W39" s="2"/>
      <c r="X39" s="6">
        <f t="shared" si="27"/>
        <v>-11350.77</v>
      </c>
      <c r="Y39" s="2"/>
      <c r="Z39" s="7">
        <f t="shared" si="28"/>
        <v>-0.7692313426615226</v>
      </c>
    </row>
    <row r="40" spans="1:26" s="27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29">IF(D$12=0,0,D40/D$12)</f>
        <v>0</v>
      </c>
      <c r="G40" s="1"/>
      <c r="H40" s="1">
        <f>SUM(OSRRefH22_2x_0)</f>
        <v>302</v>
      </c>
      <c r="I40" s="1"/>
      <c r="J40" s="5">
        <f t="shared" ref="J40:J57" si="30">IF(H$12=0,0,H40/H$12)</f>
        <v>2.5361421247328442E-3</v>
      </c>
      <c r="K40" s="1"/>
      <c r="L40" s="1">
        <f t="shared" ref="L40:L57" si="31">+D40-H40</f>
        <v>-302</v>
      </c>
      <c r="M40" s="1"/>
      <c r="N40" s="5">
        <f t="shared" ref="N40:N57" si="32">IF(H40=0,0,L40/H40)</f>
        <v>-1</v>
      </c>
      <c r="O40" s="13"/>
      <c r="P40" s="1">
        <f>SUM(OSRRefP22_2x_0)</f>
        <v>462.48</v>
      </c>
      <c r="Q40" s="1"/>
      <c r="R40" s="5">
        <f t="shared" ref="R40:R57" si="33">IF(P$12=0,0,P40/P$12)</f>
        <v>1.2171363577483988E-3</v>
      </c>
      <c r="S40" s="1"/>
      <c r="T40" s="1">
        <f>SUM(OSRRefT22_2x_0)</f>
        <v>3754.99</v>
      </c>
      <c r="U40" s="1"/>
      <c r="V40" s="5">
        <f t="shared" ref="V40:V57" si="34">IF(T$12=0,0,T40/T$12)</f>
        <v>3.6010157519109692E-3</v>
      </c>
      <c r="W40" s="1"/>
      <c r="X40" s="1">
        <f t="shared" ref="X40:X57" si="35">+P40-T40</f>
        <v>-3292.5099999999998</v>
      </c>
      <c r="Y40" s="1"/>
      <c r="Z40" s="5">
        <f t="shared" ref="Z40:Z57" si="36">IF(T40=0,0,X40/T40)</f>
        <v>-0.87683589037520737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9"/>
        <v>0</v>
      </c>
      <c r="G41" s="2"/>
      <c r="H41" s="6">
        <v>302</v>
      </c>
      <c r="I41" s="2"/>
      <c r="J41" s="7">
        <f t="shared" si="30"/>
        <v>2.5361421247328442E-3</v>
      </c>
      <c r="K41" s="2"/>
      <c r="L41" s="6">
        <f t="shared" si="31"/>
        <v>-302</v>
      </c>
      <c r="M41" s="2"/>
      <c r="N41" s="7">
        <f t="shared" si="32"/>
        <v>-1</v>
      </c>
      <c r="O41" s="11"/>
      <c r="P41" s="6">
        <v>462.48</v>
      </c>
      <c r="Q41" s="2"/>
      <c r="R41" s="7">
        <f t="shared" si="33"/>
        <v>1.2171363577483988E-3</v>
      </c>
      <c r="S41" s="2"/>
      <c r="T41" s="6">
        <v>3754.99</v>
      </c>
      <c r="U41" s="2"/>
      <c r="V41" s="7">
        <f t="shared" si="34"/>
        <v>3.6010157519109692E-3</v>
      </c>
      <c r="W41" s="2"/>
      <c r="X41" s="6">
        <f t="shared" si="35"/>
        <v>-3292.5099999999998</v>
      </c>
      <c r="Y41" s="2"/>
      <c r="Z41" s="7">
        <f t="shared" si="36"/>
        <v>-0.87683589037520737</v>
      </c>
    </row>
    <row r="42" spans="1:26" s="27" customFormat="1" outlineLevel="1" collapsed="1" x14ac:dyDescent="0.25">
      <c r="A42" s="25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0</v>
      </c>
      <c r="E42" s="1"/>
      <c r="F42" s="5">
        <f t="shared" si="29"/>
        <v>0</v>
      </c>
      <c r="G42" s="1"/>
      <c r="H42" s="1">
        <f>SUM(OSRRefH22_3x_0)</f>
        <v>-29.44</v>
      </c>
      <c r="I42" s="1"/>
      <c r="J42" s="5">
        <f t="shared" si="30"/>
        <v>-2.4723186805342693E-4</v>
      </c>
      <c r="K42" s="1"/>
      <c r="L42" s="1">
        <f t="shared" si="31"/>
        <v>29.44</v>
      </c>
      <c r="M42" s="1"/>
      <c r="N42" s="5">
        <f t="shared" si="32"/>
        <v>-1</v>
      </c>
      <c r="O42" s="13"/>
      <c r="P42" s="1">
        <f>SUM(OSRRefP22_3x_0)</f>
        <v>-0.24</v>
      </c>
      <c r="Q42" s="1"/>
      <c r="R42" s="5">
        <f t="shared" si="33"/>
        <v>-6.3162239634063244E-7</v>
      </c>
      <c r="S42" s="1"/>
      <c r="T42" s="1">
        <f>SUM(OSRRefT22_3x_0)</f>
        <v>-44.84</v>
      </c>
      <c r="U42" s="1"/>
      <c r="V42" s="5">
        <f t="shared" si="34"/>
        <v>-4.3001325254045387E-5</v>
      </c>
      <c r="W42" s="1"/>
      <c r="X42" s="1">
        <f t="shared" si="35"/>
        <v>44.6</v>
      </c>
      <c r="Y42" s="1"/>
      <c r="Z42" s="5">
        <f t="shared" si="36"/>
        <v>-0.99464763603925066</v>
      </c>
    </row>
    <row r="43" spans="1:26" s="24" customFormat="1" hidden="1" outlineLevel="2" x14ac:dyDescent="0.25">
      <c r="A43" s="26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9"/>
        <v>0</v>
      </c>
      <c r="G43" s="2"/>
      <c r="H43" s="6">
        <v>-29.44</v>
      </c>
      <c r="I43" s="2"/>
      <c r="J43" s="7">
        <f t="shared" si="30"/>
        <v>-2.4723186805342693E-4</v>
      </c>
      <c r="K43" s="2"/>
      <c r="L43" s="6">
        <f t="shared" si="31"/>
        <v>29.44</v>
      </c>
      <c r="M43" s="2"/>
      <c r="N43" s="7">
        <f t="shared" si="32"/>
        <v>-1</v>
      </c>
      <c r="O43" s="11"/>
      <c r="P43" s="6">
        <v>-0.24</v>
      </c>
      <c r="Q43" s="2"/>
      <c r="R43" s="7">
        <f t="shared" si="33"/>
        <v>-6.3162239634063244E-7</v>
      </c>
      <c r="S43" s="2"/>
      <c r="T43" s="6">
        <v>-44.84</v>
      </c>
      <c r="U43" s="2"/>
      <c r="V43" s="7">
        <f t="shared" si="34"/>
        <v>-4.3001325254045387E-5</v>
      </c>
      <c r="W43" s="2"/>
      <c r="X43" s="6">
        <f t="shared" si="35"/>
        <v>44.6</v>
      </c>
      <c r="Y43" s="2"/>
      <c r="Z43" s="7">
        <f t="shared" si="36"/>
        <v>-0.99464763603925066</v>
      </c>
    </row>
    <row r="44" spans="1:26" s="27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SUM(OSRRefD22_4x_0)</f>
        <v>0</v>
      </c>
      <c r="E44" s="1"/>
      <c r="F44" s="5">
        <f t="shared" si="29"/>
        <v>0</v>
      </c>
      <c r="G44" s="1"/>
      <c r="H44" s="1">
        <f>SUM(OSRRefH22_4x_0)</f>
        <v>1766.43</v>
      </c>
      <c r="I44" s="1"/>
      <c r="J44" s="5">
        <f t="shared" si="30"/>
        <v>1.4834164017853769E-2</v>
      </c>
      <c r="K44" s="1"/>
      <c r="L44" s="1">
        <f t="shared" si="31"/>
        <v>-1766.43</v>
      </c>
      <c r="M44" s="1"/>
      <c r="N44" s="5">
        <f t="shared" si="32"/>
        <v>-1</v>
      </c>
      <c r="O44" s="13"/>
      <c r="P44" s="1">
        <f>SUM(OSRRefP22_4x_0)</f>
        <v>5691.38</v>
      </c>
      <c r="Q44" s="1"/>
      <c r="R44" s="5">
        <f t="shared" si="33"/>
        <v>1.4978346142021455E-2</v>
      </c>
      <c r="S44" s="1"/>
      <c r="T44" s="1">
        <f>SUM(OSRRefT22_4x_0)</f>
        <v>10916.82</v>
      </c>
      <c r="U44" s="1"/>
      <c r="V44" s="5">
        <f t="shared" si="34"/>
        <v>1.0469173228364579E-2</v>
      </c>
      <c r="W44" s="1"/>
      <c r="X44" s="1">
        <f t="shared" si="35"/>
        <v>-5225.4399999999996</v>
      </c>
      <c r="Y44" s="1"/>
      <c r="Z44" s="5">
        <f t="shared" si="36"/>
        <v>-0.47865953638513775</v>
      </c>
    </row>
    <row r="45" spans="1:26" s="24" customFormat="1" hidden="1" outlineLevel="2" x14ac:dyDescent="0.25">
      <c r="A45" s="26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9"/>
        <v>0</v>
      </c>
      <c r="G45" s="2"/>
      <c r="H45" s="6">
        <v>1766.43</v>
      </c>
      <c r="I45" s="2"/>
      <c r="J45" s="7">
        <f t="shared" si="30"/>
        <v>1.4834164017853769E-2</v>
      </c>
      <c r="K45" s="2"/>
      <c r="L45" s="6">
        <f t="shared" si="31"/>
        <v>-1766.43</v>
      </c>
      <c r="M45" s="2"/>
      <c r="N45" s="7">
        <f t="shared" si="32"/>
        <v>-1</v>
      </c>
      <c r="O45" s="11"/>
      <c r="P45" s="6">
        <v>5691.38</v>
      </c>
      <c r="Q45" s="2"/>
      <c r="R45" s="7">
        <f t="shared" si="33"/>
        <v>1.4978346142021455E-2</v>
      </c>
      <c r="S45" s="2"/>
      <c r="T45" s="6">
        <v>10916.82</v>
      </c>
      <c r="U45" s="2"/>
      <c r="V45" s="7">
        <f t="shared" si="34"/>
        <v>1.0469173228364579E-2</v>
      </c>
      <c r="W45" s="2"/>
      <c r="X45" s="6">
        <f t="shared" si="35"/>
        <v>-5225.4399999999996</v>
      </c>
      <c r="Y45" s="2"/>
      <c r="Z45" s="7">
        <f t="shared" si="36"/>
        <v>-0.47865953638513775</v>
      </c>
    </row>
    <row r="46" spans="1:26" s="27" customFormat="1" outlineLevel="1" collapsed="1" x14ac:dyDescent="0.25">
      <c r="A46" s="25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SUM(OSRRefD22_5x_0)</f>
        <v>689.04</v>
      </c>
      <c r="E46" s="1"/>
      <c r="F46" s="5">
        <f t="shared" si="29"/>
        <v>0</v>
      </c>
      <c r="G46" s="1"/>
      <c r="H46" s="1">
        <f>SUM(OSRRefH22_5x_0)</f>
        <v>696.86</v>
      </c>
      <c r="I46" s="1"/>
      <c r="J46" s="5">
        <f t="shared" si="30"/>
        <v>5.8521059637130128E-3</v>
      </c>
      <c r="K46" s="1"/>
      <c r="L46" s="1">
        <f t="shared" si="31"/>
        <v>-7.82000000000005</v>
      </c>
      <c r="M46" s="1"/>
      <c r="N46" s="5">
        <f t="shared" si="32"/>
        <v>-1.1221766208420702E-2</v>
      </c>
      <c r="O46" s="13"/>
      <c r="P46" s="1">
        <f>SUM(OSRRefP22_5x_0)</f>
        <v>4688.9399999999996</v>
      </c>
      <c r="Q46" s="1"/>
      <c r="R46" s="5">
        <f t="shared" si="33"/>
        <v>1.2340164662906021E-2</v>
      </c>
      <c r="S46" s="1"/>
      <c r="T46" s="1">
        <f>SUM(OSRRefT22_5x_0)</f>
        <v>7665.06</v>
      </c>
      <c r="U46" s="1"/>
      <c r="V46" s="5">
        <f t="shared" si="34"/>
        <v>7.3507524119485529E-3</v>
      </c>
      <c r="W46" s="1"/>
      <c r="X46" s="1">
        <f t="shared" si="35"/>
        <v>-2976.1200000000008</v>
      </c>
      <c r="Y46" s="1"/>
      <c r="Z46" s="5">
        <f t="shared" si="36"/>
        <v>-0.38827093329993512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689.04</v>
      </c>
      <c r="E47" s="2"/>
      <c r="F47" s="7">
        <f t="shared" si="29"/>
        <v>0</v>
      </c>
      <c r="G47" s="2"/>
      <c r="H47" s="6">
        <v>696.86</v>
      </c>
      <c r="I47" s="2"/>
      <c r="J47" s="7">
        <f t="shared" si="30"/>
        <v>5.8521059637130128E-3</v>
      </c>
      <c r="K47" s="2"/>
      <c r="L47" s="6">
        <f t="shared" si="31"/>
        <v>-7.82000000000005</v>
      </c>
      <c r="M47" s="2"/>
      <c r="N47" s="7">
        <f t="shared" si="32"/>
        <v>-1.1221766208420702E-2</v>
      </c>
      <c r="O47" s="11"/>
      <c r="P47" s="6">
        <v>4688.9399999999996</v>
      </c>
      <c r="Q47" s="2"/>
      <c r="R47" s="7">
        <f t="shared" si="33"/>
        <v>1.2340164662906021E-2</v>
      </c>
      <c r="S47" s="2"/>
      <c r="T47" s="6">
        <v>7665.06</v>
      </c>
      <c r="U47" s="2"/>
      <c r="V47" s="7">
        <f t="shared" si="34"/>
        <v>7.3507524119485529E-3</v>
      </c>
      <c r="W47" s="2"/>
      <c r="X47" s="6">
        <f t="shared" si="35"/>
        <v>-2976.1200000000008</v>
      </c>
      <c r="Y47" s="2"/>
      <c r="Z47" s="7">
        <f t="shared" si="36"/>
        <v>-0.38827093329993512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si="29"/>
        <v>0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SUM(OSRRefP22_6x_0)</f>
        <v>60</v>
      </c>
      <c r="Q48" s="1"/>
      <c r="R48" s="5">
        <f t="shared" si="33"/>
        <v>1.5790559908515812E-4</v>
      </c>
      <c r="S48" s="1"/>
      <c r="T48" s="1">
        <f>SUM(OSRRefT22_6x_0)</f>
        <v>58.24</v>
      </c>
      <c r="U48" s="1"/>
      <c r="V48" s="5">
        <f t="shared" si="34"/>
        <v>5.5851855102488923E-5</v>
      </c>
      <c r="W48" s="1"/>
      <c r="X48" s="1">
        <f t="shared" si="35"/>
        <v>1.759999999999998</v>
      </c>
      <c r="Y48" s="1"/>
      <c r="Z48" s="5">
        <f t="shared" si="36"/>
        <v>3.0219780219780185E-2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29"/>
        <v>0</v>
      </c>
      <c r="G49" s="2"/>
      <c r="H49" s="6"/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60</v>
      </c>
      <c r="Q49" s="2"/>
      <c r="R49" s="7">
        <f t="shared" si="33"/>
        <v>1.5790559908515812E-4</v>
      </c>
      <c r="S49" s="2"/>
      <c r="T49" s="6">
        <v>58.24</v>
      </c>
      <c r="U49" s="2"/>
      <c r="V49" s="7">
        <f t="shared" si="34"/>
        <v>5.5851855102488923E-5</v>
      </c>
      <c r="W49" s="2"/>
      <c r="X49" s="6">
        <f t="shared" si="35"/>
        <v>1.759999999999998</v>
      </c>
      <c r="Y49" s="2"/>
      <c r="Z49" s="7">
        <f t="shared" si="36"/>
        <v>3.0219780219780185E-2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16.239999999999998</v>
      </c>
      <c r="E50" s="1"/>
      <c r="F50" s="5">
        <f t="shared" si="29"/>
        <v>0</v>
      </c>
      <c r="G50" s="1"/>
      <c r="H50" s="1">
        <f>SUM(OSRRefH22_7x_0)</f>
        <v>656.55</v>
      </c>
      <c r="I50" s="1"/>
      <c r="J50" s="5">
        <f t="shared" si="30"/>
        <v>5.5135897748124132E-3</v>
      </c>
      <c r="K50" s="1"/>
      <c r="L50" s="1">
        <f t="shared" si="31"/>
        <v>-640.30999999999995</v>
      </c>
      <c r="M50" s="1"/>
      <c r="N50" s="5">
        <f t="shared" si="32"/>
        <v>-0.97526464092605281</v>
      </c>
      <c r="O50" s="13"/>
      <c r="P50" s="1">
        <f>SUM(OSRRefP22_7x_0)</f>
        <v>837.76</v>
      </c>
      <c r="Q50" s="1"/>
      <c r="R50" s="5">
        <f t="shared" si="33"/>
        <v>2.204783244826368E-3</v>
      </c>
      <c r="S50" s="1"/>
      <c r="T50" s="1">
        <f>SUM(OSRRefT22_7x_0)</f>
        <v>1556.82</v>
      </c>
      <c r="U50" s="1"/>
      <c r="V50" s="5">
        <f t="shared" si="34"/>
        <v>1.4929822297502884E-3</v>
      </c>
      <c r="W50" s="1"/>
      <c r="X50" s="1">
        <f t="shared" si="35"/>
        <v>-719.06</v>
      </c>
      <c r="Y50" s="1"/>
      <c r="Z50" s="5">
        <f t="shared" si="36"/>
        <v>-0.46187741678549865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16.239999999999998</v>
      </c>
      <c r="E51" s="2"/>
      <c r="F51" s="7">
        <f t="shared" si="29"/>
        <v>0</v>
      </c>
      <c r="G51" s="2"/>
      <c r="H51" s="6">
        <v>656.55</v>
      </c>
      <c r="I51" s="2"/>
      <c r="J51" s="7">
        <f t="shared" si="30"/>
        <v>5.5135897748124132E-3</v>
      </c>
      <c r="K51" s="2"/>
      <c r="L51" s="6">
        <f t="shared" si="31"/>
        <v>-640.30999999999995</v>
      </c>
      <c r="M51" s="2"/>
      <c r="N51" s="7">
        <f t="shared" si="32"/>
        <v>-0.97526464092605281</v>
      </c>
      <c r="O51" s="11"/>
      <c r="P51" s="6">
        <v>837.76</v>
      </c>
      <c r="Q51" s="2"/>
      <c r="R51" s="7">
        <f t="shared" si="33"/>
        <v>2.204783244826368E-3</v>
      </c>
      <c r="S51" s="2"/>
      <c r="T51" s="6">
        <v>1556.82</v>
      </c>
      <c r="U51" s="2"/>
      <c r="V51" s="7">
        <f t="shared" si="34"/>
        <v>1.4929822297502884E-3</v>
      </c>
      <c r="W51" s="2"/>
      <c r="X51" s="6">
        <f t="shared" si="35"/>
        <v>-719.06</v>
      </c>
      <c r="Y51" s="2"/>
      <c r="Z51" s="7">
        <f t="shared" si="36"/>
        <v>-0.46187741678549865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-400</v>
      </c>
      <c r="E52" s="1"/>
      <c r="F52" s="5">
        <f t="shared" si="29"/>
        <v>0</v>
      </c>
      <c r="G52" s="1"/>
      <c r="H52" s="1">
        <f>SUM(OSRRefH22_8x_0)</f>
        <v>143</v>
      </c>
      <c r="I52" s="1"/>
      <c r="J52" s="5">
        <f t="shared" si="30"/>
        <v>1.200888489525817E-3</v>
      </c>
      <c r="K52" s="1"/>
      <c r="L52" s="1">
        <f t="shared" si="31"/>
        <v>-543</v>
      </c>
      <c r="M52" s="1"/>
      <c r="N52" s="5">
        <f t="shared" si="32"/>
        <v>-3.7972027972027971</v>
      </c>
      <c r="O52" s="13"/>
      <c r="P52" s="1">
        <f>SUM(OSRRefP22_8x_0)</f>
        <v>2498.7399999999998</v>
      </c>
      <c r="Q52" s="1"/>
      <c r="R52" s="5">
        <f t="shared" si="33"/>
        <v>6.5760839443007998E-3</v>
      </c>
      <c r="S52" s="1"/>
      <c r="T52" s="1">
        <f>SUM(OSRRefT22_8x_0)</f>
        <v>1983.6</v>
      </c>
      <c r="U52" s="1"/>
      <c r="V52" s="5">
        <f t="shared" si="34"/>
        <v>1.9022620154755668E-3</v>
      </c>
      <c r="W52" s="1"/>
      <c r="X52" s="1">
        <f t="shared" si="35"/>
        <v>515.13999999999987</v>
      </c>
      <c r="Y52" s="1"/>
      <c r="Z52" s="5">
        <f t="shared" si="36"/>
        <v>0.2596995361968138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-400</v>
      </c>
      <c r="E53" s="2"/>
      <c r="F53" s="7">
        <f t="shared" si="29"/>
        <v>0</v>
      </c>
      <c r="G53" s="2"/>
      <c r="H53" s="6">
        <v>143</v>
      </c>
      <c r="I53" s="2"/>
      <c r="J53" s="7">
        <f t="shared" si="30"/>
        <v>1.200888489525817E-3</v>
      </c>
      <c r="K53" s="2"/>
      <c r="L53" s="6">
        <f t="shared" si="31"/>
        <v>-543</v>
      </c>
      <c r="M53" s="2"/>
      <c r="N53" s="7">
        <f t="shared" si="32"/>
        <v>-3.7972027972027971</v>
      </c>
      <c r="O53" s="11"/>
      <c r="P53" s="6">
        <v>2498.7399999999998</v>
      </c>
      <c r="Q53" s="2"/>
      <c r="R53" s="7">
        <f t="shared" si="33"/>
        <v>6.5760839443007998E-3</v>
      </c>
      <c r="S53" s="2"/>
      <c r="T53" s="6">
        <v>1983.6</v>
      </c>
      <c r="U53" s="2"/>
      <c r="V53" s="7">
        <f t="shared" si="34"/>
        <v>1.9022620154755668E-3</v>
      </c>
      <c r="W53" s="2"/>
      <c r="X53" s="6">
        <f t="shared" si="35"/>
        <v>515.13999999999987</v>
      </c>
      <c r="Y53" s="2"/>
      <c r="Z53" s="7">
        <f t="shared" si="36"/>
        <v>0.2596995361968138</v>
      </c>
    </row>
    <row r="54" spans="1:26" s="27" customFormat="1" outlineLevel="1" collapsed="1" x14ac:dyDescent="0.25">
      <c r="A54" s="25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SUM(OSRRefD22_9x_0)</f>
        <v>0</v>
      </c>
      <c r="E54" s="1"/>
      <c r="F54" s="5">
        <f t="shared" si="29"/>
        <v>0</v>
      </c>
      <c r="G54" s="1"/>
      <c r="H54" s="1">
        <f>SUM(OSRRefH22_9x_0)</f>
        <v>11698.51</v>
      </c>
      <c r="I54" s="1"/>
      <c r="J54" s="5">
        <f t="shared" si="30"/>
        <v>9.8242000025193468E-2</v>
      </c>
      <c r="K54" s="1"/>
      <c r="L54" s="1">
        <f t="shared" si="31"/>
        <v>-11698.51</v>
      </c>
      <c r="M54" s="1"/>
      <c r="N54" s="5">
        <f t="shared" si="32"/>
        <v>-1</v>
      </c>
      <c r="O54" s="13"/>
      <c r="P54" s="1">
        <f>SUM(OSRRefP22_9x_0)</f>
        <v>5456.32</v>
      </c>
      <c r="Q54" s="1"/>
      <c r="R54" s="5">
        <f t="shared" si="33"/>
        <v>1.4359724640005499E-2</v>
      </c>
      <c r="S54" s="1"/>
      <c r="T54" s="1">
        <f>SUM(OSRRefT22_9x_0)</f>
        <v>24441.15</v>
      </c>
      <c r="U54" s="1"/>
      <c r="V54" s="5">
        <f t="shared" si="34"/>
        <v>2.3438934895916846E-2</v>
      </c>
      <c r="W54" s="1"/>
      <c r="X54" s="1">
        <f t="shared" si="35"/>
        <v>-18984.830000000002</v>
      </c>
      <c r="Y54" s="1"/>
      <c r="Z54" s="5">
        <f t="shared" si="36"/>
        <v>-0.7767568219989649</v>
      </c>
    </row>
    <row r="55" spans="1:26" s="24" customFormat="1" hidden="1" outlineLevel="2" x14ac:dyDescent="0.25">
      <c r="A55" s="26"/>
      <c r="B55" s="11" t="str">
        <f>CONCATENATE("          ", "6371", " - ", "COMPUTER SOFTWARE MAINTENANCE")</f>
        <v xml:space="preserve">          6371 - COMPUTER SOFTWARE MAINTENANCE</v>
      </c>
      <c r="C55" s="11"/>
      <c r="D55" s="6"/>
      <c r="E55" s="2"/>
      <c r="F55" s="7">
        <f t="shared" si="29"/>
        <v>0</v>
      </c>
      <c r="G55" s="2"/>
      <c r="H55" s="6">
        <v>10343.25</v>
      </c>
      <c r="I55" s="2"/>
      <c r="J55" s="7">
        <f t="shared" si="30"/>
        <v>8.6860768316698644E-2</v>
      </c>
      <c r="K55" s="2"/>
      <c r="L55" s="6">
        <f t="shared" si="31"/>
        <v>-10343.25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11193.25</v>
      </c>
      <c r="U55" s="2"/>
      <c r="V55" s="7">
        <f t="shared" si="34"/>
        <v>1.0734268151200791E-2</v>
      </c>
      <c r="W55" s="2"/>
      <c r="X55" s="6">
        <f t="shared" si="35"/>
        <v>-11193.25</v>
      </c>
      <c r="Y55" s="2"/>
      <c r="Z55" s="7">
        <f t="shared" si="36"/>
        <v>-1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>
        <v>960</v>
      </c>
      <c r="I56" s="2"/>
      <c r="J56" s="7">
        <f t="shared" si="30"/>
        <v>8.061908740872618E-3</v>
      </c>
      <c r="K56" s="2"/>
      <c r="L56" s="6">
        <f t="shared" si="31"/>
        <v>-960</v>
      </c>
      <c r="M56" s="2"/>
      <c r="N56" s="7">
        <f t="shared" si="32"/>
        <v>-1</v>
      </c>
      <c r="O56" s="11"/>
      <c r="P56" s="6">
        <v>1131.8800000000001</v>
      </c>
      <c r="Q56" s="2"/>
      <c r="R56" s="7">
        <f t="shared" si="33"/>
        <v>2.9788364915418132E-3</v>
      </c>
      <c r="S56" s="2"/>
      <c r="T56" s="6">
        <v>1131.69</v>
      </c>
      <c r="U56" s="2"/>
      <c r="V56" s="7">
        <f t="shared" si="34"/>
        <v>1.0852847853869451E-3</v>
      </c>
      <c r="W56" s="2"/>
      <c r="X56" s="6">
        <f t="shared" si="35"/>
        <v>0.19000000000005457</v>
      </c>
      <c r="Y56" s="2"/>
      <c r="Z56" s="7">
        <f t="shared" si="36"/>
        <v>1.678905000486481E-4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>
        <v>395.26</v>
      </c>
      <c r="I57" s="2"/>
      <c r="J57" s="7">
        <f t="shared" si="30"/>
        <v>3.3193229676221989E-3</v>
      </c>
      <c r="K57" s="2"/>
      <c r="L57" s="6">
        <f t="shared" si="31"/>
        <v>-395.26</v>
      </c>
      <c r="M57" s="2"/>
      <c r="N57" s="7">
        <f t="shared" si="32"/>
        <v>-1</v>
      </c>
      <c r="O57" s="11"/>
      <c r="P57" s="6">
        <v>4324.4399999999996</v>
      </c>
      <c r="Q57" s="2"/>
      <c r="R57" s="7">
        <f t="shared" si="33"/>
        <v>1.1380888148463686E-2</v>
      </c>
      <c r="S57" s="2"/>
      <c r="T57" s="6">
        <v>12116.21</v>
      </c>
      <c r="U57" s="2"/>
      <c r="V57" s="7">
        <f t="shared" si="34"/>
        <v>1.1619381959329107E-2</v>
      </c>
      <c r="W57" s="2"/>
      <c r="X57" s="6">
        <f t="shared" si="35"/>
        <v>-7791.7699999999995</v>
      </c>
      <c r="Y57" s="2"/>
      <c r="Z57" s="7">
        <f t="shared" si="36"/>
        <v>-0.64308641068452921</v>
      </c>
    </row>
    <row r="58" spans="1:26" s="27" customFormat="1" outlineLevel="1" collapsed="1" x14ac:dyDescent="0.25">
      <c r="A58" s="25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SUM(OSRRefD22_10x_0)</f>
        <v>0</v>
      </c>
      <c r="E58" s="1"/>
      <c r="F58" s="5">
        <f t="shared" ref="F58:F63" si="37">IF(D$12=0,0,D58/D$12)</f>
        <v>0</v>
      </c>
      <c r="G58" s="1"/>
      <c r="H58" s="1">
        <f>SUM(OSRRefH22_10x_0)</f>
        <v>0</v>
      </c>
      <c r="I58" s="1"/>
      <c r="J58" s="5">
        <f t="shared" ref="J58:J63" si="38">IF(H$12=0,0,H58/H$12)</f>
        <v>0</v>
      </c>
      <c r="K58" s="1"/>
      <c r="L58" s="1">
        <f t="shared" ref="L58:L63" si="39">+D58-H58</f>
        <v>0</v>
      </c>
      <c r="M58" s="1"/>
      <c r="N58" s="5">
        <f t="shared" ref="N58:N63" si="40">IF(H58=0,0,L58/H58)</f>
        <v>0</v>
      </c>
      <c r="O58" s="13"/>
      <c r="P58" s="1">
        <f>SUM(OSRRefP22_10x_0)</f>
        <v>0</v>
      </c>
      <c r="Q58" s="1"/>
      <c r="R58" s="5">
        <f t="shared" ref="R58:R63" si="41">IF(P$12=0,0,P58/P$12)</f>
        <v>0</v>
      </c>
      <c r="S58" s="1"/>
      <c r="T58" s="1">
        <f>SUM(OSRRefT22_10x_0)</f>
        <v>2954.27</v>
      </c>
      <c r="U58" s="1"/>
      <c r="V58" s="5">
        <f t="shared" ref="V58:V63" si="42">IF(T$12=0,0,T58/T$12)</f>
        <v>2.8331294638329315E-3</v>
      </c>
      <c r="W58" s="1"/>
      <c r="X58" s="1">
        <f t="shared" ref="X58:X63" si="43">+P58-T58</f>
        <v>-2954.27</v>
      </c>
      <c r="Y58" s="1"/>
      <c r="Z58" s="5">
        <f t="shared" ref="Z58:Z63" si="44">IF(T58=0,0,X58/T58)</f>
        <v>-1</v>
      </c>
    </row>
    <row r="59" spans="1:26" s="24" customFormat="1" hidden="1" outlineLevel="2" x14ac:dyDescent="0.25">
      <c r="A59" s="26"/>
      <c r="B59" s="11" t="str">
        <f>CONCATENATE("          ", "6254", " - ", "ROYALTY &amp; COMMISSIONS")</f>
        <v xml:space="preserve">          6254 - ROYALTY &amp; COMMISSIONS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2954.27</v>
      </c>
      <c r="U59" s="2"/>
      <c r="V59" s="7">
        <f t="shared" si="42"/>
        <v>2.8331294638329315E-3</v>
      </c>
      <c r="W59" s="2"/>
      <c r="X59" s="6">
        <f t="shared" si="43"/>
        <v>-2954.27</v>
      </c>
      <c r="Y59" s="2"/>
      <c r="Z59" s="7">
        <f t="shared" si="44"/>
        <v>-1</v>
      </c>
    </row>
    <row r="60" spans="1:26" s="27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SUM(OSRRefD22_11x_0)</f>
        <v>0</v>
      </c>
      <c r="E60" s="1"/>
      <c r="F60" s="5">
        <f t="shared" si="37"/>
        <v>0</v>
      </c>
      <c r="G60" s="1"/>
      <c r="H60" s="1">
        <f>SUM(OSRRefH22_11x_0)</f>
        <v>4652.63</v>
      </c>
      <c r="I60" s="1"/>
      <c r="J60" s="5">
        <f t="shared" si="38"/>
        <v>3.907195673442309E-2</v>
      </c>
      <c r="K60" s="1"/>
      <c r="L60" s="1">
        <f t="shared" si="39"/>
        <v>-4652.63</v>
      </c>
      <c r="M60" s="1"/>
      <c r="N60" s="5">
        <f t="shared" si="40"/>
        <v>-1</v>
      </c>
      <c r="O60" s="13"/>
      <c r="P60" s="1">
        <f>SUM(OSRRefP22_11x_0)</f>
        <v>19714.809999999998</v>
      </c>
      <c r="Q60" s="1"/>
      <c r="R60" s="5">
        <f t="shared" si="41"/>
        <v>5.18846480650011E-2</v>
      </c>
      <c r="S60" s="1"/>
      <c r="T60" s="1">
        <f>SUM(OSRRefT22_11x_0)</f>
        <v>32871.120000000003</v>
      </c>
      <c r="U60" s="1"/>
      <c r="V60" s="5">
        <f t="shared" si="42"/>
        <v>3.1523231993415619E-2</v>
      </c>
      <c r="W60" s="1"/>
      <c r="X60" s="1">
        <f t="shared" si="43"/>
        <v>-13156.310000000005</v>
      </c>
      <c r="Y60" s="1"/>
      <c r="Z60" s="5">
        <f t="shared" si="44"/>
        <v>-0.40023917651725904</v>
      </c>
    </row>
    <row r="61" spans="1:26" s="24" customFormat="1" hidden="1" outlineLevel="2" x14ac:dyDescent="0.25">
      <c r="A61" s="26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37"/>
        <v>0</v>
      </c>
      <c r="G61" s="2"/>
      <c r="H61" s="6">
        <v>57</v>
      </c>
      <c r="I61" s="2"/>
      <c r="J61" s="7">
        <f t="shared" si="38"/>
        <v>4.7867583148931167E-4</v>
      </c>
      <c r="K61" s="2"/>
      <c r="L61" s="6">
        <f t="shared" si="39"/>
        <v>-57</v>
      </c>
      <c r="M61" s="2"/>
      <c r="N61" s="7">
        <f t="shared" si="40"/>
        <v>-1</v>
      </c>
      <c r="O61" s="11"/>
      <c r="P61" s="6">
        <v>566.54999999999995</v>
      </c>
      <c r="Q61" s="2"/>
      <c r="R61" s="7">
        <f t="shared" si="41"/>
        <v>1.4910236193616056E-3</v>
      </c>
      <c r="S61" s="2"/>
      <c r="T61" s="6">
        <v>627</v>
      </c>
      <c r="U61" s="2"/>
      <c r="V61" s="7">
        <f t="shared" si="42"/>
        <v>6.0128971753538036E-4</v>
      </c>
      <c r="W61" s="2"/>
      <c r="X61" s="6">
        <f t="shared" si="43"/>
        <v>-60.450000000000045</v>
      </c>
      <c r="Y61" s="2"/>
      <c r="Z61" s="7">
        <f t="shared" si="44"/>
        <v>-9.6411483253588587E-2</v>
      </c>
    </row>
    <row r="62" spans="1:26" s="24" customFormat="1" hidden="1" outlineLevel="2" x14ac:dyDescent="0.25">
      <c r="A62" s="26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37"/>
        <v>0</v>
      </c>
      <c r="G62" s="2"/>
      <c r="H62" s="6">
        <v>493</v>
      </c>
      <c r="I62" s="2"/>
      <c r="J62" s="7">
        <f t="shared" si="38"/>
        <v>4.1401260513022923E-3</v>
      </c>
      <c r="K62" s="2"/>
      <c r="L62" s="6">
        <f t="shared" si="39"/>
        <v>-493</v>
      </c>
      <c r="M62" s="2"/>
      <c r="N62" s="7">
        <f t="shared" si="40"/>
        <v>-1</v>
      </c>
      <c r="O62" s="11"/>
      <c r="P62" s="6">
        <v>517.04999999999995</v>
      </c>
      <c r="Q62" s="2"/>
      <c r="R62" s="7">
        <f t="shared" si="41"/>
        <v>1.3607515001163501E-3</v>
      </c>
      <c r="S62" s="2"/>
      <c r="T62" s="6">
        <v>739.12</v>
      </c>
      <c r="U62" s="2"/>
      <c r="V62" s="7">
        <f t="shared" si="42"/>
        <v>7.0881221056579003E-4</v>
      </c>
      <c r="W62" s="2"/>
      <c r="X62" s="6">
        <f t="shared" si="43"/>
        <v>-222.07000000000005</v>
      </c>
      <c r="Y62" s="2"/>
      <c r="Z62" s="7">
        <f t="shared" si="44"/>
        <v>-0.30045188873254686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37"/>
        <v>0</v>
      </c>
      <c r="G63" s="2"/>
      <c r="H63" s="6">
        <v>4102.63</v>
      </c>
      <c r="I63" s="2"/>
      <c r="J63" s="7">
        <f t="shared" si="38"/>
        <v>3.4453154851631487E-2</v>
      </c>
      <c r="K63" s="2"/>
      <c r="L63" s="6">
        <f t="shared" si="39"/>
        <v>-4102.63</v>
      </c>
      <c r="M63" s="2"/>
      <c r="N63" s="7">
        <f t="shared" si="40"/>
        <v>-1</v>
      </c>
      <c r="O63" s="11"/>
      <c r="P63" s="6">
        <v>18631.21</v>
      </c>
      <c r="Q63" s="2"/>
      <c r="R63" s="7">
        <f t="shared" si="41"/>
        <v>4.9032872945523144E-2</v>
      </c>
      <c r="S63" s="2"/>
      <c r="T63" s="6">
        <v>31505</v>
      </c>
      <c r="U63" s="2"/>
      <c r="V63" s="7">
        <f t="shared" si="42"/>
        <v>3.0213130065314446E-2</v>
      </c>
      <c r="W63" s="2"/>
      <c r="X63" s="6">
        <f t="shared" si="43"/>
        <v>-12873.79</v>
      </c>
      <c r="Y63" s="2"/>
      <c r="Z63" s="7">
        <f t="shared" si="44"/>
        <v>-0.40862688462148866</v>
      </c>
    </row>
    <row r="64" spans="1:26" s="27" customFormat="1" outlineLevel="1" collapsed="1" x14ac:dyDescent="0.25">
      <c r="A64" s="25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0</v>
      </c>
      <c r="E64" s="1"/>
      <c r="F64" s="5">
        <f t="shared" ref="F64:F72" si="45">IF(D$12=0,0,D64/D$12)</f>
        <v>0</v>
      </c>
      <c r="G64" s="1"/>
      <c r="H64" s="1">
        <f>SUM(OSRRefH22_12x_0)</f>
        <v>1906.57</v>
      </c>
      <c r="I64" s="1"/>
      <c r="J64" s="5">
        <f t="shared" ref="J64:J72" si="46">IF(H$12=0,0,H64/H$12)</f>
        <v>1.601103473758907E-2</v>
      </c>
      <c r="K64" s="1"/>
      <c r="L64" s="1">
        <f t="shared" ref="L64:L72" si="47">+D64-H64</f>
        <v>-1906.57</v>
      </c>
      <c r="M64" s="1"/>
      <c r="N64" s="5">
        <f t="shared" ref="N64:N72" si="48">IF(H64=0,0,L64/H64)</f>
        <v>-1</v>
      </c>
      <c r="O64" s="13"/>
      <c r="P64" s="1">
        <f>SUM(OSRRefP22_12x_0)</f>
        <v>12484.019999999999</v>
      </c>
      <c r="Q64" s="1"/>
      <c r="R64" s="5">
        <f t="shared" ref="R64:R72" si="49">IF(P$12=0,0,P64/P$12)</f>
        <v>3.2854944284851591E-2</v>
      </c>
      <c r="S64" s="1"/>
      <c r="T64" s="1">
        <f>SUM(OSRRefT22_12x_0)</f>
        <v>25400.489999999998</v>
      </c>
      <c r="U64" s="1"/>
      <c r="V64" s="5">
        <f t="shared" ref="V64:V72" si="50">IF(T$12=0,0,T64/T$12)</f>
        <v>2.4358936933588919E-2</v>
      </c>
      <c r="W64" s="1"/>
      <c r="X64" s="1">
        <f t="shared" ref="X64:X72" si="51">+P64-T64</f>
        <v>-12916.47</v>
      </c>
      <c r="Y64" s="1"/>
      <c r="Z64" s="5">
        <f t="shared" ref="Z64:Z72" si="52">IF(T64=0,0,X64/T64)</f>
        <v>-0.50851263105554267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45"/>
        <v>0</v>
      </c>
      <c r="G65" s="2"/>
      <c r="H65" s="6">
        <v>206.32</v>
      </c>
      <c r="I65" s="2"/>
      <c r="J65" s="7">
        <f t="shared" si="46"/>
        <v>1.7326385535592066E-3</v>
      </c>
      <c r="K65" s="2"/>
      <c r="L65" s="6">
        <f t="shared" si="47"/>
        <v>-206.32</v>
      </c>
      <c r="M65" s="2"/>
      <c r="N65" s="7">
        <f t="shared" si="48"/>
        <v>-1</v>
      </c>
      <c r="O65" s="11"/>
      <c r="P65" s="6">
        <v>1025.0999999999999</v>
      </c>
      <c r="Q65" s="2"/>
      <c r="R65" s="7">
        <f t="shared" si="49"/>
        <v>2.6978171603699265E-3</v>
      </c>
      <c r="S65" s="2"/>
      <c r="T65" s="6">
        <v>5960.98</v>
      </c>
      <c r="U65" s="2"/>
      <c r="V65" s="7">
        <f t="shared" si="50"/>
        <v>5.7165486131324581E-3</v>
      </c>
      <c r="W65" s="2"/>
      <c r="X65" s="6">
        <f t="shared" si="51"/>
        <v>-4935.8799999999992</v>
      </c>
      <c r="Y65" s="2"/>
      <c r="Z65" s="7">
        <f t="shared" si="52"/>
        <v>-0.8280316323825947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640.37</v>
      </c>
      <c r="U66" s="2"/>
      <c r="V66" s="7">
        <f t="shared" si="50"/>
        <v>6.1411147754087965E-4</v>
      </c>
      <c r="W66" s="2"/>
      <c r="X66" s="6">
        <f t="shared" si="51"/>
        <v>-640.37</v>
      </c>
      <c r="Y66" s="2"/>
      <c r="Z66" s="7">
        <f t="shared" si="52"/>
        <v>-1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/>
      <c r="E67" s="2"/>
      <c r="F67" s="7">
        <f t="shared" si="45"/>
        <v>0</v>
      </c>
      <c r="G67" s="2"/>
      <c r="H67" s="6">
        <v>207.18</v>
      </c>
      <c r="I67" s="2"/>
      <c r="J67" s="7">
        <f t="shared" si="46"/>
        <v>1.7398606801395718E-3</v>
      </c>
      <c r="K67" s="2"/>
      <c r="L67" s="6">
        <f t="shared" si="47"/>
        <v>-207.18</v>
      </c>
      <c r="M67" s="2"/>
      <c r="N67" s="7">
        <f t="shared" si="48"/>
        <v>-1</v>
      </c>
      <c r="O67" s="11"/>
      <c r="P67" s="6">
        <v>3652.68</v>
      </c>
      <c r="Q67" s="2"/>
      <c r="R67" s="7">
        <f t="shared" si="49"/>
        <v>9.6129770611062555E-3</v>
      </c>
      <c r="S67" s="2"/>
      <c r="T67" s="6">
        <v>2403.7199999999998</v>
      </c>
      <c r="U67" s="2"/>
      <c r="V67" s="7">
        <f t="shared" si="50"/>
        <v>2.3051548960672159E-3</v>
      </c>
      <c r="W67" s="2"/>
      <c r="X67" s="6">
        <f t="shared" si="51"/>
        <v>1248.96</v>
      </c>
      <c r="Y67" s="2"/>
      <c r="Z67" s="7">
        <f t="shared" si="52"/>
        <v>0.5195946283260946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/>
      <c r="E68" s="2"/>
      <c r="F68" s="7">
        <f t="shared" si="45"/>
        <v>0</v>
      </c>
      <c r="G68" s="2"/>
      <c r="H68" s="6">
        <v>216.34</v>
      </c>
      <c r="I68" s="2"/>
      <c r="J68" s="7">
        <f t="shared" si="46"/>
        <v>1.8167847260420647E-3</v>
      </c>
      <c r="K68" s="2"/>
      <c r="L68" s="6">
        <f t="shared" si="47"/>
        <v>-216.34</v>
      </c>
      <c r="M68" s="2"/>
      <c r="N68" s="7">
        <f t="shared" si="48"/>
        <v>-1</v>
      </c>
      <c r="O68" s="11"/>
      <c r="P68" s="6">
        <v>786.78</v>
      </c>
      <c r="Q68" s="2"/>
      <c r="R68" s="7">
        <f t="shared" si="49"/>
        <v>2.0706161208036786E-3</v>
      </c>
      <c r="S68" s="2"/>
      <c r="T68" s="6">
        <v>3358.86</v>
      </c>
      <c r="U68" s="2"/>
      <c r="V68" s="7">
        <f t="shared" si="50"/>
        <v>3.2211291557270936E-3</v>
      </c>
      <c r="W68" s="2"/>
      <c r="X68" s="6">
        <f t="shared" si="51"/>
        <v>-2572.08</v>
      </c>
      <c r="Y68" s="2"/>
      <c r="Z68" s="7">
        <f t="shared" si="52"/>
        <v>-0.76575981136457005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45"/>
        <v>0</v>
      </c>
      <c r="G69" s="2"/>
      <c r="H69" s="6">
        <v>1255.3900000000001</v>
      </c>
      <c r="I69" s="2"/>
      <c r="J69" s="7">
        <f t="shared" si="46"/>
        <v>1.0542541264795913E-2</v>
      </c>
      <c r="K69" s="2"/>
      <c r="L69" s="6">
        <f t="shared" si="47"/>
        <v>-1255.3900000000001</v>
      </c>
      <c r="M69" s="2"/>
      <c r="N69" s="7">
        <f t="shared" si="48"/>
        <v>-1</v>
      </c>
      <c r="O69" s="11"/>
      <c r="P69" s="6">
        <v>5217.22</v>
      </c>
      <c r="Q69" s="2"/>
      <c r="R69" s="7">
        <f t="shared" si="49"/>
        <v>1.3730470827651145E-2</v>
      </c>
      <c r="S69" s="2"/>
      <c r="T69" s="6">
        <v>10262.64</v>
      </c>
      <c r="U69" s="2"/>
      <c r="V69" s="7">
        <f t="shared" si="50"/>
        <v>9.8418180331216829E-3</v>
      </c>
      <c r="W69" s="2"/>
      <c r="X69" s="6">
        <f t="shared" si="51"/>
        <v>-5045.4199999999992</v>
      </c>
      <c r="Y69" s="2"/>
      <c r="Z69" s="7">
        <f t="shared" si="52"/>
        <v>-0.49162983403880478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36.82</v>
      </c>
      <c r="U70" s="2"/>
      <c r="V70" s="7">
        <f t="shared" si="50"/>
        <v>3.5310187240275448E-5</v>
      </c>
      <c r="W70" s="2"/>
      <c r="X70" s="6">
        <f t="shared" si="51"/>
        <v>-36.82</v>
      </c>
      <c r="Y70" s="2"/>
      <c r="Z70" s="7">
        <f t="shared" si="52"/>
        <v>-1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45"/>
        <v>0</v>
      </c>
      <c r="G71" s="2"/>
      <c r="H71" s="6">
        <v>21.34</v>
      </c>
      <c r="I71" s="2"/>
      <c r="J71" s="7">
        <f t="shared" si="46"/>
        <v>1.7920951305231423E-4</v>
      </c>
      <c r="K71" s="2"/>
      <c r="L71" s="6">
        <f t="shared" si="47"/>
        <v>-21.34</v>
      </c>
      <c r="M71" s="2"/>
      <c r="N71" s="7">
        <f t="shared" si="48"/>
        <v>-1</v>
      </c>
      <c r="O71" s="11"/>
      <c r="P71" s="6">
        <v>509.58</v>
      </c>
      <c r="Q71" s="2"/>
      <c r="R71" s="7">
        <f t="shared" si="49"/>
        <v>1.3410922530302479E-3</v>
      </c>
      <c r="S71" s="2"/>
      <c r="T71" s="6">
        <v>1547</v>
      </c>
      <c r="U71" s="2"/>
      <c r="V71" s="7">
        <f t="shared" si="50"/>
        <v>1.4835649011598619E-3</v>
      </c>
      <c r="W71" s="2"/>
      <c r="X71" s="6">
        <f t="shared" si="51"/>
        <v>-1037.42</v>
      </c>
      <c r="Y71" s="2"/>
      <c r="Z71" s="7">
        <f t="shared" si="52"/>
        <v>-0.67060116354234001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1292.6600000000001</v>
      </c>
      <c r="Q72" s="2"/>
      <c r="R72" s="7">
        <f t="shared" si="49"/>
        <v>3.4019708618903419E-3</v>
      </c>
      <c r="S72" s="2"/>
      <c r="T72" s="6">
        <v>1190.0999999999999</v>
      </c>
      <c r="U72" s="2"/>
      <c r="V72" s="7">
        <f t="shared" si="50"/>
        <v>1.1412996695994515E-3</v>
      </c>
      <c r="W72" s="2"/>
      <c r="X72" s="6">
        <f t="shared" si="51"/>
        <v>102.56000000000017</v>
      </c>
      <c r="Y72" s="2"/>
      <c r="Z72" s="7">
        <f t="shared" si="52"/>
        <v>8.6177632131753792E-2</v>
      </c>
    </row>
    <row r="73" spans="1:26" s="27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SUM(OSRRefD22_13x_0)</f>
        <v>74</v>
      </c>
      <c r="E73" s="1"/>
      <c r="F73" s="5">
        <f t="shared" ref="F73:F76" si="53">IF(D$12=0,0,D73/D$12)</f>
        <v>0</v>
      </c>
      <c r="G73" s="1"/>
      <c r="H73" s="1">
        <f>SUM(OSRRefH22_13x_0)</f>
        <v>238.85</v>
      </c>
      <c r="I73" s="1"/>
      <c r="J73" s="5">
        <f t="shared" ref="J73:J76" si="54">IF(H$12=0,0,H73/H$12)</f>
        <v>2.0058196903723173E-3</v>
      </c>
      <c r="K73" s="1"/>
      <c r="L73" s="1">
        <f t="shared" ref="L73:L76" si="55">+D73-H73</f>
        <v>-164.85</v>
      </c>
      <c r="M73" s="1"/>
      <c r="N73" s="5">
        <f t="shared" ref="N73:N76" si="56">IF(H73=0,0,L73/H73)</f>
        <v>-0.69018212267113255</v>
      </c>
      <c r="O73" s="13"/>
      <c r="P73" s="1">
        <f>SUM(OSRRefP22_13x_0)</f>
        <v>2067.98</v>
      </c>
      <c r="Q73" s="1"/>
      <c r="R73" s="5">
        <f t="shared" ref="R73:R76" si="57">IF(P$12=0,0,P73/P$12)</f>
        <v>5.4424270132687547E-3</v>
      </c>
      <c r="S73" s="1"/>
      <c r="T73" s="1">
        <f>SUM(OSRRefT22_13x_0)</f>
        <v>2261.9</v>
      </c>
      <c r="U73" s="1"/>
      <c r="V73" s="5">
        <f t="shared" ref="V73:V76" si="58">IF(T$12=0,0,T73/T$12)</f>
        <v>2.1691502585219728E-3</v>
      </c>
      <c r="W73" s="1"/>
      <c r="X73" s="1">
        <f t="shared" ref="X73:X76" si="59">+P73-T73</f>
        <v>-193.92000000000007</v>
      </c>
      <c r="Y73" s="1"/>
      <c r="Z73" s="5">
        <f t="shared" ref="Z73:Z76" si="60">IF(T73=0,0,X73/T73)</f>
        <v>-8.5733233122596078E-2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74</v>
      </c>
      <c r="E74" s="2"/>
      <c r="F74" s="7">
        <f t="shared" si="53"/>
        <v>0</v>
      </c>
      <c r="G74" s="2"/>
      <c r="H74" s="6">
        <v>238.85</v>
      </c>
      <c r="I74" s="2"/>
      <c r="J74" s="7">
        <f t="shared" si="54"/>
        <v>2.0058196903723173E-3</v>
      </c>
      <c r="K74" s="2"/>
      <c r="L74" s="6">
        <f t="shared" si="55"/>
        <v>-164.85</v>
      </c>
      <c r="M74" s="2"/>
      <c r="N74" s="7">
        <f t="shared" si="56"/>
        <v>-0.69018212267113255</v>
      </c>
      <c r="O74" s="11"/>
      <c r="P74" s="6">
        <v>2067.98</v>
      </c>
      <c r="Q74" s="2"/>
      <c r="R74" s="7">
        <f t="shared" si="57"/>
        <v>5.4424270132687547E-3</v>
      </c>
      <c r="S74" s="2"/>
      <c r="T74" s="6">
        <v>2261.9</v>
      </c>
      <c r="U74" s="2"/>
      <c r="V74" s="7">
        <f t="shared" si="58"/>
        <v>2.1691502585219728E-3</v>
      </c>
      <c r="W74" s="2"/>
      <c r="X74" s="6">
        <f t="shared" si="59"/>
        <v>-193.92000000000007</v>
      </c>
      <c r="Y74" s="2"/>
      <c r="Z74" s="7">
        <f t="shared" si="60"/>
        <v>-8.5733233122596078E-2</v>
      </c>
    </row>
    <row r="75" spans="1:26" s="27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SUM(OSRRefD22_14x_0)</f>
        <v>0</v>
      </c>
      <c r="E75" s="1"/>
      <c r="F75" s="5">
        <f t="shared" si="53"/>
        <v>0</v>
      </c>
      <c r="G75" s="1"/>
      <c r="H75" s="1">
        <f>SUM(OSRRefH22_14x_0)</f>
        <v>0</v>
      </c>
      <c r="I75" s="1"/>
      <c r="J75" s="5">
        <f t="shared" si="54"/>
        <v>0</v>
      </c>
      <c r="K75" s="1"/>
      <c r="L75" s="1">
        <f t="shared" si="55"/>
        <v>0</v>
      </c>
      <c r="M75" s="1"/>
      <c r="N75" s="5">
        <f t="shared" si="56"/>
        <v>0</v>
      </c>
      <c r="O75" s="13"/>
      <c r="P75" s="1">
        <f>SUM(OSRRefP22_14x_0)</f>
        <v>175</v>
      </c>
      <c r="Q75" s="1"/>
      <c r="R75" s="5">
        <f t="shared" si="57"/>
        <v>4.605579973317112E-4</v>
      </c>
      <c r="S75" s="1"/>
      <c r="T75" s="1">
        <f>SUM(OSRRefT22_14x_0)</f>
        <v>175</v>
      </c>
      <c r="U75" s="1"/>
      <c r="V75" s="5">
        <f t="shared" si="58"/>
        <v>1.6782408384161332E-4</v>
      </c>
      <c r="W75" s="1"/>
      <c r="X75" s="1">
        <f t="shared" si="59"/>
        <v>0</v>
      </c>
      <c r="Y75" s="1"/>
      <c r="Z75" s="5">
        <f t="shared" si="60"/>
        <v>0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175</v>
      </c>
      <c r="Q76" s="2"/>
      <c r="R76" s="7">
        <f t="shared" si="57"/>
        <v>4.605579973317112E-4</v>
      </c>
      <c r="S76" s="2"/>
      <c r="T76" s="6">
        <v>175</v>
      </c>
      <c r="U76" s="2"/>
      <c r="V76" s="7">
        <f t="shared" si="58"/>
        <v>1.6782408384161332E-4</v>
      </c>
      <c r="W76" s="2"/>
      <c r="X76" s="6">
        <f t="shared" si="59"/>
        <v>0</v>
      </c>
      <c r="Y76" s="2"/>
      <c r="Z76" s="7">
        <f t="shared" si="60"/>
        <v>0</v>
      </c>
    </row>
    <row r="77" spans="1:26" s="58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1">
        <f>+D21-D23+D78</f>
        <v>-379.28</v>
      </c>
      <c r="E80" s="14"/>
      <c r="F80" s="20">
        <f>IF(D$12=0,0,D80/D$12)</f>
        <v>0</v>
      </c>
      <c r="G80" s="14"/>
      <c r="H80" s="21">
        <f>+H21-H23+H78</f>
        <v>-7490.1699999999837</v>
      </c>
      <c r="I80" s="14"/>
      <c r="J80" s="20">
        <f>IF(H$12=0,0,H80/H$12)</f>
        <v>-6.2901111451689293E-2</v>
      </c>
      <c r="K80" s="16"/>
      <c r="L80" s="21">
        <f>+D80-H80</f>
        <v>7110.889999999984</v>
      </c>
      <c r="M80" s="16"/>
      <c r="N80" s="20">
        <f>IF(H80=0,0,L80/H80)</f>
        <v>-0.94936296505953799</v>
      </c>
      <c r="O80" s="28"/>
      <c r="P80" s="21">
        <f>+P21-P23+P78</f>
        <v>-162558.16999999993</v>
      </c>
      <c r="Q80" s="14"/>
      <c r="R80" s="20">
        <f>IF(P$12=0,0,P80/P$12)</f>
        <v>-0.42781408700061613</v>
      </c>
      <c r="S80" s="14"/>
      <c r="T80" s="21">
        <f>+T21-T23+T78</f>
        <v>59884.820000000298</v>
      </c>
      <c r="U80" s="14"/>
      <c r="V80" s="20">
        <f>IF(T$12=0,0,T80/T$12)</f>
        <v>5.7429228871542705E-2</v>
      </c>
      <c r="W80" s="16"/>
      <c r="X80" s="21">
        <f>+P80-T80</f>
        <v>-222442.99000000022</v>
      </c>
      <c r="Y80" s="16"/>
      <c r="Z80" s="20">
        <f>IF(T80=0,0,X80/T80)</f>
        <v>-3.7145137949817517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1851.53</v>
      </c>
      <c r="E82" s="4"/>
      <c r="F82" s="12">
        <f>IF(D$12=0,0,D82/D$12)</f>
        <v>0</v>
      </c>
      <c r="G82" s="4"/>
      <c r="H82" s="4">
        <v>12437.65</v>
      </c>
      <c r="I82" s="4"/>
      <c r="J82" s="12">
        <f>IF(H$12=0,0,H82/H$12)</f>
        <v>0.10444916588636907</v>
      </c>
      <c r="K82" s="4"/>
      <c r="L82" s="4">
        <f>+D82-H82</f>
        <v>-10586.119999999999</v>
      </c>
      <c r="M82" s="4"/>
      <c r="N82" s="12">
        <f>IF(H82=0,0,L82/H82)</f>
        <v>-0.85113506168769815</v>
      </c>
      <c r="O82" s="10"/>
      <c r="P82" s="4">
        <v>44994.84</v>
      </c>
      <c r="Q82" s="4"/>
      <c r="R82" s="12">
        <f>IF(P$12=0,0,P82/P$12)</f>
        <v>0.11841561943234727</v>
      </c>
      <c r="S82" s="4"/>
      <c r="T82" s="4">
        <v>108462.09</v>
      </c>
      <c r="U82" s="4"/>
      <c r="V82" s="12">
        <f>IF(T$12=0,0,T82/T$12)</f>
        <v>0.10401457649026635</v>
      </c>
      <c r="W82" s="4"/>
      <c r="X82" s="4">
        <f>+P82-T82</f>
        <v>-63467.25</v>
      </c>
      <c r="Y82" s="4"/>
      <c r="Z82" s="12">
        <f>IF(T82=0,0,X82/T82)</f>
        <v>-0.58515606697234035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5">
        <f>+D80-D82</f>
        <v>-2230.81</v>
      </c>
      <c r="E84" s="14"/>
      <c r="F84" s="32">
        <f>IF(D$12=0,0,D84/D$12)</f>
        <v>0</v>
      </c>
      <c r="G84" s="14"/>
      <c r="H84" s="35">
        <f>+H80-H82</f>
        <v>-19927.819999999985</v>
      </c>
      <c r="I84" s="14"/>
      <c r="J84" s="32">
        <f>IF(H$12=0,0,H84/H$12)</f>
        <v>-0.16735027733805838</v>
      </c>
      <c r="K84" s="16"/>
      <c r="L84" s="35">
        <f>D84-H84</f>
        <v>17697.009999999984</v>
      </c>
      <c r="M84" s="16"/>
      <c r="N84" s="32">
        <f>IF(H84=0,0,L84/H84)</f>
        <v>-0.88805549227160807</v>
      </c>
      <c r="O84" s="28"/>
      <c r="P84" s="35">
        <f>+P80-P82</f>
        <v>-207553.00999999992</v>
      </c>
      <c r="Q84" s="14"/>
      <c r="R84" s="32">
        <f>IF(P$12=0,0,P84/P$12)</f>
        <v>-0.54622970643296342</v>
      </c>
      <c r="S84" s="14"/>
      <c r="T84" s="35">
        <f>+T80-T82</f>
        <v>-48577.269999999698</v>
      </c>
      <c r="U84" s="14"/>
      <c r="V84" s="32">
        <f>IF(T$12=0,0,T84/T$12)</f>
        <v>-4.6585347618723641E-2</v>
      </c>
      <c r="W84" s="16"/>
      <c r="X84" s="35">
        <f>P84-T84</f>
        <v>-158975.74000000022</v>
      </c>
      <c r="Y84" s="16"/>
      <c r="Z84" s="32">
        <f>IF(T84=0,0,X84/T84)</f>
        <v>3.2726363585273774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6">
        <f>SUM(D84:D86)</f>
        <v>-2230.81</v>
      </c>
      <c r="E87" s="14"/>
      <c r="F87" s="33">
        <f>IF(D$12=0,0,D87/D$12)</f>
        <v>0</v>
      </c>
      <c r="G87" s="14"/>
      <c r="H87" s="36">
        <f>SUM(H84:H86)</f>
        <v>-19927.819999999985</v>
      </c>
      <c r="I87" s="14"/>
      <c r="J87" s="33">
        <f>IF(H$12=0,0,H87/H$12)</f>
        <v>-0.16735027733805838</v>
      </c>
      <c r="K87" s="16"/>
      <c r="L87" s="36">
        <f>+D87-H87</f>
        <v>17697.009999999984</v>
      </c>
      <c r="M87" s="16"/>
      <c r="N87" s="33">
        <f>IF(H87=0,0,L87/H87)</f>
        <v>-0.88805549227160807</v>
      </c>
      <c r="O87" s="28"/>
      <c r="P87" s="36">
        <f>SUM(P84:P86)</f>
        <v>-207553.00999999992</v>
      </c>
      <c r="Q87" s="14"/>
      <c r="R87" s="33">
        <f>IF(P$12=0,0,P87/P$12)</f>
        <v>-0.54622970643296342</v>
      </c>
      <c r="S87" s="14"/>
      <c r="T87" s="36">
        <f>SUM(T84:T86)</f>
        <v>-48577.269999999698</v>
      </c>
      <c r="U87" s="14"/>
      <c r="V87" s="33">
        <f>IF(T$12=0,0,T87/T$12)</f>
        <v>-4.6585347618723641E-2</v>
      </c>
      <c r="W87" s="16"/>
      <c r="X87" s="36">
        <f>+P87-T87</f>
        <v>-158975.74000000022</v>
      </c>
      <c r="Y87" s="16"/>
      <c r="Z87" s="33">
        <f>IF(T87=0,0,X87/T87)</f>
        <v>3.2726363585273774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5">
        <v>43992.375903275461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2" t="s">
        <v>313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211082.08000000002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211082.08000000002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>
        <f t="shared" ref="T13:T14" si="6">0</f>
        <v>0</v>
      </c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>
        <f t="shared" si="6"/>
        <v>0</v>
      </c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7">IF(D$12=0,0,D16/D$12)</f>
        <v>0</v>
      </c>
      <c r="G16" s="4"/>
      <c r="H16" s="4">
        <f>SUM(OSRRefH16x_0)</f>
        <v>0</v>
      </c>
      <c r="I16" s="4"/>
      <c r="J16" s="12">
        <f t="shared" ref="J16:J18" si="8">IF(H$12=0,0,H16/H$12)</f>
        <v>0</v>
      </c>
      <c r="K16" s="4"/>
      <c r="L16" s="4">
        <f t="shared" ref="L16:L18" si="9">+D16-H16</f>
        <v>0</v>
      </c>
      <c r="M16" s="4"/>
      <c r="N16" s="12">
        <f t="shared" ref="N16:N18" si="10">IF(H16=0,0,L16/H16)</f>
        <v>0</v>
      </c>
      <c r="O16" s="10"/>
      <c r="P16" s="4">
        <f>SUM(OSRRefP16x_0)</f>
        <v>9795.24</v>
      </c>
      <c r="Q16" s="4"/>
      <c r="R16" s="12">
        <f t="shared" ref="R16:R18" si="11">IF(P$12=0,0,P16/P$12)</f>
        <v>4.6404886667783446E-2</v>
      </c>
      <c r="S16" s="4"/>
      <c r="T16" s="4">
        <f>SUM(OSRRefT16x_0)</f>
        <v>0</v>
      </c>
      <c r="U16" s="4"/>
      <c r="V16" s="12">
        <f t="shared" ref="V16:V18" si="12">IF(T$12=0,0,T16/T$12)</f>
        <v>0</v>
      </c>
      <c r="W16" s="4"/>
      <c r="X16" s="4">
        <f t="shared" ref="X16:X18" si="13">+P16-T16</f>
        <v>9795.24</v>
      </c>
      <c r="Y16" s="4"/>
      <c r="Z16" s="12">
        <f t="shared" ref="Z16:Z18" si="14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1"/>
      <c r="P17" s="2">
        <v>373.24</v>
      </c>
      <c r="Q17" s="2"/>
      <c r="R17" s="19">
        <f t="shared" si="11"/>
        <v>1.7682221058272687E-3</v>
      </c>
      <c r="S17" s="2"/>
      <c r="T17" s="2"/>
      <c r="U17" s="2"/>
      <c r="V17" s="19">
        <f t="shared" si="12"/>
        <v>0</v>
      </c>
      <c r="W17" s="2"/>
      <c r="X17" s="2">
        <f t="shared" si="13"/>
        <v>373.24</v>
      </c>
      <c r="Y17" s="2"/>
      <c r="Z17" s="19">
        <f t="shared" si="14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0</v>
      </c>
      <c r="M18" s="2"/>
      <c r="N18" s="19">
        <f t="shared" si="10"/>
        <v>0</v>
      </c>
      <c r="O18" s="11"/>
      <c r="P18" s="2">
        <v>9422</v>
      </c>
      <c r="Q18" s="2"/>
      <c r="R18" s="19">
        <f t="shared" si="11"/>
        <v>4.4636664561956182E-2</v>
      </c>
      <c r="S18" s="2"/>
      <c r="T18" s="2"/>
      <c r="U18" s="2"/>
      <c r="V18" s="19">
        <f t="shared" si="12"/>
        <v>0</v>
      </c>
      <c r="W18" s="2"/>
      <c r="X18" s="2">
        <f t="shared" si="13"/>
        <v>9422</v>
      </c>
      <c r="Y18" s="2"/>
      <c r="Z18" s="19">
        <f t="shared" si="14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0</v>
      </c>
      <c r="I20" s="14"/>
      <c r="J20" s="20">
        <f>IF(H$12=0,0,H20/H$12)</f>
        <v>0</v>
      </c>
      <c r="K20" s="16"/>
      <c r="L20" s="21">
        <f>+D20-H20</f>
        <v>0</v>
      </c>
      <c r="M20" s="16"/>
      <c r="N20" s="20">
        <f>IF(H20=0,0,L20/H20)</f>
        <v>0</v>
      </c>
      <c r="O20" s="28"/>
      <c r="P20" s="21">
        <f>P12-P16</f>
        <v>201286.84000000003</v>
      </c>
      <c r="Q20" s="14"/>
      <c r="R20" s="20">
        <f>IF(P$12=0,0,P20/P$12)</f>
        <v>0.95359511333221658</v>
      </c>
      <c r="S20" s="14"/>
      <c r="T20" s="21">
        <f>T12-T16</f>
        <v>0</v>
      </c>
      <c r="U20" s="14"/>
      <c r="V20" s="20">
        <f>IF(T$12=0,0,T20/T$12)</f>
        <v>0</v>
      </c>
      <c r="W20" s="16"/>
      <c r="X20" s="21">
        <f>+P20-T20</f>
        <v>201286.84000000003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0</v>
      </c>
      <c r="E22" s="22"/>
      <c r="F22" s="31">
        <f t="shared" ref="F22:F31" si="15">IF(D$12=0,0,D22/D$12)</f>
        <v>0</v>
      </c>
      <c r="G22" s="22"/>
      <c r="H22" s="22">
        <f>SUM(OSRRefH22x_0)</f>
        <v>0</v>
      </c>
      <c r="I22" s="22"/>
      <c r="J22" s="31">
        <f t="shared" ref="J22:J31" si="16">IF(H$12=0,0,H22/H$12)</f>
        <v>0</v>
      </c>
      <c r="K22" s="4"/>
      <c r="L22" s="22">
        <f t="shared" ref="L22:L31" si="17">+D22-H22</f>
        <v>0</v>
      </c>
      <c r="M22" s="4"/>
      <c r="N22" s="31">
        <f t="shared" ref="N22:N31" si="18">IF(H22=0,0,L22/H22)</f>
        <v>0</v>
      </c>
      <c r="O22" s="10"/>
      <c r="P22" s="22">
        <f>SUM(OSRRefP22x_0)</f>
        <v>200125.53999999998</v>
      </c>
      <c r="Q22" s="22"/>
      <c r="R22" s="31">
        <f t="shared" ref="R22:R31" si="19">IF(P$12=0,0,P22/P$12)</f>
        <v>0.94809346203145228</v>
      </c>
      <c r="S22" s="22"/>
      <c r="T22" s="22">
        <f>SUM(OSRRefT22x_0)</f>
        <v>0</v>
      </c>
      <c r="U22" s="22"/>
      <c r="V22" s="31">
        <f t="shared" ref="V22:V31" si="20">IF(T$12=0,0,T22/T$12)</f>
        <v>0</v>
      </c>
      <c r="W22" s="4"/>
      <c r="X22" s="22">
        <f t="shared" ref="X22:X31" si="21">+P22-T22</f>
        <v>200125.53999999998</v>
      </c>
      <c r="Y22" s="4"/>
      <c r="Z22" s="31">
        <f t="shared" ref="Z22:Z31" si="22">IF(T22=0,0,X22/T22)</f>
        <v>0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5"/>
        <v>0</v>
      </c>
      <c r="G23" s="1"/>
      <c r="H23" s="1">
        <f>SUM(OSRRefH22_0x_0)</f>
        <v>0</v>
      </c>
      <c r="I23" s="1"/>
      <c r="J23" s="5">
        <f t="shared" si="16"/>
        <v>0</v>
      </c>
      <c r="K23" s="1"/>
      <c r="L23" s="1">
        <f t="shared" si="17"/>
        <v>0</v>
      </c>
      <c r="M23" s="1"/>
      <c r="N23" s="5">
        <f t="shared" si="18"/>
        <v>0</v>
      </c>
      <c r="O23" s="13"/>
      <c r="P23" s="1">
        <f>SUM(OSRRefP22_0x_0)</f>
        <v>34814.620000000003</v>
      </c>
      <c r="Q23" s="1"/>
      <c r="R23" s="5">
        <f t="shared" si="19"/>
        <v>0.1649340389293113</v>
      </c>
      <c r="S23" s="1"/>
      <c r="T23" s="1">
        <f>SUM(OSRRefT22_0x_0)</f>
        <v>0</v>
      </c>
      <c r="U23" s="1"/>
      <c r="V23" s="5">
        <f t="shared" si="20"/>
        <v>0</v>
      </c>
      <c r="W23" s="1"/>
      <c r="X23" s="1">
        <f t="shared" si="21"/>
        <v>34814.620000000003</v>
      </c>
      <c r="Y23" s="1"/>
      <c r="Z23" s="5">
        <f t="shared" si="22"/>
        <v>0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5"/>
        <v>0</v>
      </c>
      <c r="G24" s="2"/>
      <c r="H24" s="6"/>
      <c r="I24" s="2"/>
      <c r="J24" s="7">
        <f t="shared" si="16"/>
        <v>0</v>
      </c>
      <c r="K24" s="2"/>
      <c r="L24" s="6">
        <f t="shared" si="17"/>
        <v>0</v>
      </c>
      <c r="M24" s="2"/>
      <c r="N24" s="7">
        <f t="shared" si="18"/>
        <v>0</v>
      </c>
      <c r="O24" s="11"/>
      <c r="P24" s="6">
        <v>14309.01</v>
      </c>
      <c r="Q24" s="2"/>
      <c r="R24" s="7">
        <f t="shared" si="19"/>
        <v>6.7788843088906453E-2</v>
      </c>
      <c r="S24" s="2"/>
      <c r="T24" s="6"/>
      <c r="U24" s="2"/>
      <c r="V24" s="7">
        <f t="shared" si="20"/>
        <v>0</v>
      </c>
      <c r="W24" s="2"/>
      <c r="X24" s="6">
        <f t="shared" si="21"/>
        <v>14309.01</v>
      </c>
      <c r="Y24" s="2"/>
      <c r="Z24" s="7">
        <f t="shared" si="22"/>
        <v>0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5"/>
        <v>0</v>
      </c>
      <c r="G25" s="2"/>
      <c r="H25" s="6"/>
      <c r="I25" s="2"/>
      <c r="J25" s="7">
        <f t="shared" si="16"/>
        <v>0</v>
      </c>
      <c r="K25" s="2"/>
      <c r="L25" s="6">
        <f t="shared" si="17"/>
        <v>0</v>
      </c>
      <c r="M25" s="2"/>
      <c r="N25" s="7">
        <f t="shared" si="18"/>
        <v>0</v>
      </c>
      <c r="O25" s="11"/>
      <c r="P25" s="6">
        <v>8030.89</v>
      </c>
      <c r="Q25" s="2"/>
      <c r="R25" s="7">
        <f t="shared" si="19"/>
        <v>3.8046289860323525E-2</v>
      </c>
      <c r="S25" s="2"/>
      <c r="T25" s="6"/>
      <c r="U25" s="2"/>
      <c r="V25" s="7">
        <f t="shared" si="20"/>
        <v>0</v>
      </c>
      <c r="W25" s="2"/>
      <c r="X25" s="6">
        <f t="shared" si="21"/>
        <v>8030.89</v>
      </c>
      <c r="Y25" s="2"/>
      <c r="Z25" s="7">
        <f t="shared" si="22"/>
        <v>0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5"/>
        <v>0</v>
      </c>
      <c r="G26" s="2"/>
      <c r="H26" s="6"/>
      <c r="I26" s="2"/>
      <c r="J26" s="7">
        <f t="shared" si="16"/>
        <v>0</v>
      </c>
      <c r="K26" s="2"/>
      <c r="L26" s="6">
        <f t="shared" si="17"/>
        <v>0</v>
      </c>
      <c r="M26" s="2"/>
      <c r="N26" s="7">
        <f t="shared" si="18"/>
        <v>0</v>
      </c>
      <c r="O26" s="11"/>
      <c r="P26" s="6">
        <v>19739.060000000001</v>
      </c>
      <c r="Q26" s="2"/>
      <c r="R26" s="7">
        <f t="shared" si="19"/>
        <v>9.3513670132490637E-2</v>
      </c>
      <c r="S26" s="2"/>
      <c r="T26" s="6"/>
      <c r="U26" s="2"/>
      <c r="V26" s="7">
        <f t="shared" si="20"/>
        <v>0</v>
      </c>
      <c r="W26" s="2"/>
      <c r="X26" s="6">
        <f t="shared" si="21"/>
        <v>19739.060000000001</v>
      </c>
      <c r="Y26" s="2"/>
      <c r="Z26" s="7">
        <f t="shared" si="22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5"/>
        <v>0</v>
      </c>
      <c r="G27" s="2"/>
      <c r="H27" s="6"/>
      <c r="I27" s="2"/>
      <c r="J27" s="7">
        <f t="shared" si="16"/>
        <v>0</v>
      </c>
      <c r="K27" s="2"/>
      <c r="L27" s="6">
        <f t="shared" si="17"/>
        <v>0</v>
      </c>
      <c r="M27" s="2"/>
      <c r="N27" s="7">
        <f t="shared" si="18"/>
        <v>0</v>
      </c>
      <c r="O27" s="11"/>
      <c r="P27" s="6">
        <v>538.16</v>
      </c>
      <c r="Q27" s="2"/>
      <c r="R27" s="7">
        <f t="shared" si="19"/>
        <v>2.5495295479369918E-3</v>
      </c>
      <c r="S27" s="2"/>
      <c r="T27" s="6"/>
      <c r="U27" s="2"/>
      <c r="V27" s="7">
        <f t="shared" si="20"/>
        <v>0</v>
      </c>
      <c r="W27" s="2"/>
      <c r="X27" s="6">
        <f t="shared" si="21"/>
        <v>538.16</v>
      </c>
      <c r="Y27" s="2"/>
      <c r="Z27" s="7">
        <f t="shared" si="22"/>
        <v>0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5"/>
        <v>0</v>
      </c>
      <c r="G28" s="2"/>
      <c r="H28" s="6"/>
      <c r="I28" s="2"/>
      <c r="J28" s="7">
        <f t="shared" si="16"/>
        <v>0</v>
      </c>
      <c r="K28" s="2"/>
      <c r="L28" s="6">
        <f t="shared" si="17"/>
        <v>0</v>
      </c>
      <c r="M28" s="2"/>
      <c r="N28" s="7">
        <f t="shared" si="18"/>
        <v>0</v>
      </c>
      <c r="O28" s="11"/>
      <c r="P28" s="6">
        <v>10221.48</v>
      </c>
      <c r="Q28" s="2"/>
      <c r="R28" s="7">
        <f t="shared" si="19"/>
        <v>4.8424195933638697E-2</v>
      </c>
      <c r="S28" s="2"/>
      <c r="T28" s="6"/>
      <c r="U28" s="2"/>
      <c r="V28" s="7">
        <f t="shared" si="20"/>
        <v>0</v>
      </c>
      <c r="W28" s="2"/>
      <c r="X28" s="6">
        <f t="shared" si="21"/>
        <v>10221.48</v>
      </c>
      <c r="Y28" s="2"/>
      <c r="Z28" s="7">
        <f t="shared" si="22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5"/>
        <v>0</v>
      </c>
      <c r="G29" s="2"/>
      <c r="H29" s="6"/>
      <c r="I29" s="2"/>
      <c r="J29" s="7">
        <f t="shared" si="16"/>
        <v>0</v>
      </c>
      <c r="K29" s="2"/>
      <c r="L29" s="6">
        <f t="shared" si="17"/>
        <v>0</v>
      </c>
      <c r="M29" s="2"/>
      <c r="N29" s="7">
        <f t="shared" si="18"/>
        <v>0</v>
      </c>
      <c r="O29" s="11"/>
      <c r="P29" s="6">
        <v>6534.07</v>
      </c>
      <c r="Q29" s="2"/>
      <c r="R29" s="7">
        <f t="shared" si="19"/>
        <v>3.0955114711774676E-2</v>
      </c>
      <c r="S29" s="2"/>
      <c r="T29" s="6"/>
      <c r="U29" s="2"/>
      <c r="V29" s="7">
        <f t="shared" si="20"/>
        <v>0</v>
      </c>
      <c r="W29" s="2"/>
      <c r="X29" s="6">
        <f t="shared" si="21"/>
        <v>6534.07</v>
      </c>
      <c r="Y29" s="2"/>
      <c r="Z29" s="7">
        <f t="shared" si="22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5"/>
        <v>0</v>
      </c>
      <c r="G30" s="2"/>
      <c r="H30" s="6"/>
      <c r="I30" s="2"/>
      <c r="J30" s="7">
        <f t="shared" si="16"/>
        <v>0</v>
      </c>
      <c r="K30" s="2"/>
      <c r="L30" s="6">
        <f t="shared" si="17"/>
        <v>0</v>
      </c>
      <c r="M30" s="2"/>
      <c r="N30" s="7">
        <f t="shared" si="18"/>
        <v>0</v>
      </c>
      <c r="O30" s="11"/>
      <c r="P30" s="6">
        <v>-25661.230000000003</v>
      </c>
      <c r="Q30" s="2"/>
      <c r="R30" s="7">
        <f t="shared" si="19"/>
        <v>-0.12156991251933845</v>
      </c>
      <c r="S30" s="2"/>
      <c r="T30" s="6"/>
      <c r="U30" s="2"/>
      <c r="V30" s="7">
        <f t="shared" si="20"/>
        <v>0</v>
      </c>
      <c r="W30" s="2"/>
      <c r="X30" s="6">
        <f t="shared" si="21"/>
        <v>-25661.230000000003</v>
      </c>
      <c r="Y30" s="2"/>
      <c r="Z30" s="7">
        <f t="shared" si="22"/>
        <v>0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1"/>
      <c r="P31" s="6">
        <v>1103.18</v>
      </c>
      <c r="Q31" s="2"/>
      <c r="R31" s="7">
        <f t="shared" si="19"/>
        <v>5.2263081735787328E-3</v>
      </c>
      <c r="S31" s="2"/>
      <c r="T31" s="6"/>
      <c r="U31" s="2"/>
      <c r="V31" s="7">
        <f t="shared" si="20"/>
        <v>0</v>
      </c>
      <c r="W31" s="2"/>
      <c r="X31" s="6">
        <f t="shared" si="21"/>
        <v>1103.18</v>
      </c>
      <c r="Y31" s="2"/>
      <c r="Z31" s="7">
        <f t="shared" si="22"/>
        <v>0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3">IF(D$12=0,0,D32/D$12)</f>
        <v>0</v>
      </c>
      <c r="G32" s="1"/>
      <c r="H32" s="1">
        <f>SUM(OSRRefH22_1x_0)</f>
        <v>0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0</v>
      </c>
      <c r="M32" s="1"/>
      <c r="N32" s="5">
        <f t="shared" ref="N32:N36" si="26">IF(H32=0,0,L32/H32)</f>
        <v>0</v>
      </c>
      <c r="O32" s="13"/>
      <c r="P32" s="1">
        <f>SUM(OSRRefP22_1x_0)</f>
        <v>160569.98000000001</v>
      </c>
      <c r="Q32" s="1"/>
      <c r="R32" s="5">
        <f t="shared" ref="R32:R36" si="27">IF(P$12=0,0,P32/P$12)</f>
        <v>0.76069925026321517</v>
      </c>
      <c r="S32" s="1"/>
      <c r="T32" s="1">
        <f>SUM(OSRRefT22_1x_0)</f>
        <v>0</v>
      </c>
      <c r="U32" s="1"/>
      <c r="V32" s="5">
        <f t="shared" ref="V32:V36" si="28">IF(T$12=0,0,T32/T$12)</f>
        <v>0</v>
      </c>
      <c r="W32" s="1"/>
      <c r="X32" s="1">
        <f t="shared" ref="X32:X36" si="29">+P32-T32</f>
        <v>160569.98000000001</v>
      </c>
      <c r="Y32" s="1"/>
      <c r="Z32" s="5">
        <f t="shared" ref="Z32:Z36" si="30">IF(T32=0,0,X32/T32)</f>
        <v>0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3"/>
        <v>0</v>
      </c>
      <c r="G33" s="2"/>
      <c r="H33" s="6"/>
      <c r="I33" s="2"/>
      <c r="J33" s="7">
        <f t="shared" si="24"/>
        <v>0</v>
      </c>
      <c r="K33" s="2"/>
      <c r="L33" s="6">
        <f t="shared" si="25"/>
        <v>0</v>
      </c>
      <c r="M33" s="2"/>
      <c r="N33" s="7">
        <f t="shared" si="26"/>
        <v>0</v>
      </c>
      <c r="O33" s="11"/>
      <c r="P33" s="6">
        <v>113004.92000000001</v>
      </c>
      <c r="Q33" s="2"/>
      <c r="R33" s="7">
        <f t="shared" si="27"/>
        <v>0.5353600836224468</v>
      </c>
      <c r="S33" s="2"/>
      <c r="T33" s="6"/>
      <c r="U33" s="2"/>
      <c r="V33" s="7">
        <f t="shared" si="28"/>
        <v>0</v>
      </c>
      <c r="W33" s="2"/>
      <c r="X33" s="6">
        <f t="shared" si="29"/>
        <v>113004.92000000001</v>
      </c>
      <c r="Y33" s="2"/>
      <c r="Z33" s="7">
        <f t="shared" si="30"/>
        <v>0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0</v>
      </c>
      <c r="M34" s="2"/>
      <c r="N34" s="7">
        <f t="shared" si="26"/>
        <v>0</v>
      </c>
      <c r="O34" s="11"/>
      <c r="P34" s="6">
        <v>18036.649999999998</v>
      </c>
      <c r="Q34" s="2"/>
      <c r="R34" s="7">
        <f t="shared" si="27"/>
        <v>8.5448513677712459E-2</v>
      </c>
      <c r="S34" s="2"/>
      <c r="T34" s="6"/>
      <c r="U34" s="2"/>
      <c r="V34" s="7">
        <f t="shared" si="28"/>
        <v>0</v>
      </c>
      <c r="W34" s="2"/>
      <c r="X34" s="6">
        <f t="shared" si="29"/>
        <v>18036.649999999998</v>
      </c>
      <c r="Y34" s="2"/>
      <c r="Z34" s="7">
        <f t="shared" si="30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1"/>
      <c r="P35" s="6">
        <v>25720.959999999999</v>
      </c>
      <c r="Q35" s="2"/>
      <c r="R35" s="7">
        <f t="shared" si="27"/>
        <v>0.12185288301119639</v>
      </c>
      <c r="S35" s="2"/>
      <c r="T35" s="6"/>
      <c r="U35" s="2"/>
      <c r="V35" s="7">
        <f t="shared" si="28"/>
        <v>0</v>
      </c>
      <c r="W35" s="2"/>
      <c r="X35" s="6">
        <f t="shared" si="29"/>
        <v>25720.959999999999</v>
      </c>
      <c r="Y35" s="2"/>
      <c r="Z35" s="7">
        <f t="shared" si="30"/>
        <v>0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1"/>
      <c r="P36" s="6">
        <v>3807.45</v>
      </c>
      <c r="Q36" s="2"/>
      <c r="R36" s="7">
        <f t="shared" si="27"/>
        <v>1.8037769951859482E-2</v>
      </c>
      <c r="S36" s="2"/>
      <c r="T36" s="6"/>
      <c r="U36" s="2"/>
      <c r="V36" s="7">
        <f t="shared" si="28"/>
        <v>0</v>
      </c>
      <c r="W36" s="2"/>
      <c r="X36" s="6">
        <f t="shared" si="29"/>
        <v>3807.45</v>
      </c>
      <c r="Y36" s="2"/>
      <c r="Z36" s="7">
        <f t="shared" si="30"/>
        <v>0</v>
      </c>
    </row>
    <row r="37" spans="1:26" s="27" customFormat="1" outlineLevel="1" collapsed="1" x14ac:dyDescent="0.25">
      <c r="A37" s="25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7" si="31">IF(D$12=0,0,D37/D$12)</f>
        <v>0</v>
      </c>
      <c r="G37" s="1"/>
      <c r="H37" s="1">
        <f>SUM(OSRRefH22_2x_0)</f>
        <v>0</v>
      </c>
      <c r="I37" s="1"/>
      <c r="J37" s="5">
        <f t="shared" ref="J37:J47" si="32">IF(H$12=0,0,H37/H$12)</f>
        <v>0</v>
      </c>
      <c r="K37" s="1"/>
      <c r="L37" s="1">
        <f t="shared" ref="L37:L47" si="33">+D37-H37</f>
        <v>0</v>
      </c>
      <c r="M37" s="1"/>
      <c r="N37" s="5">
        <f t="shared" ref="N37:N47" si="34">IF(H37=0,0,L37/H37)</f>
        <v>0</v>
      </c>
      <c r="O37" s="13"/>
      <c r="P37" s="1">
        <f>SUM(OSRRefP22_2x_0)</f>
        <v>500</v>
      </c>
      <c r="Q37" s="1"/>
      <c r="R37" s="5">
        <f t="shared" ref="R37:R47" si="35">IF(P$12=0,0,P37/P$12)</f>
        <v>2.3687467927168424E-3</v>
      </c>
      <c r="S37" s="1"/>
      <c r="T37" s="1">
        <f>SUM(OSRRefT22_2x_0)</f>
        <v>0</v>
      </c>
      <c r="U37" s="1"/>
      <c r="V37" s="5">
        <f t="shared" ref="V37:V47" si="36">IF(T$12=0,0,T37/T$12)</f>
        <v>0</v>
      </c>
      <c r="W37" s="1"/>
      <c r="X37" s="1">
        <f t="shared" ref="X37:X47" si="37">+P37-T37</f>
        <v>500</v>
      </c>
      <c r="Y37" s="1"/>
      <c r="Z37" s="5">
        <f t="shared" ref="Z37:Z47" si="38">IF(T37=0,0,X37/T37)</f>
        <v>0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31"/>
        <v>0</v>
      </c>
      <c r="G38" s="2"/>
      <c r="H38" s="6"/>
      <c r="I38" s="2"/>
      <c r="J38" s="7">
        <f t="shared" si="32"/>
        <v>0</v>
      </c>
      <c r="K38" s="2"/>
      <c r="L38" s="6">
        <f t="shared" si="33"/>
        <v>0</v>
      </c>
      <c r="M38" s="2"/>
      <c r="N38" s="7">
        <f t="shared" si="34"/>
        <v>0</v>
      </c>
      <c r="O38" s="11"/>
      <c r="P38" s="6">
        <v>500</v>
      </c>
      <c r="Q38" s="2"/>
      <c r="R38" s="7">
        <f t="shared" si="35"/>
        <v>2.3687467927168424E-3</v>
      </c>
      <c r="S38" s="2"/>
      <c r="T38" s="6"/>
      <c r="U38" s="2"/>
      <c r="V38" s="7">
        <f t="shared" si="36"/>
        <v>0</v>
      </c>
      <c r="W38" s="2"/>
      <c r="X38" s="6">
        <f t="shared" si="37"/>
        <v>500</v>
      </c>
      <c r="Y38" s="2"/>
      <c r="Z38" s="7">
        <f t="shared" si="38"/>
        <v>0</v>
      </c>
    </row>
    <row r="39" spans="1:26" s="27" customFormat="1" outlineLevel="1" collapsed="1" x14ac:dyDescent="0.25">
      <c r="A39" s="25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1"/>
        <v>0</v>
      </c>
      <c r="G39" s="1"/>
      <c r="H39" s="1">
        <f>SUM(OSRRefH22_3x_0)</f>
        <v>0</v>
      </c>
      <c r="I39" s="1"/>
      <c r="J39" s="5">
        <f t="shared" si="32"/>
        <v>0</v>
      </c>
      <c r="K39" s="1"/>
      <c r="L39" s="1">
        <f t="shared" si="33"/>
        <v>0</v>
      </c>
      <c r="M39" s="1"/>
      <c r="N39" s="5">
        <f t="shared" si="34"/>
        <v>0</v>
      </c>
      <c r="O39" s="13"/>
      <c r="P39" s="1">
        <f>SUM(OSRRefP22_3x_0)</f>
        <v>-1.98</v>
      </c>
      <c r="Q39" s="1"/>
      <c r="R39" s="5">
        <f t="shared" si="35"/>
        <v>-9.3802372991586962E-6</v>
      </c>
      <c r="S39" s="1"/>
      <c r="T39" s="1">
        <f>SUM(OSRRefT22_3x_0)</f>
        <v>0</v>
      </c>
      <c r="U39" s="1"/>
      <c r="V39" s="5">
        <f t="shared" si="36"/>
        <v>0</v>
      </c>
      <c r="W39" s="1"/>
      <c r="X39" s="1">
        <f t="shared" si="37"/>
        <v>-1.98</v>
      </c>
      <c r="Y39" s="1"/>
      <c r="Z39" s="5">
        <f t="shared" si="38"/>
        <v>0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31"/>
        <v>0</v>
      </c>
      <c r="G40" s="2"/>
      <c r="H40" s="6"/>
      <c r="I40" s="2"/>
      <c r="J40" s="7">
        <f t="shared" si="32"/>
        <v>0</v>
      </c>
      <c r="K40" s="2"/>
      <c r="L40" s="6">
        <f t="shared" si="33"/>
        <v>0</v>
      </c>
      <c r="M40" s="2"/>
      <c r="N40" s="7">
        <f t="shared" si="34"/>
        <v>0</v>
      </c>
      <c r="O40" s="11"/>
      <c r="P40" s="6">
        <v>-1.98</v>
      </c>
      <c r="Q40" s="2"/>
      <c r="R40" s="7">
        <f t="shared" si="35"/>
        <v>-9.3802372991586962E-6</v>
      </c>
      <c r="S40" s="2"/>
      <c r="T40" s="6"/>
      <c r="U40" s="2"/>
      <c r="V40" s="7">
        <f t="shared" si="36"/>
        <v>0</v>
      </c>
      <c r="W40" s="2"/>
      <c r="X40" s="6">
        <f t="shared" si="37"/>
        <v>-1.98</v>
      </c>
      <c r="Y40" s="2"/>
      <c r="Z40" s="7">
        <f t="shared" si="38"/>
        <v>0</v>
      </c>
    </row>
    <row r="41" spans="1:26" s="27" customFormat="1" outlineLevel="1" collapsed="1" x14ac:dyDescent="0.25">
      <c r="A41" s="25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1"/>
        <v>0</v>
      </c>
      <c r="G41" s="1"/>
      <c r="H41" s="1">
        <f>SUM(OSRRefH22_4x_0)</f>
        <v>0</v>
      </c>
      <c r="I41" s="1"/>
      <c r="J41" s="5">
        <f t="shared" si="32"/>
        <v>0</v>
      </c>
      <c r="K41" s="1"/>
      <c r="L41" s="1">
        <f t="shared" si="33"/>
        <v>0</v>
      </c>
      <c r="M41" s="1"/>
      <c r="N41" s="5">
        <f t="shared" si="34"/>
        <v>0</v>
      </c>
      <c r="O41" s="13"/>
      <c r="P41" s="1">
        <f>SUM(OSRRefP22_4x_0)</f>
        <v>685.09</v>
      </c>
      <c r="Q41" s="1"/>
      <c r="R41" s="5">
        <f t="shared" si="35"/>
        <v>3.2456094804447634E-3</v>
      </c>
      <c r="S41" s="1"/>
      <c r="T41" s="1">
        <f>SUM(OSRRefT22_4x_0)</f>
        <v>0</v>
      </c>
      <c r="U41" s="1"/>
      <c r="V41" s="5">
        <f t="shared" si="36"/>
        <v>0</v>
      </c>
      <c r="W41" s="1"/>
      <c r="X41" s="1">
        <f t="shared" si="37"/>
        <v>685.09</v>
      </c>
      <c r="Y41" s="1"/>
      <c r="Z41" s="5">
        <f t="shared" si="38"/>
        <v>0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31"/>
        <v>0</v>
      </c>
      <c r="G42" s="2"/>
      <c r="H42" s="6"/>
      <c r="I42" s="2"/>
      <c r="J42" s="7">
        <f t="shared" si="32"/>
        <v>0</v>
      </c>
      <c r="K42" s="2"/>
      <c r="L42" s="6">
        <f t="shared" si="33"/>
        <v>0</v>
      </c>
      <c r="M42" s="2"/>
      <c r="N42" s="7">
        <f t="shared" si="34"/>
        <v>0</v>
      </c>
      <c r="O42" s="11"/>
      <c r="P42" s="6">
        <v>685.09</v>
      </c>
      <c r="Q42" s="2"/>
      <c r="R42" s="7">
        <f t="shared" si="35"/>
        <v>3.2456094804447634E-3</v>
      </c>
      <c r="S42" s="2"/>
      <c r="T42" s="6"/>
      <c r="U42" s="2"/>
      <c r="V42" s="7">
        <f t="shared" si="36"/>
        <v>0</v>
      </c>
      <c r="W42" s="2"/>
      <c r="X42" s="6">
        <f t="shared" si="37"/>
        <v>685.09</v>
      </c>
      <c r="Y42" s="2"/>
      <c r="Z42" s="7">
        <f t="shared" si="38"/>
        <v>0</v>
      </c>
    </row>
    <row r="43" spans="1:26" s="27" customFormat="1" outlineLevel="1" collapsed="1" x14ac:dyDescent="0.25">
      <c r="A43" s="25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SUM(OSRRefD22_5x_0)</f>
        <v>0</v>
      </c>
      <c r="E43" s="1"/>
      <c r="F43" s="5">
        <f t="shared" si="31"/>
        <v>0</v>
      </c>
      <c r="G43" s="1"/>
      <c r="H43" s="1">
        <f>SUM(OSRRefH22_5x_0)</f>
        <v>0</v>
      </c>
      <c r="I43" s="1"/>
      <c r="J43" s="5">
        <f t="shared" si="32"/>
        <v>0</v>
      </c>
      <c r="K43" s="1"/>
      <c r="L43" s="1">
        <f t="shared" si="33"/>
        <v>0</v>
      </c>
      <c r="M43" s="1"/>
      <c r="N43" s="5">
        <f t="shared" si="34"/>
        <v>0</v>
      </c>
      <c r="O43" s="13"/>
      <c r="P43" s="1">
        <f>SUM(OSRRefP22_5x_0)</f>
        <v>1151.21</v>
      </c>
      <c r="Q43" s="1"/>
      <c r="R43" s="5">
        <f t="shared" si="35"/>
        <v>5.4538499904871127E-3</v>
      </c>
      <c r="S43" s="1"/>
      <c r="T43" s="1">
        <f>SUM(OSRRefT22_5x_0)</f>
        <v>0</v>
      </c>
      <c r="U43" s="1"/>
      <c r="V43" s="5">
        <f t="shared" si="36"/>
        <v>0</v>
      </c>
      <c r="W43" s="1"/>
      <c r="X43" s="1">
        <f t="shared" si="37"/>
        <v>1151.21</v>
      </c>
      <c r="Y43" s="1"/>
      <c r="Z43" s="5">
        <f t="shared" si="38"/>
        <v>0</v>
      </c>
    </row>
    <row r="44" spans="1:26" s="24" customFormat="1" hidden="1" outlineLevel="2" x14ac:dyDescent="0.25">
      <c r="A44" s="26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0</v>
      </c>
      <c r="M44" s="2"/>
      <c r="N44" s="7">
        <f t="shared" si="34"/>
        <v>0</v>
      </c>
      <c r="O44" s="11"/>
      <c r="P44" s="6">
        <v>1151.21</v>
      </c>
      <c r="Q44" s="2"/>
      <c r="R44" s="7">
        <f t="shared" si="35"/>
        <v>5.4538499904871127E-3</v>
      </c>
      <c r="S44" s="2"/>
      <c r="T44" s="6"/>
      <c r="U44" s="2"/>
      <c r="V44" s="7">
        <f t="shared" si="36"/>
        <v>0</v>
      </c>
      <c r="W44" s="2"/>
      <c r="X44" s="6">
        <f t="shared" si="37"/>
        <v>1151.21</v>
      </c>
      <c r="Y44" s="2"/>
      <c r="Z44" s="7">
        <f t="shared" si="38"/>
        <v>0</v>
      </c>
    </row>
    <row r="45" spans="1:26" s="27" customFormat="1" outlineLevel="1" collapsed="1" x14ac:dyDescent="0.25">
      <c r="A45" s="25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SUM(OSRRefD22_6x_0)</f>
        <v>0</v>
      </c>
      <c r="E45" s="1"/>
      <c r="F45" s="5">
        <f t="shared" si="31"/>
        <v>0</v>
      </c>
      <c r="G45" s="1"/>
      <c r="H45" s="1">
        <f>SUM(OSRRefH22_6x_0)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3"/>
      <c r="P45" s="1">
        <f>SUM(OSRRefP22_6x_0)</f>
        <v>1137.47</v>
      </c>
      <c r="Q45" s="1"/>
      <c r="R45" s="5">
        <f t="shared" si="35"/>
        <v>5.388756828623254E-3</v>
      </c>
      <c r="S45" s="1"/>
      <c r="T45" s="1">
        <f>SUM(OSRRefT22_6x_0)</f>
        <v>0</v>
      </c>
      <c r="U45" s="1"/>
      <c r="V45" s="5">
        <f t="shared" si="36"/>
        <v>0</v>
      </c>
      <c r="W45" s="1"/>
      <c r="X45" s="1">
        <f t="shared" si="37"/>
        <v>1137.47</v>
      </c>
      <c r="Y45" s="1"/>
      <c r="Z45" s="5">
        <f t="shared" si="38"/>
        <v>0</v>
      </c>
    </row>
    <row r="46" spans="1:26" s="24" customFormat="1" hidden="1" outlineLevel="2" x14ac:dyDescent="0.25">
      <c r="A46" s="26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1"/>
      <c r="P46" s="6">
        <v>914.08</v>
      </c>
      <c r="Q46" s="2"/>
      <c r="R46" s="7">
        <f t="shared" si="35"/>
        <v>4.330448136573223E-3</v>
      </c>
      <c r="S46" s="2"/>
      <c r="T46" s="6"/>
      <c r="U46" s="2"/>
      <c r="V46" s="7">
        <f t="shared" si="36"/>
        <v>0</v>
      </c>
      <c r="W46" s="2"/>
      <c r="X46" s="6">
        <f t="shared" si="37"/>
        <v>914.08</v>
      </c>
      <c r="Y46" s="2"/>
      <c r="Z46" s="7">
        <f t="shared" si="38"/>
        <v>0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1"/>
      <c r="P47" s="6">
        <v>223.39</v>
      </c>
      <c r="Q47" s="2"/>
      <c r="R47" s="7">
        <f t="shared" si="35"/>
        <v>1.0583086920500308E-3</v>
      </c>
      <c r="S47" s="2"/>
      <c r="T47" s="6"/>
      <c r="U47" s="2"/>
      <c r="V47" s="7">
        <f t="shared" si="36"/>
        <v>0</v>
      </c>
      <c r="W47" s="2"/>
      <c r="X47" s="6">
        <f t="shared" si="37"/>
        <v>223.39</v>
      </c>
      <c r="Y47" s="2"/>
      <c r="Z47" s="7">
        <f t="shared" si="38"/>
        <v>0</v>
      </c>
    </row>
    <row r="48" spans="1:26" s="27" customFormat="1" outlineLevel="1" collapsed="1" x14ac:dyDescent="0.25">
      <c r="A48" s="25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SUM(OSRRefD22_7x_0)</f>
        <v>0</v>
      </c>
      <c r="E48" s="1"/>
      <c r="F48" s="5">
        <f t="shared" ref="F48:F49" si="39">IF(D$12=0,0,D48/D$12)</f>
        <v>0</v>
      </c>
      <c r="G48" s="1"/>
      <c r="H48" s="1">
        <f>SUM(OSRRefH22_7x_0)</f>
        <v>0</v>
      </c>
      <c r="I48" s="1"/>
      <c r="J48" s="5">
        <f t="shared" ref="J48:J49" si="40">IF(H$12=0,0,H48/H$12)</f>
        <v>0</v>
      </c>
      <c r="K48" s="1"/>
      <c r="L48" s="1">
        <f t="shared" ref="L48:L49" si="41">+D48-H48</f>
        <v>0</v>
      </c>
      <c r="M48" s="1"/>
      <c r="N48" s="5">
        <f t="shared" ref="N48:N49" si="42">IF(H48=0,0,L48/H48)</f>
        <v>0</v>
      </c>
      <c r="O48" s="13"/>
      <c r="P48" s="1">
        <f>SUM(OSRRefP22_7x_0)</f>
        <v>1269.1500000000001</v>
      </c>
      <c r="Q48" s="1"/>
      <c r="R48" s="5">
        <f t="shared" ref="R48:R49" si="43">IF(P$12=0,0,P48/P$12)</f>
        <v>6.0125899839531616E-3</v>
      </c>
      <c r="S48" s="1"/>
      <c r="T48" s="1">
        <f>SUM(OSRRefT22_7x_0)</f>
        <v>0</v>
      </c>
      <c r="U48" s="1"/>
      <c r="V48" s="5">
        <f t="shared" ref="V48:V49" si="44">IF(T$12=0,0,T48/T$12)</f>
        <v>0</v>
      </c>
      <c r="W48" s="1"/>
      <c r="X48" s="1">
        <f t="shared" ref="X48:X49" si="45">+P48-T48</f>
        <v>1269.1500000000001</v>
      </c>
      <c r="Y48" s="1"/>
      <c r="Z48" s="5">
        <f t="shared" ref="Z48:Z49" si="46">IF(T48=0,0,X48/T48)</f>
        <v>0</v>
      </c>
    </row>
    <row r="49" spans="1:26" s="24" customFormat="1" hidden="1" outlineLevel="2" x14ac:dyDescent="0.25">
      <c r="A49" s="26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1"/>
      <c r="P49" s="6">
        <v>1269.1500000000001</v>
      </c>
      <c r="Q49" s="2"/>
      <c r="R49" s="7">
        <f t="shared" si="43"/>
        <v>6.0125899839531616E-3</v>
      </c>
      <c r="S49" s="2"/>
      <c r="T49" s="6"/>
      <c r="U49" s="2"/>
      <c r="V49" s="7">
        <f t="shared" si="44"/>
        <v>0</v>
      </c>
      <c r="W49" s="2"/>
      <c r="X49" s="6">
        <f t="shared" si="45"/>
        <v>1269.1500000000001</v>
      </c>
      <c r="Y49" s="2"/>
      <c r="Z49" s="7">
        <f t="shared" si="46"/>
        <v>0</v>
      </c>
    </row>
    <row r="50" spans="1:26" s="58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1">
        <f>+D20-D22+D51</f>
        <v>0</v>
      </c>
      <c r="E53" s="14"/>
      <c r="F53" s="20">
        <f>IF(D$12=0,0,D53/D$12)</f>
        <v>0</v>
      </c>
      <c r="G53" s="14"/>
      <c r="H53" s="21">
        <f>+H20-H22+H51</f>
        <v>0</v>
      </c>
      <c r="I53" s="14"/>
      <c r="J53" s="20">
        <f>IF(H$12=0,0,H53/H$12)</f>
        <v>0</v>
      </c>
      <c r="K53" s="16"/>
      <c r="L53" s="21">
        <f>+D53-H53</f>
        <v>0</v>
      </c>
      <c r="M53" s="16"/>
      <c r="N53" s="20">
        <f>IF(H53=0,0,L53/H53)</f>
        <v>0</v>
      </c>
      <c r="O53" s="28"/>
      <c r="P53" s="21">
        <f>+P20-P22+P51</f>
        <v>1161.3000000000466</v>
      </c>
      <c r="Q53" s="14"/>
      <c r="R53" s="20">
        <f>IF(P$12=0,0,P53/P$12)</f>
        <v>5.5016513007643594E-3</v>
      </c>
      <c r="S53" s="14"/>
      <c r="T53" s="21">
        <f>+T20-T22+T51</f>
        <v>0</v>
      </c>
      <c r="U53" s="14"/>
      <c r="V53" s="20">
        <f>IF(T$12=0,0,T53/T$12)</f>
        <v>0</v>
      </c>
      <c r="W53" s="16"/>
      <c r="X53" s="21">
        <f>+P53-T53</f>
        <v>1161.3000000000466</v>
      </c>
      <c r="Y53" s="16"/>
      <c r="Z53" s="20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1"/>
      <c r="B55" s="10" t="s">
        <v>13</v>
      </c>
      <c r="C55" s="10"/>
      <c r="D55" s="4">
        <v>1028.55</v>
      </c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1028.55</v>
      </c>
      <c r="M55" s="4"/>
      <c r="N55" s="12">
        <f>IF(H55=0,0,L55/H55)</f>
        <v>0</v>
      </c>
      <c r="O55" s="10"/>
      <c r="P55" s="4">
        <v>24995.41</v>
      </c>
      <c r="Q55" s="4"/>
      <c r="R55" s="12">
        <f>IF(P$12=0,0,P55/P$12)</f>
        <v>0.11841559454028498</v>
      </c>
      <c r="S55" s="4"/>
      <c r="T55" s="4"/>
      <c r="U55" s="4"/>
      <c r="V55" s="12">
        <f>IF(T$12=0,0,T55/T$12)</f>
        <v>0</v>
      </c>
      <c r="W55" s="4"/>
      <c r="X55" s="4">
        <f>+P55-T55</f>
        <v>24995.41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5">
        <f>+D53-D55</f>
        <v>-1028.55</v>
      </c>
      <c r="E57" s="14"/>
      <c r="F57" s="32">
        <f>IF(D$12=0,0,D57/D$12)</f>
        <v>0</v>
      </c>
      <c r="G57" s="14"/>
      <c r="H57" s="35">
        <f>+H53-H55</f>
        <v>0</v>
      </c>
      <c r="I57" s="14"/>
      <c r="J57" s="32">
        <f>IF(H$12=0,0,H57/H$12)</f>
        <v>0</v>
      </c>
      <c r="K57" s="16"/>
      <c r="L57" s="35">
        <f>D57-H57</f>
        <v>-1028.55</v>
      </c>
      <c r="M57" s="16"/>
      <c r="N57" s="32">
        <f>IF(H57=0,0,L57/H57)</f>
        <v>0</v>
      </c>
      <c r="O57" s="28"/>
      <c r="P57" s="35">
        <f>+P53-P55</f>
        <v>-23834.109999999953</v>
      </c>
      <c r="Q57" s="14"/>
      <c r="R57" s="32">
        <f>IF(P$12=0,0,P57/P$12)</f>
        <v>-0.11291394323952063</v>
      </c>
      <c r="S57" s="14"/>
      <c r="T57" s="35">
        <f>+T53-T55</f>
        <v>0</v>
      </c>
      <c r="U57" s="14"/>
      <c r="V57" s="32">
        <f>IF(T$12=0,0,T57/T$12)</f>
        <v>0</v>
      </c>
      <c r="W57" s="16"/>
      <c r="X57" s="35">
        <f>P57-T57</f>
        <v>-23834.109999999953</v>
      </c>
      <c r="Y57" s="16"/>
      <c r="Z57" s="32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6">
        <f>SUM(D57:D59)</f>
        <v>-1028.55</v>
      </c>
      <c r="E60" s="14"/>
      <c r="F60" s="33">
        <f>IF(D$12=0,0,D60/D$12)</f>
        <v>0</v>
      </c>
      <c r="G60" s="14"/>
      <c r="H60" s="36">
        <f>SUM(H57:H59)</f>
        <v>0</v>
      </c>
      <c r="I60" s="14"/>
      <c r="J60" s="33">
        <f>IF(H$12=0,0,H60/H$12)</f>
        <v>0</v>
      </c>
      <c r="K60" s="16"/>
      <c r="L60" s="36">
        <f>+D60-H60</f>
        <v>-1028.55</v>
      </c>
      <c r="M60" s="16"/>
      <c r="N60" s="33">
        <f>IF(H60=0,0,L60/H60)</f>
        <v>0</v>
      </c>
      <c r="O60" s="28"/>
      <c r="P60" s="36">
        <f>SUM(P57:P59)</f>
        <v>-23834.109999999953</v>
      </c>
      <c r="Q60" s="14"/>
      <c r="R60" s="33">
        <f>IF(P$12=0,0,P60/P$12)</f>
        <v>-0.11291394323952063</v>
      </c>
      <c r="S60" s="14"/>
      <c r="T60" s="36">
        <f>SUM(T57:T59)</f>
        <v>0</v>
      </c>
      <c r="U60" s="14"/>
      <c r="V60" s="33">
        <f>IF(T$12=0,0,T60/T$12)</f>
        <v>0</v>
      </c>
      <c r="W60" s="16"/>
      <c r="X60" s="36">
        <f>+P60-T60</f>
        <v>-23834.109999999953</v>
      </c>
      <c r="Y60" s="16"/>
      <c r="Z60" s="33">
        <f>IF(T60=0,0,X60/T60)</f>
        <v>0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5">
        <v>43992.376007210645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2" t="s">
        <v>313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3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55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14723.5</v>
      </c>
      <c r="I12" s="4"/>
      <c r="J12" s="12"/>
      <c r="K12" s="4"/>
      <c r="L12" s="4">
        <f t="shared" ref="L12:L14" si="0">+D12-H12</f>
        <v>-14723.5</v>
      </c>
      <c r="M12" s="4"/>
      <c r="N12" s="12">
        <f t="shared" ref="N12:N14" si="1">IF(H12=0,0,L12/H12)</f>
        <v>-1</v>
      </c>
      <c r="O12" s="10"/>
      <c r="P12" s="4">
        <f>SUM(OSRRefP13x_0)</f>
        <v>255048.55</v>
      </c>
      <c r="Q12" s="4"/>
      <c r="R12" s="12"/>
      <c r="S12" s="4"/>
      <c r="T12" s="4">
        <f>SUM(OSRRefT13x_0)</f>
        <v>349338.82</v>
      </c>
      <c r="U12" s="4"/>
      <c r="V12" s="12"/>
      <c r="W12" s="4"/>
      <c r="X12" s="4">
        <f t="shared" ref="X12:X14" si="2">+P12-T12</f>
        <v>-94290.270000000019</v>
      </c>
      <c r="Y12" s="4"/>
      <c r="Z12" s="12">
        <f t="shared" ref="Z12:Z14" si="3">IF(T12=0,0,X12/T12)</f>
        <v>-0.26991065579256268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--2906.05</f>
        <v>2906.05</v>
      </c>
      <c r="I13" s="2"/>
      <c r="J13" s="19"/>
      <c r="K13" s="2"/>
      <c r="L13" s="2">
        <f t="shared" si="0"/>
        <v>-2906.05</v>
      </c>
      <c r="M13" s="2"/>
      <c r="N13" s="19">
        <f t="shared" si="1"/>
        <v>-1</v>
      </c>
      <c r="O13" s="11"/>
      <c r="P13" s="2">
        <f>--57510.69</f>
        <v>57510.69</v>
      </c>
      <c r="Q13" s="2"/>
      <c r="R13" s="19"/>
      <c r="S13" s="2"/>
      <c r="T13" s="2">
        <f>--93019.09</f>
        <v>93019.09</v>
      </c>
      <c r="U13" s="2"/>
      <c r="V13" s="19"/>
      <c r="W13" s="2"/>
      <c r="X13" s="2">
        <f t="shared" si="2"/>
        <v>-35508.399999999994</v>
      </c>
      <c r="Y13" s="2"/>
      <c r="Z13" s="19">
        <f t="shared" si="3"/>
        <v>-0.38173239493097594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--11817.45</f>
        <v>11817.45</v>
      </c>
      <c r="I14" s="2"/>
      <c r="J14" s="19"/>
      <c r="K14" s="2"/>
      <c r="L14" s="2">
        <f t="shared" si="0"/>
        <v>-11817.45</v>
      </c>
      <c r="M14" s="2"/>
      <c r="N14" s="19">
        <f t="shared" si="1"/>
        <v>-1</v>
      </c>
      <c r="O14" s="11"/>
      <c r="P14" s="2">
        <f>--197537.86</f>
        <v>197537.86</v>
      </c>
      <c r="Q14" s="2"/>
      <c r="R14" s="19"/>
      <c r="S14" s="2"/>
      <c r="T14" s="2">
        <f>--256319.73</f>
        <v>256319.73</v>
      </c>
      <c r="U14" s="2"/>
      <c r="V14" s="19"/>
      <c r="W14" s="2"/>
      <c r="X14" s="2">
        <f t="shared" si="2"/>
        <v>-58781.870000000024</v>
      </c>
      <c r="Y14" s="2"/>
      <c r="Z14" s="19">
        <f t="shared" si="3"/>
        <v>-0.22933025873583754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4437.34</v>
      </c>
      <c r="I16" s="4"/>
      <c r="J16" s="12">
        <f t="shared" ref="J16:J18" si="6">IF(H$12=0,0,H16/H$12)</f>
        <v>0.30137806907325027</v>
      </c>
      <c r="K16" s="4"/>
      <c r="L16" s="4">
        <f t="shared" ref="L16:L18" si="7">+D16-H16</f>
        <v>-4437.34</v>
      </c>
      <c r="M16" s="4"/>
      <c r="N16" s="12">
        <f t="shared" ref="N16:N18" si="8">IF(H16=0,0,L16/H16)</f>
        <v>-1</v>
      </c>
      <c r="O16" s="10"/>
      <c r="P16" s="4">
        <f>SUM(OSRRefP16x_0)</f>
        <v>92282.459999999992</v>
      </c>
      <c r="Q16" s="4"/>
      <c r="R16" s="12">
        <f t="shared" ref="R16:R18" si="9">IF(P$12=0,0,P16/P$12)</f>
        <v>0.36182311171735732</v>
      </c>
      <c r="S16" s="4"/>
      <c r="T16" s="4">
        <f>SUM(OSRRefT16x_0)</f>
        <v>102503.48000000001</v>
      </c>
      <c r="U16" s="4"/>
      <c r="V16" s="12">
        <f t="shared" ref="V16:V18" si="10">IF(T$12=0,0,T16/T$12)</f>
        <v>0.29342138385879935</v>
      </c>
      <c r="W16" s="4"/>
      <c r="X16" s="4">
        <f t="shared" ref="X16:X18" si="11">+P16-T16</f>
        <v>-10221.020000000019</v>
      </c>
      <c r="Y16" s="4"/>
      <c r="Z16" s="12">
        <f t="shared" ref="Z16:Z18" si="12">IF(T16=0,0,X16/T16)</f>
        <v>-9.9713882884756869E-2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2805.04</v>
      </c>
      <c r="I17" s="2"/>
      <c r="J17" s="19">
        <f t="shared" si="6"/>
        <v>0.190514483648589</v>
      </c>
      <c r="K17" s="2"/>
      <c r="L17" s="2">
        <f t="shared" si="7"/>
        <v>-2805.04</v>
      </c>
      <c r="M17" s="2"/>
      <c r="N17" s="19">
        <f t="shared" si="8"/>
        <v>-1</v>
      </c>
      <c r="O17" s="11"/>
      <c r="P17" s="2">
        <v>90960.51999999999</v>
      </c>
      <c r="Q17" s="2"/>
      <c r="R17" s="19">
        <f t="shared" si="9"/>
        <v>0.3566400201059759</v>
      </c>
      <c r="S17" s="2"/>
      <c r="T17" s="2">
        <v>115768.41</v>
      </c>
      <c r="U17" s="2"/>
      <c r="V17" s="19">
        <f t="shared" si="10"/>
        <v>0.33139291533646331</v>
      </c>
      <c r="W17" s="2"/>
      <c r="X17" s="2">
        <f t="shared" si="11"/>
        <v>-24807.890000000014</v>
      </c>
      <c r="Y17" s="2"/>
      <c r="Z17" s="19">
        <f t="shared" si="12"/>
        <v>-0.21428894117143021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1632.3</v>
      </c>
      <c r="I18" s="2"/>
      <c r="J18" s="19">
        <f t="shared" si="6"/>
        <v>0.11086358542466125</v>
      </c>
      <c r="K18" s="2"/>
      <c r="L18" s="2">
        <f t="shared" si="7"/>
        <v>-1632.3</v>
      </c>
      <c r="M18" s="2"/>
      <c r="N18" s="19">
        <f t="shared" si="8"/>
        <v>-1</v>
      </c>
      <c r="O18" s="11"/>
      <c r="P18" s="2">
        <v>1321.94</v>
      </c>
      <c r="Q18" s="2"/>
      <c r="R18" s="19">
        <f t="shared" si="9"/>
        <v>5.183091611381441E-3</v>
      </c>
      <c r="S18" s="2"/>
      <c r="T18" s="2">
        <v>-13264.93</v>
      </c>
      <c r="U18" s="2"/>
      <c r="V18" s="19">
        <f t="shared" si="10"/>
        <v>-3.7971531477664008E-2</v>
      </c>
      <c r="W18" s="2"/>
      <c r="X18" s="2">
        <f t="shared" si="11"/>
        <v>14586.87</v>
      </c>
      <c r="Y18" s="2"/>
      <c r="Z18" s="19">
        <f t="shared" si="12"/>
        <v>-1.0996567641140964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10286.16</v>
      </c>
      <c r="I20" s="14"/>
      <c r="J20" s="20">
        <f>IF(H$12=0,0,H20/H$12)</f>
        <v>0.69862193092674973</v>
      </c>
      <c r="K20" s="16"/>
      <c r="L20" s="21">
        <f>+D20-H20</f>
        <v>-10286.16</v>
      </c>
      <c r="M20" s="16"/>
      <c r="N20" s="20">
        <f>IF(H20=0,0,L20/H20)</f>
        <v>-1</v>
      </c>
      <c r="O20" s="28"/>
      <c r="P20" s="21">
        <f>P12-P16</f>
        <v>162766.09</v>
      </c>
      <c r="Q20" s="14"/>
      <c r="R20" s="20">
        <f>IF(P$12=0,0,P20/P$12)</f>
        <v>0.63817688828264263</v>
      </c>
      <c r="S20" s="14"/>
      <c r="T20" s="21">
        <f>T12-T16</f>
        <v>246835.34</v>
      </c>
      <c r="U20" s="14"/>
      <c r="V20" s="20">
        <f>IF(T$12=0,0,T20/T$12)</f>
        <v>0.70657861614120065</v>
      </c>
      <c r="W20" s="16"/>
      <c r="X20" s="21">
        <f>+P20-T20</f>
        <v>-84069.25</v>
      </c>
      <c r="Y20" s="16"/>
      <c r="Z20" s="20">
        <f>IF(T20=0,0,X20/T20)</f>
        <v>-0.34058838576356204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7367.27</v>
      </c>
      <c r="E22" s="22"/>
      <c r="F22" s="31">
        <f t="shared" ref="F22:F31" si="13">IF(D$12=0,0,D22/D$12)</f>
        <v>0</v>
      </c>
      <c r="G22" s="22"/>
      <c r="H22" s="22">
        <f>SUM(OSRRefH22x_0)</f>
        <v>20970.270000000004</v>
      </c>
      <c r="I22" s="22"/>
      <c r="J22" s="31">
        <f t="shared" ref="J22:J31" si="14">IF(H$12=0,0,H22/H$12)</f>
        <v>1.4242720820457095</v>
      </c>
      <c r="K22" s="4"/>
      <c r="L22" s="22">
        <f t="shared" ref="L22:L31" si="15">+D22-H22</f>
        <v>-13603.000000000004</v>
      </c>
      <c r="M22" s="4"/>
      <c r="N22" s="31">
        <f t="shared" ref="N22:N31" si="16">IF(H22=0,0,L22/H22)</f>
        <v>-0.64868025065962431</v>
      </c>
      <c r="O22" s="10"/>
      <c r="P22" s="22">
        <f>SUM(OSRRefP22x_0)</f>
        <v>196210.80999999994</v>
      </c>
      <c r="Q22" s="22"/>
      <c r="R22" s="31">
        <f t="shared" ref="R22:R31" si="17">IF(P$12=0,0,P22/P$12)</f>
        <v>0.76930768671298055</v>
      </c>
      <c r="S22" s="22"/>
      <c r="T22" s="22">
        <f>SUM(OSRRefT22x_0)</f>
        <v>208814.60000000009</v>
      </c>
      <c r="U22" s="22"/>
      <c r="V22" s="31">
        <f t="shared" ref="V22:V31" si="18">IF(T$12=0,0,T22/T$12)</f>
        <v>0.5977423293523465</v>
      </c>
      <c r="W22" s="4"/>
      <c r="X22" s="22">
        <f t="shared" ref="X22:X31" si="19">+P22-T22</f>
        <v>-12603.790000000154</v>
      </c>
      <c r="Y22" s="4"/>
      <c r="Z22" s="31">
        <f t="shared" ref="Z22:Z31" si="20">IF(T22=0,0,X22/T22)</f>
        <v>-6.0358758439305243E-2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2349.39</v>
      </c>
      <c r="E23" s="1"/>
      <c r="F23" s="5">
        <f t="shared" si="13"/>
        <v>0</v>
      </c>
      <c r="G23" s="1"/>
      <c r="H23" s="1">
        <f>SUM(OSRRefH22_0x_0)</f>
        <v>3818.6800000000003</v>
      </c>
      <c r="I23" s="1"/>
      <c r="J23" s="5">
        <f t="shared" si="14"/>
        <v>0.25935952728631101</v>
      </c>
      <c r="K23" s="1"/>
      <c r="L23" s="1">
        <f t="shared" si="15"/>
        <v>-1469.2900000000004</v>
      </c>
      <c r="M23" s="1"/>
      <c r="N23" s="5">
        <f t="shared" si="16"/>
        <v>-0.3847638450983063</v>
      </c>
      <c r="O23" s="13"/>
      <c r="P23" s="1">
        <f>SUM(OSRRefP22_0x_0)</f>
        <v>37630.449999999997</v>
      </c>
      <c r="Q23" s="1"/>
      <c r="R23" s="5">
        <f t="shared" si="17"/>
        <v>0.14754230125989737</v>
      </c>
      <c r="S23" s="1"/>
      <c r="T23" s="1">
        <f>SUM(OSRRefT22_0x_0)</f>
        <v>37799.129999999997</v>
      </c>
      <c r="U23" s="1"/>
      <c r="V23" s="5">
        <f t="shared" si="18"/>
        <v>0.10820191698134206</v>
      </c>
      <c r="W23" s="1"/>
      <c r="X23" s="1">
        <f t="shared" si="19"/>
        <v>-168.68000000000029</v>
      </c>
      <c r="Y23" s="1"/>
      <c r="Z23" s="5">
        <f t="shared" si="20"/>
        <v>-4.4625365716089316E-3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383.02</v>
      </c>
      <c r="E24" s="2"/>
      <c r="F24" s="7">
        <f t="shared" si="13"/>
        <v>0</v>
      </c>
      <c r="G24" s="2"/>
      <c r="H24" s="6">
        <v>866.56</v>
      </c>
      <c r="I24" s="2"/>
      <c r="J24" s="7">
        <f t="shared" si="14"/>
        <v>5.8855571025910956E-2</v>
      </c>
      <c r="K24" s="2"/>
      <c r="L24" s="6">
        <f t="shared" si="15"/>
        <v>-483.53999999999996</v>
      </c>
      <c r="M24" s="2"/>
      <c r="N24" s="7">
        <f t="shared" si="16"/>
        <v>-0.55799944608567209</v>
      </c>
      <c r="O24" s="11"/>
      <c r="P24" s="6">
        <v>7298.78</v>
      </c>
      <c r="Q24" s="2"/>
      <c r="R24" s="7">
        <f t="shared" si="17"/>
        <v>2.8617218172775339E-2</v>
      </c>
      <c r="S24" s="2"/>
      <c r="T24" s="6">
        <v>7341.39</v>
      </c>
      <c r="U24" s="2"/>
      <c r="V24" s="7">
        <f t="shared" si="18"/>
        <v>2.1015099323917107E-2</v>
      </c>
      <c r="W24" s="2"/>
      <c r="X24" s="6">
        <f t="shared" si="19"/>
        <v>-42.610000000000582</v>
      </c>
      <c r="Y24" s="2"/>
      <c r="Z24" s="7">
        <f t="shared" si="20"/>
        <v>-5.8040779743346394E-3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291.39</v>
      </c>
      <c r="E25" s="2"/>
      <c r="F25" s="7">
        <f t="shared" si="13"/>
        <v>0</v>
      </c>
      <c r="G25" s="2"/>
      <c r="H25" s="6">
        <v>471.76</v>
      </c>
      <c r="I25" s="2"/>
      <c r="J25" s="7">
        <f t="shared" si="14"/>
        <v>3.2041294529154073E-2</v>
      </c>
      <c r="K25" s="2"/>
      <c r="L25" s="6">
        <f t="shared" si="15"/>
        <v>-180.37</v>
      </c>
      <c r="M25" s="2"/>
      <c r="N25" s="7">
        <f t="shared" si="16"/>
        <v>-0.38233423774800745</v>
      </c>
      <c r="O25" s="11"/>
      <c r="P25" s="6">
        <v>4578.57</v>
      </c>
      <c r="Q25" s="2"/>
      <c r="R25" s="7">
        <f t="shared" si="17"/>
        <v>1.7951758596549558E-2</v>
      </c>
      <c r="S25" s="2"/>
      <c r="T25" s="6">
        <v>4311.8</v>
      </c>
      <c r="U25" s="2"/>
      <c r="V25" s="7">
        <f t="shared" si="18"/>
        <v>1.2342745074824493E-2</v>
      </c>
      <c r="W25" s="2"/>
      <c r="X25" s="6">
        <f t="shared" si="19"/>
        <v>266.76999999999953</v>
      </c>
      <c r="Y25" s="2"/>
      <c r="Z25" s="7">
        <f t="shared" si="20"/>
        <v>6.186975277146424E-2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801.06</v>
      </c>
      <c r="E26" s="2"/>
      <c r="F26" s="7">
        <f t="shared" si="13"/>
        <v>0</v>
      </c>
      <c r="G26" s="2"/>
      <c r="H26" s="6">
        <v>1286.5999999999999</v>
      </c>
      <c r="I26" s="2"/>
      <c r="J26" s="7">
        <f t="shared" si="14"/>
        <v>8.7384113831629695E-2</v>
      </c>
      <c r="K26" s="2"/>
      <c r="L26" s="6">
        <f t="shared" si="15"/>
        <v>-485.53999999999996</v>
      </c>
      <c r="M26" s="2"/>
      <c r="N26" s="7">
        <f t="shared" si="16"/>
        <v>-0.37738224778485929</v>
      </c>
      <c r="O26" s="11"/>
      <c r="P26" s="6">
        <v>13382.42</v>
      </c>
      <c r="Q26" s="2"/>
      <c r="R26" s="7">
        <f t="shared" si="17"/>
        <v>5.2470088538045016E-2</v>
      </c>
      <c r="S26" s="2"/>
      <c r="T26" s="6">
        <v>14035.51</v>
      </c>
      <c r="U26" s="2"/>
      <c r="V26" s="7">
        <f t="shared" si="18"/>
        <v>4.0177355611380382E-2</v>
      </c>
      <c r="W26" s="2"/>
      <c r="X26" s="6">
        <f t="shared" si="19"/>
        <v>-653.09000000000015</v>
      </c>
      <c r="Y26" s="2"/>
      <c r="Z26" s="7">
        <f t="shared" si="20"/>
        <v>-4.6531262490639824E-2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19.53</v>
      </c>
      <c r="E27" s="2"/>
      <c r="F27" s="7">
        <f t="shared" si="13"/>
        <v>0</v>
      </c>
      <c r="G27" s="2"/>
      <c r="H27" s="6">
        <v>35.04</v>
      </c>
      <c r="I27" s="2"/>
      <c r="J27" s="7">
        <f t="shared" si="14"/>
        <v>2.379868917037389E-3</v>
      </c>
      <c r="K27" s="2"/>
      <c r="L27" s="6">
        <f t="shared" si="15"/>
        <v>-15.509999999999998</v>
      </c>
      <c r="M27" s="2"/>
      <c r="N27" s="7">
        <f t="shared" si="16"/>
        <v>-0.44263698630136983</v>
      </c>
      <c r="O27" s="11"/>
      <c r="P27" s="6">
        <v>356.65</v>
      </c>
      <c r="Q27" s="2"/>
      <c r="R27" s="7">
        <f t="shared" si="17"/>
        <v>1.3983612139727907E-3</v>
      </c>
      <c r="S27" s="2"/>
      <c r="T27" s="6">
        <v>362.95</v>
      </c>
      <c r="U27" s="2"/>
      <c r="V27" s="7">
        <f t="shared" si="18"/>
        <v>1.0389626895745512E-3</v>
      </c>
      <c r="W27" s="2"/>
      <c r="X27" s="6">
        <f t="shared" si="19"/>
        <v>-6.3000000000000114</v>
      </c>
      <c r="Y27" s="2"/>
      <c r="Z27" s="7">
        <f t="shared" si="20"/>
        <v>-1.7357762777242075E-2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340.69</v>
      </c>
      <c r="E28" s="2"/>
      <c r="F28" s="7">
        <f t="shared" si="13"/>
        <v>0</v>
      </c>
      <c r="G28" s="2"/>
      <c r="H28" s="6">
        <v>310.52</v>
      </c>
      <c r="I28" s="2"/>
      <c r="J28" s="7">
        <f t="shared" si="14"/>
        <v>2.1090094067307365E-2</v>
      </c>
      <c r="K28" s="2"/>
      <c r="L28" s="6">
        <f t="shared" si="15"/>
        <v>30.170000000000016</v>
      </c>
      <c r="M28" s="2"/>
      <c r="N28" s="7">
        <f t="shared" si="16"/>
        <v>9.7159603246167778E-2</v>
      </c>
      <c r="O28" s="11"/>
      <c r="P28" s="6">
        <v>3790.41</v>
      </c>
      <c r="Q28" s="2"/>
      <c r="R28" s="7">
        <f t="shared" si="17"/>
        <v>1.486152342367757E-2</v>
      </c>
      <c r="S28" s="2"/>
      <c r="T28" s="6">
        <v>3630.09</v>
      </c>
      <c r="U28" s="2"/>
      <c r="V28" s="7">
        <f t="shared" si="18"/>
        <v>1.0391315800517102E-2</v>
      </c>
      <c r="W28" s="2"/>
      <c r="X28" s="6">
        <f t="shared" si="19"/>
        <v>160.31999999999971</v>
      </c>
      <c r="Y28" s="2"/>
      <c r="Z28" s="7">
        <f t="shared" si="20"/>
        <v>4.4164194276174892E-2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187.78</v>
      </c>
      <c r="E29" s="2"/>
      <c r="F29" s="7">
        <f t="shared" si="13"/>
        <v>0</v>
      </c>
      <c r="G29" s="2"/>
      <c r="H29" s="6">
        <v>392.28</v>
      </c>
      <c r="I29" s="2"/>
      <c r="J29" s="7">
        <f t="shared" si="14"/>
        <v>2.6643121540394606E-2</v>
      </c>
      <c r="K29" s="2"/>
      <c r="L29" s="6">
        <f t="shared" si="15"/>
        <v>-204.49999999999997</v>
      </c>
      <c r="M29" s="2"/>
      <c r="N29" s="7">
        <f t="shared" si="16"/>
        <v>-0.52131130824920968</v>
      </c>
      <c r="O29" s="11"/>
      <c r="P29" s="6">
        <v>3424.72</v>
      </c>
      <c r="Q29" s="2"/>
      <c r="R29" s="7">
        <f t="shared" si="17"/>
        <v>1.3427717977616419E-2</v>
      </c>
      <c r="S29" s="2"/>
      <c r="T29" s="6">
        <v>3287.36</v>
      </c>
      <c r="U29" s="2"/>
      <c r="V29" s="7">
        <f t="shared" si="18"/>
        <v>9.4102338812503006E-3</v>
      </c>
      <c r="W29" s="2"/>
      <c r="X29" s="6">
        <f t="shared" si="19"/>
        <v>137.35999999999967</v>
      </c>
      <c r="Y29" s="2"/>
      <c r="Z29" s="7">
        <f t="shared" si="20"/>
        <v>4.1784288912683633E-2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224.98</v>
      </c>
      <c r="E30" s="2"/>
      <c r="F30" s="7">
        <f t="shared" si="13"/>
        <v>0</v>
      </c>
      <c r="G30" s="2"/>
      <c r="H30" s="6">
        <v>314.01</v>
      </c>
      <c r="I30" s="2"/>
      <c r="J30" s="7">
        <f t="shared" si="14"/>
        <v>2.1327130098142424E-2</v>
      </c>
      <c r="K30" s="2"/>
      <c r="L30" s="6">
        <f t="shared" si="15"/>
        <v>-89.03</v>
      </c>
      <c r="M30" s="2"/>
      <c r="N30" s="7">
        <f t="shared" si="16"/>
        <v>-0.28352600235661285</v>
      </c>
      <c r="O30" s="11"/>
      <c r="P30" s="6">
        <v>3517.84</v>
      </c>
      <c r="Q30" s="2"/>
      <c r="R30" s="7">
        <f t="shared" si="17"/>
        <v>1.379282493470361E-2</v>
      </c>
      <c r="S30" s="2"/>
      <c r="T30" s="6">
        <v>3367.53</v>
      </c>
      <c r="U30" s="2"/>
      <c r="V30" s="7">
        <f t="shared" si="18"/>
        <v>9.6397245516544657E-3</v>
      </c>
      <c r="W30" s="2"/>
      <c r="X30" s="6">
        <f t="shared" si="19"/>
        <v>150.30999999999995</v>
      </c>
      <c r="Y30" s="2"/>
      <c r="Z30" s="7">
        <f t="shared" si="20"/>
        <v>4.4635088625788022E-2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100.94</v>
      </c>
      <c r="E31" s="2"/>
      <c r="F31" s="7">
        <f t="shared" si="13"/>
        <v>0</v>
      </c>
      <c r="G31" s="2"/>
      <c r="H31" s="6">
        <v>141.91</v>
      </c>
      <c r="I31" s="2"/>
      <c r="J31" s="7">
        <f t="shared" si="14"/>
        <v>9.6383332767344711E-3</v>
      </c>
      <c r="K31" s="2"/>
      <c r="L31" s="6">
        <f t="shared" si="15"/>
        <v>-40.97</v>
      </c>
      <c r="M31" s="2"/>
      <c r="N31" s="7">
        <f t="shared" si="16"/>
        <v>-0.28870410823761539</v>
      </c>
      <c r="O31" s="11"/>
      <c r="P31" s="6">
        <v>1281.06</v>
      </c>
      <c r="Q31" s="2"/>
      <c r="R31" s="7">
        <f t="shared" si="17"/>
        <v>5.0228084025570816E-3</v>
      </c>
      <c r="S31" s="2"/>
      <c r="T31" s="6">
        <v>1462.5</v>
      </c>
      <c r="U31" s="2"/>
      <c r="V31" s="7">
        <f t="shared" si="18"/>
        <v>4.1864800482236701E-3</v>
      </c>
      <c r="W31" s="2"/>
      <c r="X31" s="6">
        <f t="shared" si="19"/>
        <v>-181.44000000000005</v>
      </c>
      <c r="Y31" s="2"/>
      <c r="Z31" s="7">
        <f t="shared" si="20"/>
        <v>-0.1240615384615385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4823.8</v>
      </c>
      <c r="E32" s="1"/>
      <c r="F32" s="5">
        <f t="shared" ref="F32:F38" si="21">IF(D$12=0,0,D32/D$12)</f>
        <v>0</v>
      </c>
      <c r="G32" s="1"/>
      <c r="H32" s="1">
        <f>SUM(OSRRefH22_1x_0)</f>
        <v>11831.03</v>
      </c>
      <c r="I32" s="1"/>
      <c r="J32" s="5">
        <f t="shared" ref="J32:J38" si="22">IF(H$12=0,0,H32/H$12)</f>
        <v>0.80354739022650867</v>
      </c>
      <c r="K32" s="1"/>
      <c r="L32" s="1">
        <f t="shared" ref="L32:L38" si="23">+D32-H32</f>
        <v>-7007.2300000000005</v>
      </c>
      <c r="M32" s="1"/>
      <c r="N32" s="5">
        <f t="shared" ref="N32:N38" si="24">IF(H32=0,0,L32/H32)</f>
        <v>-0.59227556687794725</v>
      </c>
      <c r="O32" s="13"/>
      <c r="P32" s="1">
        <f>SUM(OSRRefP22_1x_0)</f>
        <v>123542.23999999999</v>
      </c>
      <c r="Q32" s="1"/>
      <c r="R32" s="5">
        <f t="shared" ref="R32:R38" si="25">IF(P$12=0,0,P32/P$12)</f>
        <v>0.48438714903495822</v>
      </c>
      <c r="S32" s="1"/>
      <c r="T32" s="1">
        <f>SUM(OSRRefT22_1x_0)</f>
        <v>134322.72</v>
      </c>
      <c r="U32" s="1"/>
      <c r="V32" s="5">
        <f t="shared" ref="V32:V38" si="26">IF(T$12=0,0,T32/T$12)</f>
        <v>0.38450556396795521</v>
      </c>
      <c r="W32" s="1"/>
      <c r="X32" s="1">
        <f t="shared" ref="X32:X38" si="27">+P32-T32</f>
        <v>-10780.48000000001</v>
      </c>
      <c r="Y32" s="1"/>
      <c r="Z32" s="5">
        <f t="shared" ref="Z32:Z38" si="28">IF(T32=0,0,X32/T32)</f>
        <v>-8.025805314246176E-2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4823.8</v>
      </c>
      <c r="E33" s="2"/>
      <c r="F33" s="7">
        <f t="shared" si="21"/>
        <v>0</v>
      </c>
      <c r="G33" s="2"/>
      <c r="H33" s="6">
        <v>5445.77</v>
      </c>
      <c r="I33" s="2"/>
      <c r="J33" s="7">
        <f t="shared" si="22"/>
        <v>0.36986925663055664</v>
      </c>
      <c r="K33" s="2"/>
      <c r="L33" s="6">
        <f t="shared" si="23"/>
        <v>-621.97000000000025</v>
      </c>
      <c r="M33" s="2"/>
      <c r="N33" s="7">
        <f t="shared" si="24"/>
        <v>-0.11421158073146685</v>
      </c>
      <c r="O33" s="11"/>
      <c r="P33" s="6">
        <v>50095.420000000006</v>
      </c>
      <c r="Q33" s="2"/>
      <c r="R33" s="7">
        <f t="shared" si="25"/>
        <v>0.19641523153140847</v>
      </c>
      <c r="S33" s="2"/>
      <c r="T33" s="6">
        <v>49805.77</v>
      </c>
      <c r="U33" s="2"/>
      <c r="V33" s="7">
        <f t="shared" si="26"/>
        <v>0.14257152984028512</v>
      </c>
      <c r="W33" s="2"/>
      <c r="X33" s="6">
        <f t="shared" si="27"/>
        <v>289.65000000000873</v>
      </c>
      <c r="Y33" s="2"/>
      <c r="Z33" s="7">
        <f t="shared" si="28"/>
        <v>5.8155912457534291E-3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2483.52</v>
      </c>
      <c r="Q34" s="2"/>
      <c r="R34" s="7">
        <f t="shared" si="25"/>
        <v>9.7374401854078366E-3</v>
      </c>
      <c r="S34" s="2"/>
      <c r="T34" s="6"/>
      <c r="U34" s="2"/>
      <c r="V34" s="7">
        <f t="shared" si="26"/>
        <v>0</v>
      </c>
      <c r="W34" s="2"/>
      <c r="X34" s="6">
        <f t="shared" si="27"/>
        <v>2483.52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4313.07</v>
      </c>
      <c r="I35" s="2"/>
      <c r="J35" s="7">
        <f t="shared" si="22"/>
        <v>0.29293782049105171</v>
      </c>
      <c r="K35" s="2"/>
      <c r="L35" s="6">
        <f t="shared" si="23"/>
        <v>-4313.07</v>
      </c>
      <c r="M35" s="2"/>
      <c r="N35" s="7">
        <f t="shared" si="24"/>
        <v>-1</v>
      </c>
      <c r="O35" s="11"/>
      <c r="P35" s="6">
        <v>29725.459999999995</v>
      </c>
      <c r="Q35" s="2"/>
      <c r="R35" s="7">
        <f t="shared" si="25"/>
        <v>0.11654824150147099</v>
      </c>
      <c r="S35" s="2"/>
      <c r="T35" s="6">
        <v>30546.560000000001</v>
      </c>
      <c r="U35" s="2"/>
      <c r="V35" s="7">
        <f t="shared" si="26"/>
        <v>8.7441069389310927E-2</v>
      </c>
      <c r="W35" s="2"/>
      <c r="X35" s="6">
        <f t="shared" si="27"/>
        <v>-821.10000000000582</v>
      </c>
      <c r="Y35" s="2"/>
      <c r="Z35" s="7">
        <f t="shared" si="28"/>
        <v>-2.6880277189968552E-2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207.19</v>
      </c>
      <c r="I36" s="2"/>
      <c r="J36" s="7">
        <f t="shared" si="22"/>
        <v>1.4072061670119197E-2</v>
      </c>
      <c r="K36" s="2"/>
      <c r="L36" s="6">
        <f t="shared" si="23"/>
        <v>-207.19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5862.52</v>
      </c>
      <c r="U36" s="2"/>
      <c r="V36" s="7">
        <f t="shared" si="26"/>
        <v>1.6781759324657936E-2</v>
      </c>
      <c r="W36" s="2"/>
      <c r="X36" s="6">
        <f t="shared" si="27"/>
        <v>-5862.52</v>
      </c>
      <c r="Y36" s="2"/>
      <c r="Z36" s="7">
        <f t="shared" si="28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1187</v>
      </c>
      <c r="I37" s="2"/>
      <c r="J37" s="7">
        <f t="shared" si="22"/>
        <v>8.0619417937311103E-2</v>
      </c>
      <c r="K37" s="2"/>
      <c r="L37" s="6">
        <f t="shared" si="23"/>
        <v>-1187</v>
      </c>
      <c r="M37" s="2"/>
      <c r="N37" s="7">
        <f t="shared" si="24"/>
        <v>-1</v>
      </c>
      <c r="O37" s="11"/>
      <c r="P37" s="6">
        <v>36868.25</v>
      </c>
      <c r="Q37" s="2"/>
      <c r="R37" s="7">
        <f t="shared" si="25"/>
        <v>0.14455385062961543</v>
      </c>
      <c r="S37" s="2"/>
      <c r="T37" s="6">
        <v>39047.270000000004</v>
      </c>
      <c r="U37" s="2"/>
      <c r="V37" s="7">
        <f t="shared" si="26"/>
        <v>0.11177478071289072</v>
      </c>
      <c r="W37" s="2"/>
      <c r="X37" s="6">
        <f t="shared" si="27"/>
        <v>-2179.0200000000041</v>
      </c>
      <c r="Y37" s="2"/>
      <c r="Z37" s="7">
        <f t="shared" si="28"/>
        <v>-5.5804669571009803E-2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678</v>
      </c>
      <c r="I38" s="2"/>
      <c r="J38" s="7">
        <f t="shared" si="22"/>
        <v>4.6048833497470028E-2</v>
      </c>
      <c r="K38" s="2"/>
      <c r="L38" s="6">
        <f t="shared" si="23"/>
        <v>-678</v>
      </c>
      <c r="M38" s="2"/>
      <c r="N38" s="7">
        <f t="shared" si="24"/>
        <v>-1</v>
      </c>
      <c r="O38" s="11"/>
      <c r="P38" s="6">
        <v>4369.59</v>
      </c>
      <c r="Q38" s="2"/>
      <c r="R38" s="7">
        <f t="shared" si="25"/>
        <v>1.7132385187055565E-2</v>
      </c>
      <c r="S38" s="2"/>
      <c r="T38" s="6">
        <v>9060.6</v>
      </c>
      <c r="U38" s="2"/>
      <c r="V38" s="7">
        <f t="shared" si="26"/>
        <v>2.593642470081052E-2</v>
      </c>
      <c r="W38" s="2"/>
      <c r="X38" s="6">
        <f t="shared" si="27"/>
        <v>-4691.01</v>
      </c>
      <c r="Y38" s="2"/>
      <c r="Z38" s="7">
        <f t="shared" si="28"/>
        <v>-0.51773723594463938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4" si="29">IF(D$12=0,0,D39/D$12)</f>
        <v>0</v>
      </c>
      <c r="G39" s="1"/>
      <c r="H39" s="1">
        <f>SUM(OSRRefH22_2x_0)</f>
        <v>59.14</v>
      </c>
      <c r="I39" s="1"/>
      <c r="J39" s="5">
        <f t="shared" ref="J39:J54" si="30">IF(H$12=0,0,H39/H$12)</f>
        <v>4.0167079838353652E-3</v>
      </c>
      <c r="K39" s="1"/>
      <c r="L39" s="1">
        <f t="shared" ref="L39:L54" si="31">+D39-H39</f>
        <v>-59.14</v>
      </c>
      <c r="M39" s="1"/>
      <c r="N39" s="5">
        <f t="shared" ref="N39:N54" si="32">IF(H39=0,0,L39/H39)</f>
        <v>-1</v>
      </c>
      <c r="O39" s="13"/>
      <c r="P39" s="1">
        <f>SUM(OSRRefP22_2x_0)</f>
        <v>2599.63</v>
      </c>
      <c r="Q39" s="1"/>
      <c r="R39" s="5">
        <f t="shared" ref="R39:R54" si="33">IF(P$12=0,0,P39/P$12)</f>
        <v>1.0192686843348061E-2</v>
      </c>
      <c r="S39" s="1"/>
      <c r="T39" s="1">
        <f>SUM(OSRRefT22_2x_0)</f>
        <v>1629.95</v>
      </c>
      <c r="U39" s="1"/>
      <c r="V39" s="5">
        <f t="shared" ref="V39:V54" si="34">IF(T$12=0,0,T39/T$12)</f>
        <v>4.6658141228049033E-3</v>
      </c>
      <c r="W39" s="1"/>
      <c r="X39" s="1">
        <f t="shared" ref="X39:X54" si="35">+P39-T39</f>
        <v>969.68000000000006</v>
      </c>
      <c r="Y39" s="1"/>
      <c r="Z39" s="5">
        <f t="shared" ref="Z39:Z54" si="36">IF(T39=0,0,X39/T39)</f>
        <v>0.59491395441577966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59.14</v>
      </c>
      <c r="I40" s="2"/>
      <c r="J40" s="7">
        <f t="shared" si="30"/>
        <v>4.0167079838353652E-3</v>
      </c>
      <c r="K40" s="2"/>
      <c r="L40" s="6">
        <f t="shared" si="31"/>
        <v>-59.14</v>
      </c>
      <c r="M40" s="2"/>
      <c r="N40" s="7">
        <f t="shared" si="32"/>
        <v>-1</v>
      </c>
      <c r="O40" s="11"/>
      <c r="P40" s="6">
        <v>2599.63</v>
      </c>
      <c r="Q40" s="2"/>
      <c r="R40" s="7">
        <f t="shared" si="33"/>
        <v>1.0192686843348061E-2</v>
      </c>
      <c r="S40" s="2"/>
      <c r="T40" s="6">
        <v>1629.95</v>
      </c>
      <c r="U40" s="2"/>
      <c r="V40" s="7">
        <f t="shared" si="34"/>
        <v>4.6658141228049033E-3</v>
      </c>
      <c r="W40" s="2"/>
      <c r="X40" s="6">
        <f t="shared" si="35"/>
        <v>969.68000000000006</v>
      </c>
      <c r="Y40" s="2"/>
      <c r="Z40" s="7">
        <f t="shared" si="36"/>
        <v>0.59491395441577966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-0.21</v>
      </c>
      <c r="I41" s="1"/>
      <c r="J41" s="5">
        <f t="shared" si="30"/>
        <v>-1.4262913030189832E-5</v>
      </c>
      <c r="K41" s="1"/>
      <c r="L41" s="1">
        <f t="shared" si="31"/>
        <v>0.21</v>
      </c>
      <c r="M41" s="1"/>
      <c r="N41" s="5">
        <f t="shared" si="32"/>
        <v>-1</v>
      </c>
      <c r="O41" s="13"/>
      <c r="P41" s="1">
        <f>SUM(OSRRefP22_3x_0)</f>
        <v>-48.26</v>
      </c>
      <c r="Q41" s="1"/>
      <c r="R41" s="5">
        <f t="shared" si="33"/>
        <v>-1.8921887617083101E-4</v>
      </c>
      <c r="S41" s="1"/>
      <c r="T41" s="1">
        <f>SUM(OSRRefT22_3x_0)</f>
        <v>50.29</v>
      </c>
      <c r="U41" s="1"/>
      <c r="V41" s="5">
        <f t="shared" si="34"/>
        <v>1.4395766264968776E-4</v>
      </c>
      <c r="W41" s="1"/>
      <c r="X41" s="1">
        <f t="shared" si="35"/>
        <v>-98.55</v>
      </c>
      <c r="Y41" s="1"/>
      <c r="Z41" s="5">
        <f t="shared" si="36"/>
        <v>-1.9596341220918672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-0.21</v>
      </c>
      <c r="I42" s="2"/>
      <c r="J42" s="7">
        <f t="shared" si="30"/>
        <v>-1.4262913030189832E-5</v>
      </c>
      <c r="K42" s="2"/>
      <c r="L42" s="6">
        <f t="shared" si="31"/>
        <v>0.21</v>
      </c>
      <c r="M42" s="2"/>
      <c r="N42" s="7">
        <f t="shared" si="32"/>
        <v>-1</v>
      </c>
      <c r="O42" s="11"/>
      <c r="P42" s="6">
        <v>-48.26</v>
      </c>
      <c r="Q42" s="2"/>
      <c r="R42" s="7">
        <f t="shared" si="33"/>
        <v>-1.8921887617083101E-4</v>
      </c>
      <c r="S42" s="2"/>
      <c r="T42" s="6">
        <v>50.29</v>
      </c>
      <c r="U42" s="2"/>
      <c r="V42" s="7">
        <f t="shared" si="34"/>
        <v>1.4395766264968776E-4</v>
      </c>
      <c r="W42" s="2"/>
      <c r="X42" s="6">
        <f t="shared" si="35"/>
        <v>-98.55</v>
      </c>
      <c r="Y42" s="2"/>
      <c r="Z42" s="7">
        <f t="shared" si="36"/>
        <v>-1.9596341220918672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1131.96</v>
      </c>
      <c r="I43" s="1"/>
      <c r="J43" s="5">
        <f t="shared" si="30"/>
        <v>7.6881176350731828E-2</v>
      </c>
      <c r="K43" s="1"/>
      <c r="L43" s="1">
        <f t="shared" si="31"/>
        <v>-1131.96</v>
      </c>
      <c r="M43" s="1"/>
      <c r="N43" s="5">
        <f t="shared" si="32"/>
        <v>-1</v>
      </c>
      <c r="O43" s="13"/>
      <c r="P43" s="1">
        <f>SUM(OSRRefP22_4x_0)</f>
        <v>10000.31</v>
      </c>
      <c r="Q43" s="1"/>
      <c r="R43" s="5">
        <f t="shared" si="33"/>
        <v>3.9209436791544199E-2</v>
      </c>
      <c r="S43" s="1"/>
      <c r="T43" s="1">
        <f>SUM(OSRRefT22_4x_0)</f>
        <v>13877.89</v>
      </c>
      <c r="U43" s="1"/>
      <c r="V43" s="5">
        <f t="shared" si="34"/>
        <v>3.9726160407824125E-2</v>
      </c>
      <c r="W43" s="1"/>
      <c r="X43" s="1">
        <f t="shared" si="35"/>
        <v>-3877.58</v>
      </c>
      <c r="Y43" s="1"/>
      <c r="Z43" s="5">
        <f t="shared" si="36"/>
        <v>-0.27940702801362455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1131.96</v>
      </c>
      <c r="I44" s="2"/>
      <c r="J44" s="7">
        <f t="shared" si="30"/>
        <v>7.6881176350731828E-2</v>
      </c>
      <c r="K44" s="2"/>
      <c r="L44" s="6">
        <f t="shared" si="31"/>
        <v>-1131.96</v>
      </c>
      <c r="M44" s="2"/>
      <c r="N44" s="7">
        <f t="shared" si="32"/>
        <v>-1</v>
      </c>
      <c r="O44" s="11"/>
      <c r="P44" s="6">
        <v>10000.31</v>
      </c>
      <c r="Q44" s="2"/>
      <c r="R44" s="7">
        <f t="shared" si="33"/>
        <v>3.9209436791544199E-2</v>
      </c>
      <c r="S44" s="2"/>
      <c r="T44" s="6">
        <v>13877.89</v>
      </c>
      <c r="U44" s="2"/>
      <c r="V44" s="7">
        <f t="shared" si="34"/>
        <v>3.9726160407824125E-2</v>
      </c>
      <c r="W44" s="2"/>
      <c r="X44" s="6">
        <f t="shared" si="35"/>
        <v>-3877.58</v>
      </c>
      <c r="Y44" s="2"/>
      <c r="Z44" s="7">
        <f t="shared" si="36"/>
        <v>-0.27940702801362455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58.03</v>
      </c>
      <c r="E45" s="1"/>
      <c r="F45" s="5">
        <f t="shared" si="29"/>
        <v>0</v>
      </c>
      <c r="G45" s="1"/>
      <c r="H45" s="1">
        <f>SUM(OSRRefH22_5x_0)</f>
        <v>635.67999999999995</v>
      </c>
      <c r="I45" s="1"/>
      <c r="J45" s="5">
        <f t="shared" si="30"/>
        <v>4.3174516928719389E-2</v>
      </c>
      <c r="K45" s="1"/>
      <c r="L45" s="1">
        <f t="shared" si="31"/>
        <v>-577.65</v>
      </c>
      <c r="M45" s="1"/>
      <c r="N45" s="5">
        <f t="shared" si="32"/>
        <v>-0.9087119305310849</v>
      </c>
      <c r="O45" s="13"/>
      <c r="P45" s="1">
        <f>SUM(OSRRefP22_5x_0)</f>
        <v>5787.99</v>
      </c>
      <c r="Q45" s="1"/>
      <c r="R45" s="5">
        <f t="shared" si="33"/>
        <v>2.2693679301450647E-2</v>
      </c>
      <c r="S45" s="1"/>
      <c r="T45" s="1">
        <f>SUM(OSRRefT22_5x_0)</f>
        <v>6992.48</v>
      </c>
      <c r="U45" s="1"/>
      <c r="V45" s="5">
        <f t="shared" si="34"/>
        <v>2.00163268428055E-2</v>
      </c>
      <c r="W45" s="1"/>
      <c r="X45" s="1">
        <f t="shared" si="35"/>
        <v>-1204.4899999999998</v>
      </c>
      <c r="Y45" s="1"/>
      <c r="Z45" s="5">
        <f t="shared" si="36"/>
        <v>-0.17225505114065395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58.03</v>
      </c>
      <c r="E46" s="2"/>
      <c r="F46" s="7">
        <f t="shared" si="29"/>
        <v>0</v>
      </c>
      <c r="G46" s="2"/>
      <c r="H46" s="6">
        <v>635.67999999999995</v>
      </c>
      <c r="I46" s="2"/>
      <c r="J46" s="7">
        <f t="shared" si="30"/>
        <v>4.3174516928719389E-2</v>
      </c>
      <c r="K46" s="2"/>
      <c r="L46" s="6">
        <f t="shared" si="31"/>
        <v>-577.65</v>
      </c>
      <c r="M46" s="2"/>
      <c r="N46" s="7">
        <f t="shared" si="32"/>
        <v>-0.9087119305310849</v>
      </c>
      <c r="O46" s="11"/>
      <c r="P46" s="6">
        <v>5787.99</v>
      </c>
      <c r="Q46" s="2"/>
      <c r="R46" s="7">
        <f t="shared" si="33"/>
        <v>2.2693679301450647E-2</v>
      </c>
      <c r="S46" s="2"/>
      <c r="T46" s="6">
        <v>6992.48</v>
      </c>
      <c r="U46" s="2"/>
      <c r="V46" s="7">
        <f t="shared" si="34"/>
        <v>2.00163268428055E-2</v>
      </c>
      <c r="W46" s="2"/>
      <c r="X46" s="6">
        <f t="shared" si="35"/>
        <v>-1204.4899999999998</v>
      </c>
      <c r="Y46" s="2"/>
      <c r="Z46" s="7">
        <f t="shared" si="36"/>
        <v>-0.17225505114065395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100.64</v>
      </c>
      <c r="I47" s="1"/>
      <c r="J47" s="5">
        <f t="shared" si="30"/>
        <v>6.8353312731347848E-3</v>
      </c>
      <c r="K47" s="1"/>
      <c r="L47" s="1">
        <f t="shared" si="31"/>
        <v>-100.64</v>
      </c>
      <c r="M47" s="1"/>
      <c r="N47" s="5">
        <f t="shared" si="32"/>
        <v>-1</v>
      </c>
      <c r="O47" s="13"/>
      <c r="P47" s="1">
        <f>SUM(OSRRefP22_6x_0)</f>
        <v>0</v>
      </c>
      <c r="Q47" s="1"/>
      <c r="R47" s="5">
        <f t="shared" si="33"/>
        <v>0</v>
      </c>
      <c r="S47" s="1"/>
      <c r="T47" s="1">
        <f>SUM(OSRRefT22_6x_0)</f>
        <v>100.64</v>
      </c>
      <c r="U47" s="1"/>
      <c r="V47" s="5">
        <f t="shared" si="34"/>
        <v>2.8808707832699498E-4</v>
      </c>
      <c r="W47" s="1"/>
      <c r="X47" s="1">
        <f t="shared" si="35"/>
        <v>-100.64</v>
      </c>
      <c r="Y47" s="1"/>
      <c r="Z47" s="5">
        <f t="shared" si="36"/>
        <v>-1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>
        <v>100.64</v>
      </c>
      <c r="I48" s="2"/>
      <c r="J48" s="7">
        <f t="shared" si="30"/>
        <v>6.8353312731347848E-3</v>
      </c>
      <c r="K48" s="2"/>
      <c r="L48" s="6">
        <f t="shared" si="31"/>
        <v>-100.64</v>
      </c>
      <c r="M48" s="2"/>
      <c r="N48" s="7">
        <f t="shared" si="32"/>
        <v>-1</v>
      </c>
      <c r="O48" s="11"/>
      <c r="P48" s="6"/>
      <c r="Q48" s="2"/>
      <c r="R48" s="7">
        <f t="shared" si="33"/>
        <v>0</v>
      </c>
      <c r="S48" s="2"/>
      <c r="T48" s="6">
        <v>100.64</v>
      </c>
      <c r="U48" s="2"/>
      <c r="V48" s="7">
        <f t="shared" si="34"/>
        <v>2.8808707832699498E-4</v>
      </c>
      <c r="W48" s="2"/>
      <c r="X48" s="6">
        <f t="shared" si="35"/>
        <v>-100.64</v>
      </c>
      <c r="Y48" s="2"/>
      <c r="Z48" s="7">
        <f t="shared" si="36"/>
        <v>-1</v>
      </c>
    </row>
    <row r="49" spans="1:26" s="27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SUM(OSRRefD22_7x_0)</f>
        <v>0</v>
      </c>
      <c r="E49" s="1"/>
      <c r="F49" s="5">
        <f t="shared" si="29"/>
        <v>0</v>
      </c>
      <c r="G49" s="1"/>
      <c r="H49" s="1">
        <f>SUM(OSRRefH22_7x_0)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SUM(OSRRefP22_7x_0)</f>
        <v>901.75</v>
      </c>
      <c r="Q49" s="1"/>
      <c r="R49" s="5">
        <f t="shared" si="33"/>
        <v>3.535601359035368E-3</v>
      </c>
      <c r="S49" s="1"/>
      <c r="T49" s="1">
        <f>SUM(OSRRefT22_7x_0)</f>
        <v>724.2</v>
      </c>
      <c r="U49" s="1"/>
      <c r="V49" s="5">
        <f t="shared" si="34"/>
        <v>2.0730590433665516E-3</v>
      </c>
      <c r="W49" s="1"/>
      <c r="X49" s="1">
        <f t="shared" si="35"/>
        <v>177.54999999999995</v>
      </c>
      <c r="Y49" s="1"/>
      <c r="Z49" s="5">
        <f t="shared" si="36"/>
        <v>0.24516708091687373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901.75</v>
      </c>
      <c r="Q50" s="2"/>
      <c r="R50" s="7">
        <f t="shared" si="33"/>
        <v>3.535601359035368E-3</v>
      </c>
      <c r="S50" s="2"/>
      <c r="T50" s="6">
        <v>724.2</v>
      </c>
      <c r="U50" s="2"/>
      <c r="V50" s="7">
        <f t="shared" si="34"/>
        <v>2.0730590433665516E-3</v>
      </c>
      <c r="W50" s="2"/>
      <c r="X50" s="6">
        <f t="shared" si="35"/>
        <v>177.54999999999995</v>
      </c>
      <c r="Y50" s="2"/>
      <c r="Z50" s="7">
        <f t="shared" si="36"/>
        <v>0.24516708091687373</v>
      </c>
    </row>
    <row r="51" spans="1:26" s="27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2619.4700000000003</v>
      </c>
      <c r="I51" s="1"/>
      <c r="J51" s="5">
        <f t="shared" si="30"/>
        <v>0.17791082283424459</v>
      </c>
      <c r="K51" s="1"/>
      <c r="L51" s="1">
        <f t="shared" si="31"/>
        <v>-2619.4700000000003</v>
      </c>
      <c r="M51" s="1"/>
      <c r="N51" s="5">
        <f t="shared" si="32"/>
        <v>-1</v>
      </c>
      <c r="O51" s="13"/>
      <c r="P51" s="1">
        <f>SUM(OSRRefP22_8x_0)</f>
        <v>8877.11</v>
      </c>
      <c r="Q51" s="1"/>
      <c r="R51" s="5">
        <f t="shared" si="33"/>
        <v>3.4805569371007997E-2</v>
      </c>
      <c r="S51" s="1"/>
      <c r="T51" s="1">
        <f>SUM(OSRRefT22_8x_0)</f>
        <v>5598.99</v>
      </c>
      <c r="U51" s="1"/>
      <c r="V51" s="5">
        <f t="shared" si="34"/>
        <v>1.6027391401848782E-2</v>
      </c>
      <c r="W51" s="1"/>
      <c r="X51" s="1">
        <f t="shared" si="35"/>
        <v>3278.1200000000008</v>
      </c>
      <c r="Y51" s="1"/>
      <c r="Z51" s="5">
        <f t="shared" si="36"/>
        <v>0.58548416768024247</v>
      </c>
    </row>
    <row r="52" spans="1:26" s="24" customFormat="1" hidden="1" outlineLevel="2" x14ac:dyDescent="0.25">
      <c r="A52" s="26"/>
      <c r="B52" s="11" t="str">
        <f>CONCATENATE("          ", "6371", " - ", "COMPUTER SOFTWARE MAINTENANCE")</f>
        <v xml:space="preserve">          6371 - COMPUTER SOFTWARE MAINTENANCE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874.62</v>
      </c>
      <c r="Q52" s="2"/>
      <c r="R52" s="7">
        <f t="shared" si="33"/>
        <v>3.4292294545489477E-3</v>
      </c>
      <c r="S52" s="2"/>
      <c r="T52" s="6"/>
      <c r="U52" s="2"/>
      <c r="V52" s="7">
        <f t="shared" si="34"/>
        <v>0</v>
      </c>
      <c r="W52" s="2"/>
      <c r="X52" s="6">
        <f t="shared" si="35"/>
        <v>874.62</v>
      </c>
      <c r="Y52" s="2"/>
      <c r="Z52" s="7">
        <f t="shared" si="36"/>
        <v>0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9"/>
        <v>0</v>
      </c>
      <c r="G53" s="2"/>
      <c r="H53" s="6">
        <v>1841.5</v>
      </c>
      <c r="I53" s="2"/>
      <c r="J53" s="7">
        <f t="shared" si="30"/>
        <v>0.12507216354806941</v>
      </c>
      <c r="K53" s="2"/>
      <c r="L53" s="6">
        <f t="shared" si="31"/>
        <v>-1841.5</v>
      </c>
      <c r="M53" s="2"/>
      <c r="N53" s="7">
        <f t="shared" si="32"/>
        <v>-1</v>
      </c>
      <c r="O53" s="11"/>
      <c r="P53" s="6">
        <v>1031.97</v>
      </c>
      <c r="Q53" s="2"/>
      <c r="R53" s="7">
        <f t="shared" si="33"/>
        <v>4.0461708172816512E-3</v>
      </c>
      <c r="S53" s="2"/>
      <c r="T53" s="6">
        <v>2309.35</v>
      </c>
      <c r="U53" s="2"/>
      <c r="V53" s="7">
        <f t="shared" si="34"/>
        <v>6.610630905548945E-3</v>
      </c>
      <c r="W53" s="2"/>
      <c r="X53" s="6">
        <f t="shared" si="35"/>
        <v>-1277.3799999999999</v>
      </c>
      <c r="Y53" s="2"/>
      <c r="Z53" s="7">
        <f t="shared" si="36"/>
        <v>-0.55313399874423541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9"/>
        <v>0</v>
      </c>
      <c r="G54" s="2"/>
      <c r="H54" s="6">
        <v>777.97</v>
      </c>
      <c r="I54" s="2"/>
      <c r="J54" s="7">
        <f t="shared" si="30"/>
        <v>5.2838659286175163E-2</v>
      </c>
      <c r="K54" s="2"/>
      <c r="L54" s="6">
        <f t="shared" si="31"/>
        <v>-777.97</v>
      </c>
      <c r="M54" s="2"/>
      <c r="N54" s="7">
        <f t="shared" si="32"/>
        <v>-1</v>
      </c>
      <c r="O54" s="11"/>
      <c r="P54" s="6">
        <v>6970.52</v>
      </c>
      <c r="Q54" s="2"/>
      <c r="R54" s="7">
        <f t="shared" si="33"/>
        <v>2.7330169099177393E-2</v>
      </c>
      <c r="S54" s="2"/>
      <c r="T54" s="6">
        <v>3289.64</v>
      </c>
      <c r="U54" s="2"/>
      <c r="V54" s="7">
        <f t="shared" si="34"/>
        <v>9.4167604962998377E-3</v>
      </c>
      <c r="W54" s="2"/>
      <c r="X54" s="6">
        <f t="shared" si="35"/>
        <v>3680.8800000000006</v>
      </c>
      <c r="Y54" s="2"/>
      <c r="Z54" s="7">
        <f t="shared" si="36"/>
        <v>1.1189309468513273</v>
      </c>
    </row>
    <row r="55" spans="1:26" s="27" customFormat="1" outlineLevel="1" collapsed="1" x14ac:dyDescent="0.25">
      <c r="A55" s="25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SUM(OSRRefD22_9x_0)</f>
        <v>0</v>
      </c>
      <c r="E55" s="1"/>
      <c r="F55" s="5">
        <f t="shared" ref="F55:F57" si="37">IF(D$12=0,0,D55/D$12)</f>
        <v>0</v>
      </c>
      <c r="G55" s="1"/>
      <c r="H55" s="1">
        <f>SUM(OSRRefH22_9x_0)</f>
        <v>505.8</v>
      </c>
      <c r="I55" s="1"/>
      <c r="J55" s="5">
        <f t="shared" ref="J55:J57" si="38">IF(H$12=0,0,H55/H$12)</f>
        <v>3.4353244812714366E-2</v>
      </c>
      <c r="K55" s="1"/>
      <c r="L55" s="1">
        <f t="shared" ref="L55:L57" si="39">+D55-H55</f>
        <v>-505.8</v>
      </c>
      <c r="M55" s="1"/>
      <c r="N55" s="5">
        <f t="shared" ref="N55:N57" si="40">IF(H55=0,0,L55/H55)</f>
        <v>-1</v>
      </c>
      <c r="O55" s="13"/>
      <c r="P55" s="1">
        <f>SUM(OSRRefP22_9x_0)</f>
        <v>1368.82</v>
      </c>
      <c r="Q55" s="1"/>
      <c r="R55" s="5">
        <f t="shared" ref="R55:R57" si="41">IF(P$12=0,0,P55/P$12)</f>
        <v>5.3668997530078094E-3</v>
      </c>
      <c r="S55" s="1"/>
      <c r="T55" s="1">
        <f>SUM(OSRRefT22_9x_0)</f>
        <v>1689.97</v>
      </c>
      <c r="U55" s="1"/>
      <c r="V55" s="5">
        <f t="shared" ref="V55:V57" si="42">IF(T$12=0,0,T55/T$12)</f>
        <v>4.8376244014335422E-3</v>
      </c>
      <c r="W55" s="1"/>
      <c r="X55" s="1">
        <f t="shared" ref="X55:X57" si="43">+P55-T55</f>
        <v>-321.15000000000009</v>
      </c>
      <c r="Y55" s="1"/>
      <c r="Z55" s="5">
        <f t="shared" ref="Z55:Z57" si="44">IF(T55=0,0,X55/T55)</f>
        <v>-0.19003295916495563</v>
      </c>
    </row>
    <row r="56" spans="1:26" s="24" customFormat="1" hidden="1" outlineLevel="2" x14ac:dyDescent="0.25">
      <c r="A56" s="26"/>
      <c r="B56" s="11" t="str">
        <f>CONCATENATE("          ", "6285", " - ", "JANITORIAL SERVICES")</f>
        <v xml:space="preserve">          6285 - JANITORIAL SERVICES</v>
      </c>
      <c r="C56" s="11"/>
      <c r="D56" s="6"/>
      <c r="E56" s="2"/>
      <c r="F56" s="7">
        <f t="shared" si="37"/>
        <v>0</v>
      </c>
      <c r="G56" s="2"/>
      <c r="H56" s="6">
        <v>348</v>
      </c>
      <c r="I56" s="2"/>
      <c r="J56" s="7">
        <f t="shared" si="38"/>
        <v>2.3635684450028865E-2</v>
      </c>
      <c r="K56" s="2"/>
      <c r="L56" s="6">
        <f t="shared" si="39"/>
        <v>-348</v>
      </c>
      <c r="M56" s="2"/>
      <c r="N56" s="7">
        <f t="shared" si="40"/>
        <v>-1</v>
      </c>
      <c r="O56" s="11"/>
      <c r="P56" s="6">
        <v>712.8</v>
      </c>
      <c r="Q56" s="2"/>
      <c r="R56" s="7">
        <f t="shared" si="41"/>
        <v>2.7947620168787472E-3</v>
      </c>
      <c r="S56" s="2"/>
      <c r="T56" s="6">
        <v>686</v>
      </c>
      <c r="U56" s="2"/>
      <c r="V56" s="7">
        <f t="shared" si="42"/>
        <v>1.9637096157821797E-3</v>
      </c>
      <c r="W56" s="2"/>
      <c r="X56" s="6">
        <f t="shared" si="43"/>
        <v>26.799999999999955</v>
      </c>
      <c r="Y56" s="2"/>
      <c r="Z56" s="7">
        <f t="shared" si="44"/>
        <v>3.9067055393585938E-2</v>
      </c>
    </row>
    <row r="57" spans="1:26" s="24" customFormat="1" hidden="1" outlineLevel="2" x14ac:dyDescent="0.25">
      <c r="A57" s="26"/>
      <c r="B57" s="11" t="str">
        <f>CONCATENATE("          ", "6286", " - ", "LAUNDRY EXPENSE")</f>
        <v xml:space="preserve">          6286 - LAUNDRY EXPENSE</v>
      </c>
      <c r="C57" s="11"/>
      <c r="D57" s="6"/>
      <c r="E57" s="2"/>
      <c r="F57" s="7">
        <f t="shared" si="37"/>
        <v>0</v>
      </c>
      <c r="G57" s="2"/>
      <c r="H57" s="6">
        <v>157.80000000000001</v>
      </c>
      <c r="I57" s="2"/>
      <c r="J57" s="7">
        <f t="shared" si="38"/>
        <v>1.0717560362685504E-2</v>
      </c>
      <c r="K57" s="2"/>
      <c r="L57" s="6">
        <f t="shared" si="39"/>
        <v>-157.80000000000001</v>
      </c>
      <c r="M57" s="2"/>
      <c r="N57" s="7">
        <f t="shared" si="40"/>
        <v>-1</v>
      </c>
      <c r="O57" s="11"/>
      <c r="P57" s="6">
        <v>656.02</v>
      </c>
      <c r="Q57" s="2"/>
      <c r="R57" s="7">
        <f t="shared" si="41"/>
        <v>2.5721377361290626E-3</v>
      </c>
      <c r="S57" s="2"/>
      <c r="T57" s="6">
        <v>1003.97</v>
      </c>
      <c r="U57" s="2"/>
      <c r="V57" s="7">
        <f t="shared" si="42"/>
        <v>2.873914785651363E-3</v>
      </c>
      <c r="W57" s="2"/>
      <c r="X57" s="6">
        <f t="shared" si="43"/>
        <v>-347.95000000000005</v>
      </c>
      <c r="Y57" s="2"/>
      <c r="Z57" s="7">
        <f t="shared" si="44"/>
        <v>-0.34657410081974566</v>
      </c>
    </row>
    <row r="58" spans="1:26" s="27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SUM(OSRRefD22_10x_0)</f>
        <v>65.05</v>
      </c>
      <c r="E58" s="1"/>
      <c r="F58" s="5">
        <f t="shared" ref="F58:F64" si="45">IF(D$12=0,0,D58/D$12)</f>
        <v>0</v>
      </c>
      <c r="G58" s="1"/>
      <c r="H58" s="1">
        <f>SUM(OSRRefH22_10x_0)</f>
        <v>197.07999999999998</v>
      </c>
      <c r="I58" s="1"/>
      <c r="J58" s="5">
        <f t="shared" ref="J58:J64" si="46">IF(H$12=0,0,H58/H$12)</f>
        <v>1.3385404285665771E-2</v>
      </c>
      <c r="K58" s="1"/>
      <c r="L58" s="1">
        <f t="shared" ref="L58:L64" si="47">+D58-H58</f>
        <v>-132.02999999999997</v>
      </c>
      <c r="M58" s="1"/>
      <c r="N58" s="5">
        <f t="shared" ref="N58:N64" si="48">IF(H58=0,0,L58/H58)</f>
        <v>-0.66993099249035915</v>
      </c>
      <c r="O58" s="13"/>
      <c r="P58" s="1">
        <f>SUM(OSRRefP22_10x_0)</f>
        <v>4661.3099999999995</v>
      </c>
      <c r="Q58" s="1"/>
      <c r="R58" s="5">
        <f t="shared" ref="R58:R64" si="49">IF(P$12=0,0,P58/P$12)</f>
        <v>1.8276167419889272E-2</v>
      </c>
      <c r="S58" s="1"/>
      <c r="T58" s="1">
        <f>SUM(OSRRefT22_10x_0)</f>
        <v>5240.5600000000004</v>
      </c>
      <c r="U58" s="1"/>
      <c r="V58" s="5">
        <f t="shared" ref="V58:V64" si="50">IF(T$12=0,0,T58/T$12)</f>
        <v>1.5001367440354898E-2</v>
      </c>
      <c r="W58" s="1"/>
      <c r="X58" s="1">
        <f t="shared" ref="X58:X64" si="51">+P58-T58</f>
        <v>-579.25000000000091</v>
      </c>
      <c r="Y58" s="1"/>
      <c r="Z58" s="5">
        <f t="shared" ref="Z58:Z64" si="52">IF(T58=0,0,X58/T58)</f>
        <v>-0.11053208054101105</v>
      </c>
    </row>
    <row r="59" spans="1:26" s="24" customFormat="1" hidden="1" outlineLevel="2" x14ac:dyDescent="0.25">
      <c r="A59" s="26"/>
      <c r="B59" s="11" t="str">
        <f>CONCATENATE("          ", "6239", " - ", "KITCHEN SUPPLIES")</f>
        <v xml:space="preserve">          6239 - KITCHEN SUPPLIES</v>
      </c>
      <c r="C59" s="11"/>
      <c r="D59" s="6"/>
      <c r="E59" s="2"/>
      <c r="F59" s="7">
        <f t="shared" si="45"/>
        <v>0</v>
      </c>
      <c r="G59" s="2"/>
      <c r="H59" s="6"/>
      <c r="I59" s="2"/>
      <c r="J59" s="7">
        <f t="shared" si="46"/>
        <v>0</v>
      </c>
      <c r="K59" s="2"/>
      <c r="L59" s="6">
        <f t="shared" si="47"/>
        <v>0</v>
      </c>
      <c r="M59" s="2"/>
      <c r="N59" s="7">
        <f t="shared" si="48"/>
        <v>0</v>
      </c>
      <c r="O59" s="11"/>
      <c r="P59" s="6">
        <v>960.31</v>
      </c>
      <c r="Q59" s="2"/>
      <c r="R59" s="7">
        <f t="shared" si="49"/>
        <v>3.7652047031829822E-3</v>
      </c>
      <c r="S59" s="2"/>
      <c r="T59" s="6">
        <v>449.92</v>
      </c>
      <c r="U59" s="2"/>
      <c r="V59" s="7">
        <f t="shared" si="50"/>
        <v>1.2879187031089188E-3</v>
      </c>
      <c r="W59" s="2"/>
      <c r="X59" s="6">
        <f t="shared" si="51"/>
        <v>510.38999999999993</v>
      </c>
      <c r="Y59" s="2"/>
      <c r="Z59" s="7">
        <f t="shared" si="52"/>
        <v>1.1344016714082501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>
        <v>65.05</v>
      </c>
      <c r="E60" s="2"/>
      <c r="F60" s="7">
        <f t="shared" si="45"/>
        <v>0</v>
      </c>
      <c r="G60" s="2"/>
      <c r="H60" s="6">
        <v>142.22</v>
      </c>
      <c r="I60" s="2"/>
      <c r="J60" s="7">
        <f t="shared" si="46"/>
        <v>9.6593880531123718E-3</v>
      </c>
      <c r="K60" s="2"/>
      <c r="L60" s="6">
        <f t="shared" si="47"/>
        <v>-77.17</v>
      </c>
      <c r="M60" s="2"/>
      <c r="N60" s="7">
        <f t="shared" si="48"/>
        <v>-0.54261004078188724</v>
      </c>
      <c r="O60" s="11"/>
      <c r="P60" s="6">
        <v>1218.29</v>
      </c>
      <c r="Q60" s="2"/>
      <c r="R60" s="7">
        <f t="shared" si="49"/>
        <v>4.776698397226724E-3</v>
      </c>
      <c r="S60" s="2"/>
      <c r="T60" s="6">
        <v>1286.0899999999999</v>
      </c>
      <c r="U60" s="2"/>
      <c r="V60" s="7">
        <f t="shared" si="50"/>
        <v>3.6814975215179345E-3</v>
      </c>
      <c r="W60" s="2"/>
      <c r="X60" s="6">
        <f t="shared" si="51"/>
        <v>-67.799999999999955</v>
      </c>
      <c r="Y60" s="2"/>
      <c r="Z60" s="7">
        <f t="shared" si="52"/>
        <v>-5.2717927983267077E-2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45"/>
        <v>0</v>
      </c>
      <c r="G61" s="2"/>
      <c r="H61" s="6">
        <v>54.86</v>
      </c>
      <c r="I61" s="2"/>
      <c r="J61" s="7">
        <f t="shared" si="46"/>
        <v>3.726016232553401E-3</v>
      </c>
      <c r="K61" s="2"/>
      <c r="L61" s="6">
        <f t="shared" si="47"/>
        <v>-54.86</v>
      </c>
      <c r="M61" s="2"/>
      <c r="N61" s="7">
        <f t="shared" si="48"/>
        <v>-1</v>
      </c>
      <c r="O61" s="11"/>
      <c r="P61" s="6">
        <v>1490.35</v>
      </c>
      <c r="Q61" s="2"/>
      <c r="R61" s="7">
        <f t="shared" si="49"/>
        <v>5.8433972669125148E-3</v>
      </c>
      <c r="S61" s="2"/>
      <c r="T61" s="6">
        <v>2257.8200000000002</v>
      </c>
      <c r="U61" s="2"/>
      <c r="V61" s="7">
        <f t="shared" si="50"/>
        <v>6.4631236803284562E-3</v>
      </c>
      <c r="W61" s="2"/>
      <c r="X61" s="6">
        <f t="shared" si="51"/>
        <v>-767.47000000000025</v>
      </c>
      <c r="Y61" s="2"/>
      <c r="Z61" s="7">
        <f t="shared" si="52"/>
        <v>-0.33991637951652487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244.39</v>
      </c>
      <c r="Q62" s="2"/>
      <c r="R62" s="7">
        <f t="shared" si="49"/>
        <v>9.5820972124719002E-4</v>
      </c>
      <c r="S62" s="2"/>
      <c r="T62" s="6">
        <v>7.06</v>
      </c>
      <c r="U62" s="2"/>
      <c r="V62" s="7">
        <f t="shared" si="50"/>
        <v>2.0209606249886571E-5</v>
      </c>
      <c r="W62" s="2"/>
      <c r="X62" s="6">
        <f t="shared" si="51"/>
        <v>237.32999999999998</v>
      </c>
      <c r="Y62" s="2"/>
      <c r="Z62" s="7">
        <f t="shared" si="52"/>
        <v>33.616147308781869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>
        <v>42.98</v>
      </c>
      <c r="Q63" s="2"/>
      <c r="R63" s="7">
        <f t="shared" si="49"/>
        <v>1.685169353050625E-4</v>
      </c>
      <c r="S63" s="2"/>
      <c r="T63" s="6">
        <v>334.08</v>
      </c>
      <c r="U63" s="2"/>
      <c r="V63" s="7">
        <f t="shared" si="50"/>
        <v>9.5632085778500078E-4</v>
      </c>
      <c r="W63" s="2"/>
      <c r="X63" s="6">
        <f t="shared" si="51"/>
        <v>-291.09999999999997</v>
      </c>
      <c r="Y63" s="2"/>
      <c r="Z63" s="7">
        <f t="shared" si="52"/>
        <v>-0.87134818007662829</v>
      </c>
    </row>
    <row r="64" spans="1:26" s="24" customFormat="1" hidden="1" outlineLevel="2" x14ac:dyDescent="0.25">
      <c r="A64" s="26"/>
      <c r="B64" s="11" t="str">
        <f>CONCATENATE("          ", "6248", " - ", "UNIFORMS")</f>
        <v xml:space="preserve">          6248 - UNIFORMS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>
        <v>704.99</v>
      </c>
      <c r="Q64" s="2"/>
      <c r="R64" s="7">
        <f t="shared" si="49"/>
        <v>2.7641403960147982E-3</v>
      </c>
      <c r="S64" s="2"/>
      <c r="T64" s="6">
        <v>905.59</v>
      </c>
      <c r="U64" s="2"/>
      <c r="V64" s="7">
        <f t="shared" si="50"/>
        <v>2.5922970713646997E-3</v>
      </c>
      <c r="W64" s="2"/>
      <c r="X64" s="6">
        <f t="shared" si="51"/>
        <v>-200.60000000000002</v>
      </c>
      <c r="Y64" s="2"/>
      <c r="Z64" s="7">
        <f t="shared" si="52"/>
        <v>-0.22151304674300734</v>
      </c>
    </row>
    <row r="65" spans="1:26" s="27" customFormat="1" outlineLevel="1" collapsed="1" x14ac:dyDescent="0.25">
      <c r="A65" s="25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71</v>
      </c>
      <c r="E65" s="1"/>
      <c r="F65" s="5">
        <f t="shared" ref="F65:F70" si="53">IF(D$12=0,0,D65/D$12)</f>
        <v>0</v>
      </c>
      <c r="G65" s="1"/>
      <c r="H65" s="1">
        <f>SUM(OSRRefH22_11x_0)</f>
        <v>71</v>
      </c>
      <c r="I65" s="1"/>
      <c r="J65" s="5">
        <f t="shared" ref="J65:J70" si="54">IF(H$12=0,0,H65/H$12)</f>
        <v>4.8222229768737053E-3</v>
      </c>
      <c r="K65" s="1"/>
      <c r="L65" s="1">
        <f t="shared" ref="L65:L70" si="55">+D65-H65</f>
        <v>0</v>
      </c>
      <c r="M65" s="1"/>
      <c r="N65" s="5">
        <f t="shared" ref="N65:N70" si="56">IF(H65=0,0,L65/H65)</f>
        <v>0</v>
      </c>
      <c r="O65" s="13"/>
      <c r="P65" s="1">
        <f>SUM(OSRRefP22_11x_0)</f>
        <v>836.96</v>
      </c>
      <c r="Q65" s="1"/>
      <c r="R65" s="5">
        <f t="shared" ref="R65:R70" si="57">IF(P$12=0,0,P65/P$12)</f>
        <v>3.2815712929950007E-3</v>
      </c>
      <c r="S65" s="1"/>
      <c r="T65" s="1">
        <f>SUM(OSRRefT22_11x_0)</f>
        <v>781</v>
      </c>
      <c r="U65" s="1"/>
      <c r="V65" s="5">
        <f t="shared" ref="V65:V70" si="58">IF(T$12=0,0,T65/T$12)</f>
        <v>2.235651909512948E-3</v>
      </c>
      <c r="W65" s="1"/>
      <c r="X65" s="1">
        <f t="shared" ref="X65:X70" si="59">+P65-T65</f>
        <v>55.960000000000036</v>
      </c>
      <c r="Y65" s="1"/>
      <c r="Z65" s="5">
        <f t="shared" ref="Z65:Z70" si="60">IF(T65=0,0,X65/T65)</f>
        <v>7.1651728553137048E-2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71</v>
      </c>
      <c r="E66" s="2"/>
      <c r="F66" s="7">
        <f t="shared" si="53"/>
        <v>0</v>
      </c>
      <c r="G66" s="2"/>
      <c r="H66" s="6">
        <v>71</v>
      </c>
      <c r="I66" s="2"/>
      <c r="J66" s="7">
        <f t="shared" si="54"/>
        <v>4.8222229768737053E-3</v>
      </c>
      <c r="K66" s="2"/>
      <c r="L66" s="6">
        <f t="shared" si="55"/>
        <v>0</v>
      </c>
      <c r="M66" s="2"/>
      <c r="N66" s="7">
        <f t="shared" si="56"/>
        <v>0</v>
      </c>
      <c r="O66" s="11"/>
      <c r="P66" s="6">
        <v>836.96</v>
      </c>
      <c r="Q66" s="2"/>
      <c r="R66" s="7">
        <f t="shared" si="57"/>
        <v>3.2815712929950007E-3</v>
      </c>
      <c r="S66" s="2"/>
      <c r="T66" s="6">
        <v>781</v>
      </c>
      <c r="U66" s="2"/>
      <c r="V66" s="7">
        <f t="shared" si="58"/>
        <v>2.235651909512948E-3</v>
      </c>
      <c r="W66" s="2"/>
      <c r="X66" s="6">
        <f t="shared" si="59"/>
        <v>55.960000000000036</v>
      </c>
      <c r="Y66" s="2"/>
      <c r="Z66" s="7">
        <f t="shared" si="60"/>
        <v>7.1651728553137048E-2</v>
      </c>
    </row>
    <row r="67" spans="1:26" s="27" customFormat="1" outlineLevel="1" collapsed="1" x14ac:dyDescent="0.25">
      <c r="A67" s="25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SUM(OSRRefD22_12x_0)</f>
        <v>0</v>
      </c>
      <c r="E67" s="1"/>
      <c r="F67" s="5">
        <f t="shared" si="53"/>
        <v>0</v>
      </c>
      <c r="G67" s="1"/>
      <c r="H67" s="1">
        <f>SUM(OSRRefH22_12x_0)</f>
        <v>0</v>
      </c>
      <c r="I67" s="1"/>
      <c r="J67" s="5">
        <f t="shared" si="54"/>
        <v>0</v>
      </c>
      <c r="K67" s="1"/>
      <c r="L67" s="1">
        <f t="shared" si="55"/>
        <v>0</v>
      </c>
      <c r="M67" s="1"/>
      <c r="N67" s="5">
        <f t="shared" si="56"/>
        <v>0</v>
      </c>
      <c r="O67" s="13"/>
      <c r="P67" s="1">
        <f>SUM(OSRRefP22_12x_0)</f>
        <v>52.5</v>
      </c>
      <c r="Q67" s="1"/>
      <c r="R67" s="5">
        <f t="shared" si="57"/>
        <v>2.058431620175845E-4</v>
      </c>
      <c r="S67" s="1"/>
      <c r="T67" s="1">
        <f>SUM(OSRRefT22_12x_0)</f>
        <v>0</v>
      </c>
      <c r="U67" s="1"/>
      <c r="V67" s="5">
        <f t="shared" si="58"/>
        <v>0</v>
      </c>
      <c r="W67" s="1"/>
      <c r="X67" s="1">
        <f t="shared" si="59"/>
        <v>52.5</v>
      </c>
      <c r="Y67" s="1"/>
      <c r="Z67" s="5">
        <f t="shared" si="60"/>
        <v>0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53"/>
        <v>0</v>
      </c>
      <c r="G68" s="2"/>
      <c r="H68" s="6"/>
      <c r="I68" s="2"/>
      <c r="J68" s="7">
        <f t="shared" si="54"/>
        <v>0</v>
      </c>
      <c r="K68" s="2"/>
      <c r="L68" s="6">
        <f t="shared" si="55"/>
        <v>0</v>
      </c>
      <c r="M68" s="2"/>
      <c r="N68" s="7">
        <f t="shared" si="56"/>
        <v>0</v>
      </c>
      <c r="O68" s="11"/>
      <c r="P68" s="6">
        <v>52.5</v>
      </c>
      <c r="Q68" s="2"/>
      <c r="R68" s="7">
        <f t="shared" si="57"/>
        <v>2.058431620175845E-4</v>
      </c>
      <c r="S68" s="2"/>
      <c r="T68" s="6"/>
      <c r="U68" s="2"/>
      <c r="V68" s="7">
        <f t="shared" si="58"/>
        <v>0</v>
      </c>
      <c r="W68" s="2"/>
      <c r="X68" s="6">
        <f t="shared" si="59"/>
        <v>52.5</v>
      </c>
      <c r="Y68" s="2"/>
      <c r="Z68" s="7">
        <f t="shared" si="60"/>
        <v>0</v>
      </c>
    </row>
    <row r="69" spans="1:26" s="27" customFormat="1" outlineLevel="1" collapsed="1" x14ac:dyDescent="0.25">
      <c r="A69" s="25"/>
      <c r="B69" s="13" t="str">
        <f>CONCATENATE("     ","Travel                                            ")</f>
        <v xml:space="preserve">     Travel                                            </v>
      </c>
      <c r="C69" s="13"/>
      <c r="D69" s="1">
        <f>SUM(OSRRefD22_13x_0)</f>
        <v>0</v>
      </c>
      <c r="E69" s="1"/>
      <c r="F69" s="5">
        <f t="shared" si="53"/>
        <v>0</v>
      </c>
      <c r="G69" s="1"/>
      <c r="H69" s="1">
        <f>SUM(OSRRefH22_13x_0)</f>
        <v>0</v>
      </c>
      <c r="I69" s="1"/>
      <c r="J69" s="5">
        <f t="shared" si="54"/>
        <v>0</v>
      </c>
      <c r="K69" s="1"/>
      <c r="L69" s="1">
        <f t="shared" si="55"/>
        <v>0</v>
      </c>
      <c r="M69" s="1"/>
      <c r="N69" s="5">
        <f t="shared" si="56"/>
        <v>0</v>
      </c>
      <c r="O69" s="13"/>
      <c r="P69" s="1">
        <f>SUM(OSRRefP22_13x_0)</f>
        <v>0</v>
      </c>
      <c r="Q69" s="1"/>
      <c r="R69" s="5">
        <f t="shared" si="57"/>
        <v>0</v>
      </c>
      <c r="S69" s="1"/>
      <c r="T69" s="1">
        <f>SUM(OSRRefT22_13x_0)</f>
        <v>6.78</v>
      </c>
      <c r="U69" s="1"/>
      <c r="V69" s="5">
        <f t="shared" si="58"/>
        <v>1.9408092120995885E-5</v>
      </c>
      <c r="W69" s="1"/>
      <c r="X69" s="1">
        <f t="shared" si="59"/>
        <v>-6.78</v>
      </c>
      <c r="Y69" s="1"/>
      <c r="Z69" s="5">
        <f t="shared" si="60"/>
        <v>-1</v>
      </c>
    </row>
    <row r="70" spans="1:26" s="24" customFormat="1" hidden="1" outlineLevel="2" x14ac:dyDescent="0.25">
      <c r="A70" s="26"/>
      <c r="B70" s="11" t="str">
        <f>CONCATENATE("          ", "6292", " - ", "TRAVEL/CONFERENCE")</f>
        <v xml:space="preserve">          6292 - TRAVEL/CONFERENCE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/>
      <c r="Q70" s="2"/>
      <c r="R70" s="7">
        <f t="shared" si="57"/>
        <v>0</v>
      </c>
      <c r="S70" s="2"/>
      <c r="T70" s="6">
        <v>6.78</v>
      </c>
      <c r="U70" s="2"/>
      <c r="V70" s="7">
        <f t="shared" si="58"/>
        <v>1.9408092120995885E-5</v>
      </c>
      <c r="W70" s="2"/>
      <c r="X70" s="6">
        <f t="shared" si="59"/>
        <v>-6.78</v>
      </c>
      <c r="Y70" s="2"/>
      <c r="Z70" s="7">
        <f t="shared" si="60"/>
        <v>-1</v>
      </c>
    </row>
    <row r="71" spans="1:26" s="58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8" t="s">
        <v>0</v>
      </c>
      <c r="C72" s="10"/>
      <c r="D72" s="4">
        <f>SUM(OSRRefD25x_0)</f>
        <v>0</v>
      </c>
      <c r="E72" s="4"/>
      <c r="F72" s="12">
        <f t="shared" ref="F72:F73" si="61">IF(D$12=0,0,D72/D$12)</f>
        <v>0</v>
      </c>
      <c r="G72" s="4"/>
      <c r="H72" s="4">
        <f>SUM(OSRRefH25x_0)</f>
        <v>19</v>
      </c>
      <c r="I72" s="4"/>
      <c r="J72" s="12">
        <f t="shared" ref="J72:J73" si="62">IF(H$12=0,0,H72/H$12)</f>
        <v>1.2904540360647943E-3</v>
      </c>
      <c r="K72" s="4"/>
      <c r="L72" s="4">
        <f t="shared" ref="L72:L73" si="63">+D72-H72</f>
        <v>-19</v>
      </c>
      <c r="M72" s="4"/>
      <c r="N72" s="12">
        <f t="shared" ref="N72:N73" si="64">IF(H72=0,0,L72/H72)</f>
        <v>-1</v>
      </c>
      <c r="O72" s="10"/>
      <c r="P72" s="4">
        <f>SUM(OSRRefP25x_0)</f>
        <v>507</v>
      </c>
      <c r="Q72" s="4"/>
      <c r="R72" s="12">
        <f t="shared" ref="R72:R73" si="65">IF(P$12=0,0,P72/P$12)</f>
        <v>1.9878568217698159E-3</v>
      </c>
      <c r="S72" s="4"/>
      <c r="T72" s="4">
        <f>SUM(OSRRefT25x_0)</f>
        <v>6413</v>
      </c>
      <c r="U72" s="4"/>
      <c r="V72" s="12">
        <f t="shared" ref="V72:V73" si="66">IF(T$12=0,0,T72/T$12)</f>
        <v>1.8357536102057023E-2</v>
      </c>
      <c r="W72" s="4"/>
      <c r="X72" s="4">
        <f t="shared" ref="X72:X73" si="67">+P72-T72</f>
        <v>-5906</v>
      </c>
      <c r="Y72" s="4"/>
      <c r="Z72" s="12">
        <f t="shared" ref="Z72:Z73" si="68">IF(T72=0,0,X72/T72)</f>
        <v>-0.92094183689380948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1"/>
        <v>0</v>
      </c>
      <c r="G73" s="2"/>
      <c r="H73" s="2">
        <f>--19</f>
        <v>19</v>
      </c>
      <c r="I73" s="2"/>
      <c r="J73" s="19">
        <f t="shared" si="62"/>
        <v>1.2904540360647943E-3</v>
      </c>
      <c r="K73" s="2"/>
      <c r="L73" s="2">
        <f t="shared" si="63"/>
        <v>-19</v>
      </c>
      <c r="M73" s="2"/>
      <c r="N73" s="19">
        <f t="shared" si="64"/>
        <v>-1</v>
      </c>
      <c r="O73" s="11"/>
      <c r="P73" s="2">
        <f>--507</f>
        <v>507</v>
      </c>
      <c r="Q73" s="2"/>
      <c r="R73" s="19">
        <f t="shared" si="65"/>
        <v>1.9878568217698159E-3</v>
      </c>
      <c r="S73" s="2"/>
      <c r="T73" s="2">
        <f>--6413</f>
        <v>6413</v>
      </c>
      <c r="U73" s="2"/>
      <c r="V73" s="19">
        <f t="shared" si="66"/>
        <v>1.8357536102057023E-2</v>
      </c>
      <c r="W73" s="2"/>
      <c r="X73" s="2">
        <f t="shared" si="67"/>
        <v>-5906</v>
      </c>
      <c r="Y73" s="2"/>
      <c r="Z73" s="19">
        <f t="shared" si="68"/>
        <v>-0.92094183689380948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+D20-D22+D72</f>
        <v>-7367.27</v>
      </c>
      <c r="E75" s="14"/>
      <c r="F75" s="20">
        <f>IF(D$12=0,0,D75/D$12)</f>
        <v>0</v>
      </c>
      <c r="G75" s="14"/>
      <c r="H75" s="21">
        <f>+H20-H22+H72</f>
        <v>-10665.110000000004</v>
      </c>
      <c r="I75" s="14"/>
      <c r="J75" s="20">
        <f>IF(H$12=0,0,H75/H$12)</f>
        <v>-0.72435969708289494</v>
      </c>
      <c r="K75" s="16"/>
      <c r="L75" s="21">
        <f>+D75-H75</f>
        <v>3297.8400000000038</v>
      </c>
      <c r="M75" s="16"/>
      <c r="N75" s="20">
        <f>IF(H75=0,0,L75/H75)</f>
        <v>-0.30921762644735989</v>
      </c>
      <c r="O75" s="28"/>
      <c r="P75" s="21">
        <f>+P20-P22+P72</f>
        <v>-32937.719999999943</v>
      </c>
      <c r="Q75" s="14"/>
      <c r="R75" s="20">
        <f>IF(P$12=0,0,P75/P$12)</f>
        <v>-0.12914294160856804</v>
      </c>
      <c r="S75" s="14"/>
      <c r="T75" s="21">
        <f>+T20-T22+T72</f>
        <v>44433.739999999903</v>
      </c>
      <c r="U75" s="14"/>
      <c r="V75" s="20">
        <f>IF(T$12=0,0,T75/T$12)</f>
        <v>0.12719382289091119</v>
      </c>
      <c r="W75" s="16"/>
      <c r="X75" s="21">
        <f>+P75-T75</f>
        <v>-77371.459999999846</v>
      </c>
      <c r="Y75" s="16"/>
      <c r="Z75" s="20">
        <f>IF(T75=0,0,X75/T75)</f>
        <v>-1.7412772366224409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1242.79</v>
      </c>
      <c r="E77" s="4"/>
      <c r="F77" s="12">
        <f>IF(D$12=0,0,D77/D$12)</f>
        <v>0</v>
      </c>
      <c r="G77" s="4"/>
      <c r="H77" s="4">
        <v>1550.21</v>
      </c>
      <c r="I77" s="4"/>
      <c r="J77" s="12">
        <f>IF(H$12=0,0,H77/H$12)</f>
        <v>0.10528814480252657</v>
      </c>
      <c r="K77" s="4"/>
      <c r="L77" s="4">
        <f>+D77-H77</f>
        <v>-307.42000000000007</v>
      </c>
      <c r="M77" s="4"/>
      <c r="N77" s="12">
        <f>IF(H77=0,0,L77/H77)</f>
        <v>-0.1983086162519917</v>
      </c>
      <c r="O77" s="10"/>
      <c r="P77" s="4">
        <v>30201.73</v>
      </c>
      <c r="Q77" s="4"/>
      <c r="R77" s="12">
        <f>IF(P$12=0,0,P77/P$12)</f>
        <v>0.11841561145907319</v>
      </c>
      <c r="S77" s="4"/>
      <c r="T77" s="4">
        <v>36336.33</v>
      </c>
      <c r="U77" s="4"/>
      <c r="V77" s="12">
        <f>IF(T$12=0,0,T77/T$12)</f>
        <v>0.10401457816798031</v>
      </c>
      <c r="W77" s="4"/>
      <c r="X77" s="4">
        <f>+P77-T77</f>
        <v>-6134.6000000000022</v>
      </c>
      <c r="Y77" s="4"/>
      <c r="Z77" s="12">
        <f>IF(T77=0,0,X77/T77)</f>
        <v>-0.16882827737418726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5">
        <f>+D75-D77</f>
        <v>-8610.0600000000013</v>
      </c>
      <c r="E79" s="14"/>
      <c r="F79" s="32">
        <f>IF(D$12=0,0,D79/D$12)</f>
        <v>0</v>
      </c>
      <c r="G79" s="14"/>
      <c r="H79" s="35">
        <f>+H75-H77</f>
        <v>-12215.320000000003</v>
      </c>
      <c r="I79" s="14"/>
      <c r="J79" s="32">
        <f>IF(H$12=0,0,H79/H$12)</f>
        <v>-0.82964784188542151</v>
      </c>
      <c r="K79" s="16"/>
      <c r="L79" s="35">
        <f>D79-H79</f>
        <v>3605.260000000002</v>
      </c>
      <c r="M79" s="16"/>
      <c r="N79" s="32">
        <f>IF(H79=0,0,L79/H79)</f>
        <v>-0.29514249319706737</v>
      </c>
      <c r="O79" s="28"/>
      <c r="P79" s="35">
        <f>+P75-P77</f>
        <v>-63139.449999999939</v>
      </c>
      <c r="Q79" s="14"/>
      <c r="R79" s="32">
        <f>IF(P$12=0,0,P79/P$12)</f>
        <v>-0.24755855306764121</v>
      </c>
      <c r="S79" s="14"/>
      <c r="T79" s="35">
        <f>+T75-T77</f>
        <v>8097.4099999999016</v>
      </c>
      <c r="U79" s="14"/>
      <c r="V79" s="32">
        <f>IF(T$12=0,0,T79/T$12)</f>
        <v>2.3179244722930883E-2</v>
      </c>
      <c r="W79" s="16"/>
      <c r="X79" s="35">
        <f>P79-T79</f>
        <v>-71236.859999999841</v>
      </c>
      <c r="Y79" s="16"/>
      <c r="Z79" s="32">
        <f>IF(T79=0,0,X79/T79)</f>
        <v>-8.7974870977263979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6">
        <f>SUM(D79:D81)</f>
        <v>-8610.0600000000013</v>
      </c>
      <c r="E82" s="14"/>
      <c r="F82" s="33">
        <f>IF(D$12=0,0,D82/D$12)</f>
        <v>0</v>
      </c>
      <c r="G82" s="14"/>
      <c r="H82" s="36">
        <f>SUM(H79:H81)</f>
        <v>-12215.320000000003</v>
      </c>
      <c r="I82" s="14"/>
      <c r="J82" s="33">
        <f>IF(H$12=0,0,H82/H$12)</f>
        <v>-0.82964784188542151</v>
      </c>
      <c r="K82" s="16"/>
      <c r="L82" s="36">
        <f>+D82-H82</f>
        <v>3605.260000000002</v>
      </c>
      <c r="M82" s="16"/>
      <c r="N82" s="33">
        <f>IF(H82=0,0,L82/H82)</f>
        <v>-0.29514249319706737</v>
      </c>
      <c r="O82" s="28"/>
      <c r="P82" s="36">
        <f>SUM(P79:P81)</f>
        <v>-63139.449999999939</v>
      </c>
      <c r="Q82" s="14"/>
      <c r="R82" s="33">
        <f>IF(P$12=0,0,P82/P$12)</f>
        <v>-0.24755855306764121</v>
      </c>
      <c r="S82" s="14"/>
      <c r="T82" s="36">
        <f>SUM(T79:T81)</f>
        <v>8097.4099999999016</v>
      </c>
      <c r="U82" s="14"/>
      <c r="V82" s="33">
        <f>IF(T$12=0,0,T82/T$12)</f>
        <v>2.3179244722930883E-2</v>
      </c>
      <c r="W82" s="16"/>
      <c r="X82" s="36">
        <f>+P82-T82</f>
        <v>-71236.859999999841</v>
      </c>
      <c r="Y82" s="16"/>
      <c r="Z82" s="33">
        <f>IF(T82=0,0,X82/T82)</f>
        <v>-8.7974870977263979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55">
        <v>43992.375921296298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2" t="s">
        <v>313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3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33535.81</v>
      </c>
      <c r="I12" s="4"/>
      <c r="J12" s="12"/>
      <c r="K12" s="4"/>
      <c r="L12" s="4">
        <f t="shared" ref="L12:L14" si="0">+D12-H12</f>
        <v>-33535.81</v>
      </c>
      <c r="M12" s="4"/>
      <c r="N12" s="12">
        <f t="shared" ref="N12:N14" si="1">IF(H12=0,0,L12/H12)</f>
        <v>-1</v>
      </c>
      <c r="O12" s="10"/>
      <c r="P12" s="4">
        <f>SUM(OSRRefP13x_0)</f>
        <v>591931.24</v>
      </c>
      <c r="Q12" s="4"/>
      <c r="R12" s="12"/>
      <c r="S12" s="4"/>
      <c r="T12" s="4">
        <f>SUM(OSRRefT13x_0)</f>
        <v>797846.54</v>
      </c>
      <c r="U12" s="4"/>
      <c r="V12" s="12"/>
      <c r="W12" s="4"/>
      <c r="X12" s="4">
        <f t="shared" ref="X12:X14" si="2">+P12-T12</f>
        <v>-205915.30000000005</v>
      </c>
      <c r="Y12" s="4"/>
      <c r="Z12" s="12">
        <f t="shared" ref="Z12:Z14" si="3">IF(T12=0,0,X12/T12)</f>
        <v>-0.25808885503219708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--5581.94</f>
        <v>5581.94</v>
      </c>
      <c r="I13" s="2"/>
      <c r="J13" s="19"/>
      <c r="K13" s="2"/>
      <c r="L13" s="2">
        <f t="shared" si="0"/>
        <v>-5581.94</v>
      </c>
      <c r="M13" s="2"/>
      <c r="N13" s="19">
        <f t="shared" si="1"/>
        <v>-1</v>
      </c>
      <c r="O13" s="11"/>
      <c r="P13" s="2">
        <f>--117077.57</f>
        <v>117077.57</v>
      </c>
      <c r="Q13" s="2"/>
      <c r="R13" s="19"/>
      <c r="S13" s="2"/>
      <c r="T13" s="2">
        <f>--200045.36</f>
        <v>200045.36</v>
      </c>
      <c r="U13" s="2"/>
      <c r="V13" s="19"/>
      <c r="W13" s="2"/>
      <c r="X13" s="2">
        <f t="shared" si="2"/>
        <v>-82967.789999999979</v>
      </c>
      <c r="Y13" s="2"/>
      <c r="Z13" s="19">
        <f t="shared" si="3"/>
        <v>-0.41474488585988689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--27953.87</f>
        <v>27953.87</v>
      </c>
      <c r="I14" s="2"/>
      <c r="J14" s="19"/>
      <c r="K14" s="2"/>
      <c r="L14" s="2">
        <f t="shared" si="0"/>
        <v>-27953.87</v>
      </c>
      <c r="M14" s="2"/>
      <c r="N14" s="19">
        <f t="shared" si="1"/>
        <v>-1</v>
      </c>
      <c r="O14" s="11"/>
      <c r="P14" s="2">
        <f>--474853.67</f>
        <v>474853.67</v>
      </c>
      <c r="Q14" s="2"/>
      <c r="R14" s="19"/>
      <c r="S14" s="2"/>
      <c r="T14" s="2">
        <f>--597801.18</f>
        <v>597801.18000000005</v>
      </c>
      <c r="U14" s="2"/>
      <c r="V14" s="19"/>
      <c r="W14" s="2"/>
      <c r="X14" s="2">
        <f t="shared" si="2"/>
        <v>-122947.51000000007</v>
      </c>
      <c r="Y14" s="2"/>
      <c r="Z14" s="19">
        <f t="shared" si="3"/>
        <v>-0.20566622166921794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10488.59</v>
      </c>
      <c r="E16" s="4"/>
      <c r="F16" s="12">
        <f t="shared" ref="F16:F18" si="5">IF(D$12=0,0,D16/D$12)</f>
        <v>0</v>
      </c>
      <c r="G16" s="4"/>
      <c r="H16" s="4">
        <f>SUM(OSRRefH16x_0)</f>
        <v>28207.440000000002</v>
      </c>
      <c r="I16" s="4"/>
      <c r="J16" s="12">
        <f t="shared" ref="J16:J18" si="6">IF(H$12=0,0,H16/H$12)</f>
        <v>0.84111402110162259</v>
      </c>
      <c r="K16" s="4"/>
      <c r="L16" s="4">
        <f t="shared" ref="L16:L18" si="7">+D16-H16</f>
        <v>-17718.850000000002</v>
      </c>
      <c r="M16" s="4"/>
      <c r="N16" s="12">
        <f t="shared" ref="N16:N18" si="8">IF(H16=0,0,L16/H16)</f>
        <v>-0.62816228626206427</v>
      </c>
      <c r="O16" s="10"/>
      <c r="P16" s="4">
        <f>SUM(OSRRefP16x_0)</f>
        <v>211885.36</v>
      </c>
      <c r="Q16" s="4"/>
      <c r="R16" s="12">
        <f t="shared" ref="R16:R18" si="9">IF(P$12=0,0,P16/P$12)</f>
        <v>0.35795603556926642</v>
      </c>
      <c r="S16" s="4"/>
      <c r="T16" s="4">
        <f>SUM(OSRRefT16x_0)</f>
        <v>290501.47000000003</v>
      </c>
      <c r="U16" s="4"/>
      <c r="V16" s="12">
        <f t="shared" ref="V16:V18" si="10">IF(T$12=0,0,T16/T$12)</f>
        <v>0.36410694968984891</v>
      </c>
      <c r="W16" s="4"/>
      <c r="X16" s="4">
        <f t="shared" ref="X16:X18" si="11">+P16-T16</f>
        <v>-78616.110000000044</v>
      </c>
      <c r="Y16" s="4"/>
      <c r="Z16" s="12">
        <f t="shared" ref="Z16:Z18" si="12">IF(T16=0,0,X16/T16)</f>
        <v>-0.2706220729278927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4713.59</v>
      </c>
      <c r="E17" s="2"/>
      <c r="F17" s="19">
        <f t="shared" si="5"/>
        <v>0</v>
      </c>
      <c r="G17" s="2"/>
      <c r="H17" s="2">
        <v>14719.44</v>
      </c>
      <c r="I17" s="2"/>
      <c r="J17" s="19">
        <f t="shared" si="6"/>
        <v>0.4389170859448453</v>
      </c>
      <c r="K17" s="2"/>
      <c r="L17" s="2">
        <f t="shared" si="7"/>
        <v>-10005.85</v>
      </c>
      <c r="M17" s="2"/>
      <c r="N17" s="19">
        <f t="shared" si="8"/>
        <v>-0.67977110542248886</v>
      </c>
      <c r="O17" s="11"/>
      <c r="P17" s="2">
        <v>202040.36</v>
      </c>
      <c r="Q17" s="2"/>
      <c r="R17" s="19">
        <f t="shared" si="9"/>
        <v>0.34132403621744983</v>
      </c>
      <c r="S17" s="2"/>
      <c r="T17" s="2">
        <v>283125.47000000003</v>
      </c>
      <c r="U17" s="2"/>
      <c r="V17" s="19">
        <f t="shared" si="10"/>
        <v>0.35486206407563042</v>
      </c>
      <c r="W17" s="2"/>
      <c r="X17" s="2">
        <f t="shared" si="11"/>
        <v>-81085.110000000044</v>
      </c>
      <c r="Y17" s="2"/>
      <c r="Z17" s="19">
        <f t="shared" si="12"/>
        <v>-0.28639284907853763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5775</v>
      </c>
      <c r="E18" s="2"/>
      <c r="F18" s="19">
        <f t="shared" si="5"/>
        <v>0</v>
      </c>
      <c r="G18" s="2"/>
      <c r="H18" s="2">
        <v>13488</v>
      </c>
      <c r="I18" s="2"/>
      <c r="J18" s="19">
        <f t="shared" si="6"/>
        <v>0.40219693515677724</v>
      </c>
      <c r="K18" s="2"/>
      <c r="L18" s="2">
        <f t="shared" si="7"/>
        <v>-7713</v>
      </c>
      <c r="M18" s="2"/>
      <c r="N18" s="19">
        <f t="shared" si="8"/>
        <v>-0.57184163701067614</v>
      </c>
      <c r="O18" s="11"/>
      <c r="P18" s="2">
        <v>9845</v>
      </c>
      <c r="Q18" s="2"/>
      <c r="R18" s="19">
        <f t="shared" si="9"/>
        <v>1.6631999351816605E-2</v>
      </c>
      <c r="S18" s="2"/>
      <c r="T18" s="2">
        <v>7376</v>
      </c>
      <c r="U18" s="2"/>
      <c r="V18" s="19">
        <f t="shared" si="10"/>
        <v>9.2448856142184933E-3</v>
      </c>
      <c r="W18" s="2"/>
      <c r="X18" s="2">
        <f t="shared" si="11"/>
        <v>2469</v>
      </c>
      <c r="Y18" s="2"/>
      <c r="Z18" s="19">
        <f t="shared" si="12"/>
        <v>0.33473427331887201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-10488.59</v>
      </c>
      <c r="E20" s="14"/>
      <c r="F20" s="20">
        <f>IF(D$12=0,0,D20/D$12)</f>
        <v>0</v>
      </c>
      <c r="G20" s="14"/>
      <c r="H20" s="21">
        <f>H12-H16</f>
        <v>5328.3699999999953</v>
      </c>
      <c r="I20" s="14"/>
      <c r="J20" s="20">
        <f>IF(H$12=0,0,H20/H$12)</f>
        <v>0.15888597889837747</v>
      </c>
      <c r="K20" s="16"/>
      <c r="L20" s="21">
        <f>+D20-H20</f>
        <v>-15816.959999999995</v>
      </c>
      <c r="M20" s="16"/>
      <c r="N20" s="20">
        <f>IF(H20=0,0,L20/H20)</f>
        <v>-2.9684425068078997</v>
      </c>
      <c r="O20" s="28"/>
      <c r="P20" s="21">
        <f>P12-P16</f>
        <v>380045.88</v>
      </c>
      <c r="Q20" s="14"/>
      <c r="R20" s="20">
        <f>IF(P$12=0,0,P20/P$12)</f>
        <v>0.64204396443073353</v>
      </c>
      <c r="S20" s="14"/>
      <c r="T20" s="21">
        <f>T12-T16</f>
        <v>507345.07</v>
      </c>
      <c r="U20" s="14"/>
      <c r="V20" s="20">
        <f>IF(T$12=0,0,T20/T$12)</f>
        <v>0.63589305031015109</v>
      </c>
      <c r="W20" s="16"/>
      <c r="X20" s="21">
        <f>+P20-T20</f>
        <v>-127299.19</v>
      </c>
      <c r="Y20" s="16"/>
      <c r="Z20" s="20">
        <f>IF(T20=0,0,X20/T20)</f>
        <v>-0.25091244111231831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3660.5299999999997</v>
      </c>
      <c r="E22" s="22"/>
      <c r="F22" s="31">
        <f t="shared" ref="F22:F31" si="13">IF(D$12=0,0,D22/D$12)</f>
        <v>0</v>
      </c>
      <c r="G22" s="22"/>
      <c r="H22" s="22">
        <f>SUM(OSRRefH22x_0)</f>
        <v>31078.43</v>
      </c>
      <c r="I22" s="22"/>
      <c r="J22" s="31">
        <f t="shared" ref="J22:J31" si="14">IF(H$12=0,0,H22/H$12)</f>
        <v>0.92672370221563172</v>
      </c>
      <c r="K22" s="4"/>
      <c r="L22" s="22">
        <f t="shared" ref="L22:L31" si="15">+D22-H22</f>
        <v>-27417.9</v>
      </c>
      <c r="M22" s="4"/>
      <c r="N22" s="31">
        <f t="shared" ref="N22:N31" si="16">IF(H22=0,0,L22/H22)</f>
        <v>-0.88221637965624389</v>
      </c>
      <c r="O22" s="10"/>
      <c r="P22" s="22">
        <f>SUM(OSRRefP22x_0)</f>
        <v>330001.64</v>
      </c>
      <c r="Q22" s="22"/>
      <c r="R22" s="31">
        <f t="shared" ref="R22:R31" si="17">IF(P$12=0,0,P22/P$12)</f>
        <v>0.55749995556916376</v>
      </c>
      <c r="S22" s="22"/>
      <c r="T22" s="22">
        <f>SUM(OSRRefT22x_0)</f>
        <v>408685.69</v>
      </c>
      <c r="U22" s="22"/>
      <c r="V22" s="31">
        <f t="shared" ref="V22:V31" si="18">IF(T$12=0,0,T22/T$12)</f>
        <v>0.51223596206859523</v>
      </c>
      <c r="W22" s="4"/>
      <c r="X22" s="22">
        <f t="shared" ref="X22:X31" si="19">+P22-T22</f>
        <v>-78684.049999999988</v>
      </c>
      <c r="Y22" s="4"/>
      <c r="Z22" s="31">
        <f t="shared" ref="Z22:Z31" si="20">IF(T22=0,0,X22/T22)</f>
        <v>-0.19252949620036852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787.37999999999988</v>
      </c>
      <c r="E23" s="1"/>
      <c r="F23" s="5">
        <f t="shared" si="13"/>
        <v>0</v>
      </c>
      <c r="G23" s="1"/>
      <c r="H23" s="1">
        <f>SUM(OSRRefH22_0x_0)</f>
        <v>5519.0099999999993</v>
      </c>
      <c r="I23" s="1"/>
      <c r="J23" s="5">
        <f t="shared" si="14"/>
        <v>0.16457064850975717</v>
      </c>
      <c r="K23" s="1"/>
      <c r="L23" s="1">
        <f t="shared" si="15"/>
        <v>-4731.6299999999992</v>
      </c>
      <c r="M23" s="1"/>
      <c r="N23" s="5">
        <f t="shared" si="16"/>
        <v>-0.85733310865535661</v>
      </c>
      <c r="O23" s="13"/>
      <c r="P23" s="1">
        <f>SUM(OSRRefP22_0x_0)</f>
        <v>27555.120000000003</v>
      </c>
      <c r="Q23" s="1"/>
      <c r="R23" s="5">
        <f t="shared" si="17"/>
        <v>4.6551217671836349E-2</v>
      </c>
      <c r="S23" s="1"/>
      <c r="T23" s="1">
        <f>SUM(OSRRefT22_0x_0)</f>
        <v>38585.370000000003</v>
      </c>
      <c r="U23" s="1"/>
      <c r="V23" s="5">
        <f t="shared" si="18"/>
        <v>4.8361894256005671E-2</v>
      </c>
      <c r="W23" s="1"/>
      <c r="X23" s="1">
        <f t="shared" si="19"/>
        <v>-11030.25</v>
      </c>
      <c r="Y23" s="1"/>
      <c r="Z23" s="5">
        <f t="shared" si="20"/>
        <v>-0.28586611972361542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19.059999999999999</v>
      </c>
      <c r="E24" s="2"/>
      <c r="F24" s="7">
        <f t="shared" si="13"/>
        <v>0</v>
      </c>
      <c r="G24" s="2"/>
      <c r="H24" s="6">
        <v>1417.29</v>
      </c>
      <c r="I24" s="2"/>
      <c r="J24" s="7">
        <f t="shared" si="14"/>
        <v>4.2261988006253616E-2</v>
      </c>
      <c r="K24" s="2"/>
      <c r="L24" s="6">
        <f t="shared" si="15"/>
        <v>-1398.23</v>
      </c>
      <c r="M24" s="2"/>
      <c r="N24" s="7">
        <f t="shared" si="16"/>
        <v>-0.98655179956113437</v>
      </c>
      <c r="O24" s="11"/>
      <c r="P24" s="6">
        <v>5995.86</v>
      </c>
      <c r="Q24" s="2"/>
      <c r="R24" s="7">
        <f t="shared" si="17"/>
        <v>1.0129318398535612E-2</v>
      </c>
      <c r="S24" s="2"/>
      <c r="T24" s="6">
        <v>7399</v>
      </c>
      <c r="U24" s="2"/>
      <c r="V24" s="7">
        <f t="shared" si="18"/>
        <v>9.2737132130697713E-3</v>
      </c>
      <c r="W24" s="2"/>
      <c r="X24" s="6">
        <f t="shared" si="19"/>
        <v>-1403.1400000000003</v>
      </c>
      <c r="Y24" s="2"/>
      <c r="Z24" s="7">
        <f t="shared" si="20"/>
        <v>-0.18963914042438171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1226.52</v>
      </c>
      <c r="I25" s="2"/>
      <c r="J25" s="7">
        <f t="shared" si="14"/>
        <v>3.6573441941614056E-2</v>
      </c>
      <c r="K25" s="2"/>
      <c r="L25" s="6">
        <f t="shared" si="15"/>
        <v>-1226.52</v>
      </c>
      <c r="M25" s="2"/>
      <c r="N25" s="7">
        <f t="shared" si="16"/>
        <v>-1</v>
      </c>
      <c r="O25" s="11"/>
      <c r="P25" s="6">
        <v>5901.84</v>
      </c>
      <c r="Q25" s="2"/>
      <c r="R25" s="7">
        <f t="shared" si="17"/>
        <v>9.9704823823794139E-3</v>
      </c>
      <c r="S25" s="2"/>
      <c r="T25" s="6">
        <v>7704.22</v>
      </c>
      <c r="U25" s="2"/>
      <c r="V25" s="7">
        <f t="shared" si="18"/>
        <v>9.6562679835648594E-3</v>
      </c>
      <c r="W25" s="2"/>
      <c r="X25" s="6">
        <f t="shared" si="19"/>
        <v>-1802.38</v>
      </c>
      <c r="Y25" s="2"/>
      <c r="Z25" s="7">
        <f t="shared" si="20"/>
        <v>-0.23394710950621866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702.51</v>
      </c>
      <c r="E26" s="2"/>
      <c r="F26" s="7">
        <f t="shared" si="13"/>
        <v>0</v>
      </c>
      <c r="G26" s="2"/>
      <c r="H26" s="6">
        <v>632.38</v>
      </c>
      <c r="I26" s="2"/>
      <c r="J26" s="7">
        <f t="shared" si="14"/>
        <v>1.8856857788733895E-2</v>
      </c>
      <c r="K26" s="2"/>
      <c r="L26" s="6">
        <f t="shared" si="15"/>
        <v>70.13</v>
      </c>
      <c r="M26" s="2"/>
      <c r="N26" s="7">
        <f t="shared" si="16"/>
        <v>0.11089851038932287</v>
      </c>
      <c r="O26" s="11"/>
      <c r="P26" s="6">
        <v>8408.82</v>
      </c>
      <c r="Q26" s="2"/>
      <c r="R26" s="7">
        <f t="shared" si="17"/>
        <v>1.4205737815088116E-2</v>
      </c>
      <c r="S26" s="2"/>
      <c r="T26" s="6">
        <v>7215.96</v>
      </c>
      <c r="U26" s="2"/>
      <c r="V26" s="7">
        <f t="shared" si="18"/>
        <v>9.0442956611681228E-3</v>
      </c>
      <c r="W26" s="2"/>
      <c r="X26" s="6">
        <f t="shared" si="19"/>
        <v>1192.8599999999997</v>
      </c>
      <c r="Y26" s="2"/>
      <c r="Z26" s="7">
        <f t="shared" si="20"/>
        <v>0.16530856601200666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91.11</v>
      </c>
      <c r="I27" s="2"/>
      <c r="J27" s="7">
        <f t="shared" si="14"/>
        <v>2.7167973578094582E-3</v>
      </c>
      <c r="K27" s="2"/>
      <c r="L27" s="6">
        <f t="shared" si="15"/>
        <v>-91.11</v>
      </c>
      <c r="M27" s="2"/>
      <c r="N27" s="7">
        <f t="shared" si="16"/>
        <v>-1</v>
      </c>
      <c r="O27" s="11"/>
      <c r="P27" s="6">
        <v>479.62</v>
      </c>
      <c r="Q27" s="2"/>
      <c r="R27" s="7">
        <f t="shared" si="17"/>
        <v>8.1026302987488889E-4</v>
      </c>
      <c r="S27" s="2"/>
      <c r="T27" s="6">
        <v>641.84</v>
      </c>
      <c r="U27" s="2"/>
      <c r="V27" s="7">
        <f t="shared" si="18"/>
        <v>8.044654802914856E-4</v>
      </c>
      <c r="W27" s="2"/>
      <c r="X27" s="6">
        <f t="shared" si="19"/>
        <v>-162.22000000000003</v>
      </c>
      <c r="Y27" s="2"/>
      <c r="Z27" s="7">
        <f t="shared" si="20"/>
        <v>-0.25274211641530603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1570.69</v>
      </c>
      <c r="I28" s="2"/>
      <c r="J28" s="7">
        <f t="shared" si="14"/>
        <v>4.6836202853009969E-2</v>
      </c>
      <c r="K28" s="2"/>
      <c r="L28" s="6">
        <f t="shared" si="15"/>
        <v>-1570.69</v>
      </c>
      <c r="M28" s="2"/>
      <c r="N28" s="7">
        <f t="shared" si="16"/>
        <v>-1</v>
      </c>
      <c r="O28" s="11"/>
      <c r="P28" s="6">
        <v>711.9</v>
      </c>
      <c r="Q28" s="2"/>
      <c r="R28" s="7">
        <f t="shared" si="17"/>
        <v>1.2026734726824015E-3</v>
      </c>
      <c r="S28" s="2"/>
      <c r="T28" s="6">
        <v>6643.04</v>
      </c>
      <c r="U28" s="2"/>
      <c r="V28" s="7">
        <f t="shared" si="18"/>
        <v>8.3262127075214229E-3</v>
      </c>
      <c r="W28" s="2"/>
      <c r="X28" s="6">
        <f t="shared" si="19"/>
        <v>-5931.14</v>
      </c>
      <c r="Y28" s="2"/>
      <c r="Z28" s="7">
        <f t="shared" si="20"/>
        <v>-0.89283520797707083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>
        <v>211.04</v>
      </c>
      <c r="I29" s="2"/>
      <c r="J29" s="7">
        <f t="shared" si="14"/>
        <v>6.2929745844814847E-3</v>
      </c>
      <c r="K29" s="2"/>
      <c r="L29" s="6">
        <f t="shared" si="15"/>
        <v>-211.04</v>
      </c>
      <c r="M29" s="2"/>
      <c r="N29" s="7">
        <f t="shared" si="16"/>
        <v>-1</v>
      </c>
      <c r="O29" s="11"/>
      <c r="P29" s="6">
        <v>2037.11</v>
      </c>
      <c r="Q29" s="2"/>
      <c r="R29" s="7">
        <f t="shared" si="17"/>
        <v>3.4414639105717752E-3</v>
      </c>
      <c r="S29" s="2"/>
      <c r="T29" s="6">
        <v>1988.77</v>
      </c>
      <c r="U29" s="2"/>
      <c r="V29" s="7">
        <f t="shared" si="18"/>
        <v>2.4926723377154706E-3</v>
      </c>
      <c r="W29" s="2"/>
      <c r="X29" s="6">
        <f t="shared" si="19"/>
        <v>48.339999999999918</v>
      </c>
      <c r="Y29" s="2"/>
      <c r="Z29" s="7">
        <f t="shared" si="20"/>
        <v>2.4306480890198424E-2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>
        <v>219.98</v>
      </c>
      <c r="I30" s="2"/>
      <c r="J30" s="7">
        <f t="shared" si="14"/>
        <v>6.5595552932820175E-3</v>
      </c>
      <c r="K30" s="2"/>
      <c r="L30" s="6">
        <f t="shared" si="15"/>
        <v>-219.98</v>
      </c>
      <c r="M30" s="2"/>
      <c r="N30" s="7">
        <f t="shared" si="16"/>
        <v>-1</v>
      </c>
      <c r="O30" s="11"/>
      <c r="P30" s="6">
        <v>2440.5100000000002</v>
      </c>
      <c r="Q30" s="2"/>
      <c r="R30" s="7">
        <f t="shared" si="17"/>
        <v>4.1229619845710459E-3</v>
      </c>
      <c r="S30" s="2"/>
      <c r="T30" s="6">
        <v>5373.51</v>
      </c>
      <c r="U30" s="2"/>
      <c r="V30" s="7">
        <f t="shared" si="18"/>
        <v>6.7350169871013043E-3</v>
      </c>
      <c r="W30" s="2"/>
      <c r="X30" s="6">
        <f t="shared" si="19"/>
        <v>-2933</v>
      </c>
      <c r="Y30" s="2"/>
      <c r="Z30" s="7">
        <f t="shared" si="20"/>
        <v>-0.54582572657350592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65.81</v>
      </c>
      <c r="E31" s="2"/>
      <c r="F31" s="7">
        <f t="shared" si="13"/>
        <v>0</v>
      </c>
      <c r="G31" s="2"/>
      <c r="H31" s="6">
        <v>150</v>
      </c>
      <c r="I31" s="2"/>
      <c r="J31" s="7">
        <f t="shared" si="14"/>
        <v>4.4728306845727003E-3</v>
      </c>
      <c r="K31" s="2"/>
      <c r="L31" s="6">
        <f t="shared" si="15"/>
        <v>-84.19</v>
      </c>
      <c r="M31" s="2"/>
      <c r="N31" s="7">
        <f t="shared" si="16"/>
        <v>-0.56126666666666669</v>
      </c>
      <c r="O31" s="11"/>
      <c r="P31" s="6">
        <v>1579.46</v>
      </c>
      <c r="Q31" s="2"/>
      <c r="R31" s="7">
        <f t="shared" si="17"/>
        <v>2.6683166781330887E-3</v>
      </c>
      <c r="S31" s="2"/>
      <c r="T31" s="6">
        <v>1619.03</v>
      </c>
      <c r="U31" s="2"/>
      <c r="V31" s="7">
        <f t="shared" si="18"/>
        <v>2.0292498855732331E-3</v>
      </c>
      <c r="W31" s="2"/>
      <c r="X31" s="6">
        <f t="shared" si="19"/>
        <v>-39.569999999999936</v>
      </c>
      <c r="Y31" s="2"/>
      <c r="Z31" s="7">
        <f t="shared" si="20"/>
        <v>-2.4440560088447982E-2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250</v>
      </c>
      <c r="E32" s="1"/>
      <c r="F32" s="5">
        <f t="shared" ref="F32:F38" si="21">IF(D$12=0,0,D32/D$12)</f>
        <v>0</v>
      </c>
      <c r="G32" s="1"/>
      <c r="H32" s="1">
        <f>SUM(OSRRefH22_1x_0)</f>
        <v>15316.06</v>
      </c>
      <c r="I32" s="1"/>
      <c r="J32" s="5">
        <f t="shared" ref="J32:J38" si="22">IF(H$12=0,0,H32/H$12)</f>
        <v>0.45670762089837702</v>
      </c>
      <c r="K32" s="1"/>
      <c r="L32" s="1">
        <f t="shared" ref="L32:L38" si="23">+D32-H32</f>
        <v>-15066.06</v>
      </c>
      <c r="M32" s="1"/>
      <c r="N32" s="5">
        <f t="shared" ref="N32:N38" si="24">IF(H32=0,0,L32/H32)</f>
        <v>-0.98367726425725677</v>
      </c>
      <c r="O32" s="13"/>
      <c r="P32" s="1">
        <f>SUM(OSRRefP22_1x_0)</f>
        <v>187328.1</v>
      </c>
      <c r="Q32" s="1"/>
      <c r="R32" s="5">
        <f t="shared" ref="R32:R38" si="25">IF(P$12=0,0,P32/P$12)</f>
        <v>0.31646935883971933</v>
      </c>
      <c r="S32" s="1"/>
      <c r="T32" s="1">
        <f>SUM(OSRRefT22_1x_0)</f>
        <v>220465.45</v>
      </c>
      <c r="U32" s="1"/>
      <c r="V32" s="5">
        <f t="shared" ref="V32:V38" si="26">IF(T$12=0,0,T32/T$12)</f>
        <v>0.27632563274636751</v>
      </c>
      <c r="W32" s="1"/>
      <c r="X32" s="1">
        <f t="shared" ref="X32:X38" si="27">+P32-T32</f>
        <v>-33137.350000000006</v>
      </c>
      <c r="Y32" s="1"/>
      <c r="Z32" s="5">
        <f t="shared" ref="Z32:Z38" si="28">IF(T32=0,0,X32/T32)</f>
        <v>-0.15030631783801046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>
        <v>2385.92</v>
      </c>
      <c r="I33" s="2"/>
      <c r="J33" s="7">
        <f t="shared" si="22"/>
        <v>7.1145441246237978E-2</v>
      </c>
      <c r="K33" s="2"/>
      <c r="L33" s="6">
        <f t="shared" si="23"/>
        <v>-2385.92</v>
      </c>
      <c r="M33" s="2"/>
      <c r="N33" s="7">
        <f t="shared" si="24"/>
        <v>-1</v>
      </c>
      <c r="O33" s="11"/>
      <c r="P33" s="6">
        <v>9754.9500000000007</v>
      </c>
      <c r="Q33" s="2"/>
      <c r="R33" s="7">
        <f t="shared" si="25"/>
        <v>1.6479870195734221E-2</v>
      </c>
      <c r="S33" s="2"/>
      <c r="T33" s="6">
        <v>49971.79</v>
      </c>
      <c r="U33" s="2"/>
      <c r="V33" s="7">
        <f t="shared" si="26"/>
        <v>6.2633335478273808E-2</v>
      </c>
      <c r="W33" s="2"/>
      <c r="X33" s="6">
        <f t="shared" si="27"/>
        <v>-40216.839999999997</v>
      </c>
      <c r="Y33" s="2"/>
      <c r="Z33" s="7">
        <f t="shared" si="28"/>
        <v>-0.80479086300490732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250</v>
      </c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250</v>
      </c>
      <c r="M34" s="2"/>
      <c r="N34" s="7">
        <f t="shared" si="24"/>
        <v>0</v>
      </c>
      <c r="O34" s="11"/>
      <c r="P34" s="6">
        <v>53258.29</v>
      </c>
      <c r="Q34" s="2"/>
      <c r="R34" s="7">
        <f t="shared" si="25"/>
        <v>8.9973778035435339E-2</v>
      </c>
      <c r="S34" s="2"/>
      <c r="T34" s="6"/>
      <c r="U34" s="2"/>
      <c r="V34" s="7">
        <f t="shared" si="26"/>
        <v>0</v>
      </c>
      <c r="W34" s="2"/>
      <c r="X34" s="6">
        <f t="shared" si="27"/>
        <v>53258.29</v>
      </c>
      <c r="Y34" s="2"/>
      <c r="Z34" s="7">
        <f t="shared" si="28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1389.75</v>
      </c>
      <c r="I35" s="2"/>
      <c r="J35" s="7">
        <f t="shared" si="22"/>
        <v>4.1440776292566067E-2</v>
      </c>
      <c r="K35" s="2"/>
      <c r="L35" s="6">
        <f t="shared" si="23"/>
        <v>-1389.75</v>
      </c>
      <c r="M35" s="2"/>
      <c r="N35" s="7">
        <f t="shared" si="24"/>
        <v>-1</v>
      </c>
      <c r="O35" s="11"/>
      <c r="P35" s="6">
        <v>1997.5</v>
      </c>
      <c r="Q35" s="2"/>
      <c r="R35" s="7">
        <f t="shared" si="25"/>
        <v>3.3745473545204337E-3</v>
      </c>
      <c r="S35" s="2"/>
      <c r="T35" s="6">
        <v>13979.51</v>
      </c>
      <c r="U35" s="2"/>
      <c r="V35" s="7">
        <f t="shared" si="26"/>
        <v>1.7521552452931612E-2</v>
      </c>
      <c r="W35" s="2"/>
      <c r="X35" s="6">
        <f t="shared" si="27"/>
        <v>-11982.01</v>
      </c>
      <c r="Y35" s="2"/>
      <c r="Z35" s="7">
        <f t="shared" si="28"/>
        <v>-0.85711230221946266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29.25</v>
      </c>
      <c r="Q36" s="2"/>
      <c r="R36" s="7">
        <f t="shared" si="25"/>
        <v>4.9414523213878695E-5</v>
      </c>
      <c r="S36" s="2"/>
      <c r="T36" s="6"/>
      <c r="U36" s="2"/>
      <c r="V36" s="7">
        <f t="shared" si="26"/>
        <v>0</v>
      </c>
      <c r="W36" s="2"/>
      <c r="X36" s="6">
        <f t="shared" si="27"/>
        <v>29.25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10877.39</v>
      </c>
      <c r="I37" s="2"/>
      <c r="J37" s="7">
        <f t="shared" si="22"/>
        <v>0.3243514917337616</v>
      </c>
      <c r="K37" s="2"/>
      <c r="L37" s="6">
        <f t="shared" si="23"/>
        <v>-10877.39</v>
      </c>
      <c r="M37" s="2"/>
      <c r="N37" s="7">
        <f t="shared" si="24"/>
        <v>-1</v>
      </c>
      <c r="O37" s="11"/>
      <c r="P37" s="6">
        <v>121057.65999999999</v>
      </c>
      <c r="Q37" s="2"/>
      <c r="R37" s="7">
        <f t="shared" si="25"/>
        <v>0.20451304445428492</v>
      </c>
      <c r="S37" s="2"/>
      <c r="T37" s="6">
        <v>150665.9</v>
      </c>
      <c r="U37" s="2"/>
      <c r="V37" s="7">
        <f t="shared" si="26"/>
        <v>0.18884070112029311</v>
      </c>
      <c r="W37" s="2"/>
      <c r="X37" s="6">
        <f t="shared" si="27"/>
        <v>-29608.240000000005</v>
      </c>
      <c r="Y37" s="2"/>
      <c r="Z37" s="7">
        <f t="shared" si="28"/>
        <v>-0.19651586722675807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663</v>
      </c>
      <c r="I38" s="2"/>
      <c r="J38" s="7">
        <f t="shared" si="22"/>
        <v>1.9769911625811334E-2</v>
      </c>
      <c r="K38" s="2"/>
      <c r="L38" s="6">
        <f t="shared" si="23"/>
        <v>-663</v>
      </c>
      <c r="M38" s="2"/>
      <c r="N38" s="7">
        <f t="shared" si="24"/>
        <v>-1</v>
      </c>
      <c r="O38" s="11"/>
      <c r="P38" s="6">
        <v>1230.45</v>
      </c>
      <c r="Q38" s="2"/>
      <c r="R38" s="7">
        <f t="shared" si="25"/>
        <v>2.0787042765304971E-3</v>
      </c>
      <c r="S38" s="2"/>
      <c r="T38" s="6">
        <v>5848.25</v>
      </c>
      <c r="U38" s="2"/>
      <c r="V38" s="7">
        <f t="shared" si="26"/>
        <v>7.3300436948689407E-3</v>
      </c>
      <c r="W38" s="2"/>
      <c r="X38" s="6">
        <f t="shared" si="27"/>
        <v>-4617.8</v>
      </c>
      <c r="Y38" s="2"/>
      <c r="Z38" s="7">
        <f t="shared" si="28"/>
        <v>-0.78960372761082376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30.68</v>
      </c>
      <c r="E39" s="1"/>
      <c r="F39" s="5">
        <f t="shared" ref="F39:F55" si="29">IF(D$12=0,0,D39/D$12)</f>
        <v>0</v>
      </c>
      <c r="G39" s="1"/>
      <c r="H39" s="1">
        <f>SUM(OSRRefH22_2x_0)</f>
        <v>30.68</v>
      </c>
      <c r="I39" s="1"/>
      <c r="J39" s="5">
        <f t="shared" ref="J39:J55" si="30">IF(H$12=0,0,H39/H$12)</f>
        <v>9.1484296935126963E-4</v>
      </c>
      <c r="K39" s="1"/>
      <c r="L39" s="1">
        <f t="shared" ref="L39:L55" si="31">+D39-H39</f>
        <v>0</v>
      </c>
      <c r="M39" s="1"/>
      <c r="N39" s="5">
        <f t="shared" ref="N39:N55" si="32">IF(H39=0,0,L39/H39)</f>
        <v>0</v>
      </c>
      <c r="O39" s="13"/>
      <c r="P39" s="1">
        <f>SUM(OSRRefP22_2x_0)</f>
        <v>830.37</v>
      </c>
      <c r="Q39" s="1"/>
      <c r="R39" s="5">
        <f t="shared" ref="R39:R55" si="33">IF(P$12=0,0,P39/P$12)</f>
        <v>1.4028149620891779E-3</v>
      </c>
      <c r="S39" s="1"/>
      <c r="T39" s="1">
        <f>SUM(OSRRefT22_2x_0)</f>
        <v>2678.75</v>
      </c>
      <c r="U39" s="1"/>
      <c r="V39" s="5">
        <f t="shared" ref="V39:V55" si="34">IF(T$12=0,0,T39/T$12)</f>
        <v>3.3574752357765441E-3</v>
      </c>
      <c r="W39" s="1"/>
      <c r="X39" s="1">
        <f t="shared" ref="X39:X55" si="35">+P39-T39</f>
        <v>-1848.38</v>
      </c>
      <c r="Y39" s="1"/>
      <c r="Z39" s="5">
        <f t="shared" ref="Z39:Z55" si="36">IF(T39=0,0,X39/T39)</f>
        <v>-0.69001586560895944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30.68</v>
      </c>
      <c r="E40" s="2"/>
      <c r="F40" s="7">
        <f t="shared" si="29"/>
        <v>0</v>
      </c>
      <c r="G40" s="2"/>
      <c r="H40" s="6">
        <v>30.68</v>
      </c>
      <c r="I40" s="2"/>
      <c r="J40" s="7">
        <f t="shared" si="30"/>
        <v>9.1484296935126963E-4</v>
      </c>
      <c r="K40" s="2"/>
      <c r="L40" s="6">
        <f t="shared" si="31"/>
        <v>0</v>
      </c>
      <c r="M40" s="2"/>
      <c r="N40" s="7">
        <f t="shared" si="32"/>
        <v>0</v>
      </c>
      <c r="O40" s="11"/>
      <c r="P40" s="6">
        <v>830.37</v>
      </c>
      <c r="Q40" s="2"/>
      <c r="R40" s="7">
        <f t="shared" si="33"/>
        <v>1.4028149620891779E-3</v>
      </c>
      <c r="S40" s="2"/>
      <c r="T40" s="6">
        <v>2678.75</v>
      </c>
      <c r="U40" s="2"/>
      <c r="V40" s="7">
        <f t="shared" si="34"/>
        <v>3.3574752357765441E-3</v>
      </c>
      <c r="W40" s="2"/>
      <c r="X40" s="6">
        <f t="shared" si="35"/>
        <v>-1848.38</v>
      </c>
      <c r="Y40" s="2"/>
      <c r="Z40" s="7">
        <f t="shared" si="36"/>
        <v>-0.69001586560895944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-2.25</v>
      </c>
      <c r="I41" s="1"/>
      <c r="J41" s="5">
        <f t="shared" si="30"/>
        <v>-6.7092460268590508E-5</v>
      </c>
      <c r="K41" s="1"/>
      <c r="L41" s="1">
        <f t="shared" si="31"/>
        <v>2.25</v>
      </c>
      <c r="M41" s="1"/>
      <c r="N41" s="5">
        <f t="shared" si="32"/>
        <v>-1</v>
      </c>
      <c r="O41" s="13"/>
      <c r="P41" s="1">
        <f>SUM(OSRRefP22_3x_0)</f>
        <v>125.23</v>
      </c>
      <c r="Q41" s="1"/>
      <c r="R41" s="5">
        <f t="shared" si="33"/>
        <v>2.1156173477176167E-4</v>
      </c>
      <c r="S41" s="1"/>
      <c r="T41" s="1">
        <f>SUM(OSRRefT22_3x_0)</f>
        <v>2075.2399999999998</v>
      </c>
      <c r="U41" s="1"/>
      <c r="V41" s="5">
        <f t="shared" si="34"/>
        <v>2.6010515756576444E-3</v>
      </c>
      <c r="W41" s="1"/>
      <c r="X41" s="1">
        <f t="shared" si="35"/>
        <v>-1950.0099999999998</v>
      </c>
      <c r="Y41" s="1"/>
      <c r="Z41" s="5">
        <f t="shared" si="36"/>
        <v>-0.93965517241379304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-2.25</v>
      </c>
      <c r="I42" s="2"/>
      <c r="J42" s="7">
        <f t="shared" si="30"/>
        <v>-6.7092460268590508E-5</v>
      </c>
      <c r="K42" s="2"/>
      <c r="L42" s="6">
        <f t="shared" si="31"/>
        <v>2.25</v>
      </c>
      <c r="M42" s="2"/>
      <c r="N42" s="7">
        <f t="shared" si="32"/>
        <v>-1</v>
      </c>
      <c r="O42" s="11"/>
      <c r="P42" s="6">
        <v>125.23</v>
      </c>
      <c r="Q42" s="2"/>
      <c r="R42" s="7">
        <f t="shared" si="33"/>
        <v>2.1156173477176167E-4</v>
      </c>
      <c r="S42" s="2"/>
      <c r="T42" s="6">
        <v>2075.2399999999998</v>
      </c>
      <c r="U42" s="2"/>
      <c r="V42" s="7">
        <f t="shared" si="34"/>
        <v>2.6010515756576444E-3</v>
      </c>
      <c r="W42" s="2"/>
      <c r="X42" s="6">
        <f t="shared" si="35"/>
        <v>-1950.0099999999998</v>
      </c>
      <c r="Y42" s="2"/>
      <c r="Z42" s="7">
        <f t="shared" si="36"/>
        <v>-0.93965517241379304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2447.77</v>
      </c>
      <c r="I43" s="1"/>
      <c r="J43" s="5">
        <f t="shared" si="30"/>
        <v>7.2989738431843462E-2</v>
      </c>
      <c r="K43" s="1"/>
      <c r="L43" s="1">
        <f t="shared" si="31"/>
        <v>-2447.77</v>
      </c>
      <c r="M43" s="1"/>
      <c r="N43" s="5">
        <f t="shared" si="32"/>
        <v>-1</v>
      </c>
      <c r="O43" s="13"/>
      <c r="P43" s="1">
        <f>SUM(OSRRefP22_4x_0)</f>
        <v>18857.060000000001</v>
      </c>
      <c r="Q43" s="1"/>
      <c r="R43" s="5">
        <f t="shared" si="33"/>
        <v>3.1856842021042851E-2</v>
      </c>
      <c r="S43" s="1"/>
      <c r="T43" s="1">
        <f>SUM(OSRRefT22_4x_0)</f>
        <v>26915.78</v>
      </c>
      <c r="U43" s="1"/>
      <c r="V43" s="5">
        <f t="shared" si="34"/>
        <v>3.3735535156923784E-2</v>
      </c>
      <c r="W43" s="1"/>
      <c r="X43" s="1">
        <f t="shared" si="35"/>
        <v>-8058.7199999999975</v>
      </c>
      <c r="Y43" s="1"/>
      <c r="Z43" s="5">
        <f t="shared" si="36"/>
        <v>-0.29940503303266702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2447.77</v>
      </c>
      <c r="I44" s="2"/>
      <c r="J44" s="7">
        <f t="shared" si="30"/>
        <v>7.2989738431843462E-2</v>
      </c>
      <c r="K44" s="2"/>
      <c r="L44" s="6">
        <f t="shared" si="31"/>
        <v>-2447.77</v>
      </c>
      <c r="M44" s="2"/>
      <c r="N44" s="7">
        <f t="shared" si="32"/>
        <v>-1</v>
      </c>
      <c r="O44" s="11"/>
      <c r="P44" s="6">
        <v>18857.060000000001</v>
      </c>
      <c r="Q44" s="2"/>
      <c r="R44" s="7">
        <f t="shared" si="33"/>
        <v>3.1856842021042851E-2</v>
      </c>
      <c r="S44" s="2"/>
      <c r="T44" s="6">
        <v>26915.78</v>
      </c>
      <c r="U44" s="2"/>
      <c r="V44" s="7">
        <f t="shared" si="34"/>
        <v>3.3735535156923784E-2</v>
      </c>
      <c r="W44" s="2"/>
      <c r="X44" s="6">
        <f t="shared" si="35"/>
        <v>-8058.7199999999975</v>
      </c>
      <c r="Y44" s="2"/>
      <c r="Z44" s="7">
        <f t="shared" si="36"/>
        <v>-0.29940503303266702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1972.05</v>
      </c>
      <c r="E45" s="1"/>
      <c r="F45" s="5">
        <f t="shared" si="29"/>
        <v>0</v>
      </c>
      <c r="G45" s="1"/>
      <c r="H45" s="1">
        <f>SUM(OSRRefH22_5x_0)</f>
        <v>1638.82</v>
      </c>
      <c r="I45" s="1"/>
      <c r="J45" s="5">
        <f t="shared" si="30"/>
        <v>4.8867762549942885E-2</v>
      </c>
      <c r="K45" s="1"/>
      <c r="L45" s="1">
        <f t="shared" si="31"/>
        <v>333.23</v>
      </c>
      <c r="M45" s="1"/>
      <c r="N45" s="5">
        <f t="shared" si="32"/>
        <v>0.20333532663745868</v>
      </c>
      <c r="O45" s="13"/>
      <c r="P45" s="1">
        <f>SUM(OSRRefP22_5x_0)</f>
        <v>20557.919999999998</v>
      </c>
      <c r="Q45" s="1"/>
      <c r="R45" s="5">
        <f t="shared" si="33"/>
        <v>3.4730250087831142E-2</v>
      </c>
      <c r="S45" s="1"/>
      <c r="T45" s="1">
        <f>SUM(OSRRefT22_5x_0)</f>
        <v>14132.27</v>
      </c>
      <c r="U45" s="1"/>
      <c r="V45" s="5">
        <f t="shared" si="34"/>
        <v>1.7713017844258622E-2</v>
      </c>
      <c r="W45" s="1"/>
      <c r="X45" s="1">
        <f t="shared" si="35"/>
        <v>6425.6499999999978</v>
      </c>
      <c r="Y45" s="1"/>
      <c r="Z45" s="5">
        <f t="shared" si="36"/>
        <v>0.45467925534963582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1972.05</v>
      </c>
      <c r="E46" s="2"/>
      <c r="F46" s="7">
        <f t="shared" si="29"/>
        <v>0</v>
      </c>
      <c r="G46" s="2"/>
      <c r="H46" s="6">
        <v>1638.82</v>
      </c>
      <c r="I46" s="2"/>
      <c r="J46" s="7">
        <f t="shared" si="30"/>
        <v>4.8867762549942885E-2</v>
      </c>
      <c r="K46" s="2"/>
      <c r="L46" s="6">
        <f t="shared" si="31"/>
        <v>333.23</v>
      </c>
      <c r="M46" s="2"/>
      <c r="N46" s="7">
        <f t="shared" si="32"/>
        <v>0.20333532663745868</v>
      </c>
      <c r="O46" s="11"/>
      <c r="P46" s="6">
        <v>20557.919999999998</v>
      </c>
      <c r="Q46" s="2"/>
      <c r="R46" s="7">
        <f t="shared" si="33"/>
        <v>3.4730250087831142E-2</v>
      </c>
      <c r="S46" s="2"/>
      <c r="T46" s="6">
        <v>14132.27</v>
      </c>
      <c r="U46" s="2"/>
      <c r="V46" s="7">
        <f t="shared" si="34"/>
        <v>1.7713017844258622E-2</v>
      </c>
      <c r="W46" s="2"/>
      <c r="X46" s="6">
        <f t="shared" si="35"/>
        <v>6425.6499999999978</v>
      </c>
      <c r="Y46" s="2"/>
      <c r="Z46" s="7">
        <f t="shared" si="36"/>
        <v>0.45467925534963582</v>
      </c>
    </row>
    <row r="47" spans="1:26" s="27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si="29"/>
        <v>0</v>
      </c>
      <c r="G47" s="1"/>
      <c r="H47" s="1">
        <f>SUM(OSRRefH22_6x_0)</f>
        <v>70.95</v>
      </c>
      <c r="I47" s="1"/>
      <c r="J47" s="5">
        <f t="shared" si="30"/>
        <v>2.1156489138028874E-3</v>
      </c>
      <c r="K47" s="1"/>
      <c r="L47" s="1">
        <f t="shared" si="31"/>
        <v>-70.95</v>
      </c>
      <c r="M47" s="1"/>
      <c r="N47" s="5">
        <f t="shared" si="32"/>
        <v>-1</v>
      </c>
      <c r="O47" s="13"/>
      <c r="P47" s="1">
        <f>SUM(OSRRefP22_6x_0)</f>
        <v>236.02</v>
      </c>
      <c r="Q47" s="1"/>
      <c r="R47" s="5">
        <f t="shared" si="33"/>
        <v>3.9872874423725298E-4</v>
      </c>
      <c r="S47" s="1"/>
      <c r="T47" s="1">
        <f>SUM(OSRRefT22_6x_0)</f>
        <v>223.19</v>
      </c>
      <c r="U47" s="1"/>
      <c r="V47" s="5">
        <f t="shared" si="34"/>
        <v>2.7974051250507397E-4</v>
      </c>
      <c r="W47" s="1"/>
      <c r="X47" s="1">
        <f t="shared" si="35"/>
        <v>12.830000000000013</v>
      </c>
      <c r="Y47" s="1"/>
      <c r="Z47" s="5">
        <f t="shared" si="36"/>
        <v>5.7484654330391204E-2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9"/>
        <v>0</v>
      </c>
      <c r="G48" s="2"/>
      <c r="H48" s="6">
        <v>70.95</v>
      </c>
      <c r="I48" s="2"/>
      <c r="J48" s="7">
        <f t="shared" si="30"/>
        <v>2.1156489138028874E-3</v>
      </c>
      <c r="K48" s="2"/>
      <c r="L48" s="6">
        <f t="shared" si="31"/>
        <v>-70.95</v>
      </c>
      <c r="M48" s="2"/>
      <c r="N48" s="7">
        <f t="shared" si="32"/>
        <v>-1</v>
      </c>
      <c r="O48" s="11"/>
      <c r="P48" s="6">
        <v>236.02</v>
      </c>
      <c r="Q48" s="2"/>
      <c r="R48" s="7">
        <f t="shared" si="33"/>
        <v>3.9872874423725298E-4</v>
      </c>
      <c r="S48" s="2"/>
      <c r="T48" s="6">
        <v>223.19</v>
      </c>
      <c r="U48" s="2"/>
      <c r="V48" s="7">
        <f t="shared" si="34"/>
        <v>2.7974051250507397E-4</v>
      </c>
      <c r="W48" s="2"/>
      <c r="X48" s="6">
        <f t="shared" si="35"/>
        <v>12.830000000000013</v>
      </c>
      <c r="Y48" s="2"/>
      <c r="Z48" s="7">
        <f t="shared" si="36"/>
        <v>5.7484654330391204E-2</v>
      </c>
    </row>
    <row r="49" spans="1:26" s="27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240.32</v>
      </c>
      <c r="E49" s="1"/>
      <c r="F49" s="5">
        <f t="shared" si="29"/>
        <v>0</v>
      </c>
      <c r="G49" s="1"/>
      <c r="H49" s="1">
        <f>SUM(OSRRefH22_7x_0)</f>
        <v>118.91</v>
      </c>
      <c r="I49" s="1"/>
      <c r="J49" s="5">
        <f t="shared" si="30"/>
        <v>3.5457619780169319E-3</v>
      </c>
      <c r="K49" s="1"/>
      <c r="L49" s="1">
        <f t="shared" si="31"/>
        <v>121.41</v>
      </c>
      <c r="M49" s="1"/>
      <c r="N49" s="5">
        <f t="shared" si="32"/>
        <v>1.0210243040955345</v>
      </c>
      <c r="O49" s="13"/>
      <c r="P49" s="1">
        <f>SUM(OSRRefP22_7x_0)</f>
        <v>1191.5999999999999</v>
      </c>
      <c r="Q49" s="1"/>
      <c r="R49" s="5">
        <f t="shared" si="33"/>
        <v>2.0130716533900118E-3</v>
      </c>
      <c r="S49" s="1"/>
      <c r="T49" s="1">
        <f>SUM(OSRRefT22_7x_0)</f>
        <v>1308.01</v>
      </c>
      <c r="U49" s="1"/>
      <c r="V49" s="5">
        <f t="shared" si="34"/>
        <v>1.6394255466721708E-3</v>
      </c>
      <c r="W49" s="1"/>
      <c r="X49" s="1">
        <f t="shared" si="35"/>
        <v>-116.41000000000008</v>
      </c>
      <c r="Y49" s="1"/>
      <c r="Z49" s="5">
        <f t="shared" si="36"/>
        <v>-8.8997790536769664E-2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240.32</v>
      </c>
      <c r="E50" s="2"/>
      <c r="F50" s="7">
        <f t="shared" si="29"/>
        <v>0</v>
      </c>
      <c r="G50" s="2"/>
      <c r="H50" s="6">
        <v>118.91</v>
      </c>
      <c r="I50" s="2"/>
      <c r="J50" s="7">
        <f t="shared" si="30"/>
        <v>3.5457619780169319E-3</v>
      </c>
      <c r="K50" s="2"/>
      <c r="L50" s="6">
        <f t="shared" si="31"/>
        <v>121.41</v>
      </c>
      <c r="M50" s="2"/>
      <c r="N50" s="7">
        <f t="shared" si="32"/>
        <v>1.0210243040955345</v>
      </c>
      <c r="O50" s="11"/>
      <c r="P50" s="6">
        <v>1191.5999999999999</v>
      </c>
      <c r="Q50" s="2"/>
      <c r="R50" s="7">
        <f t="shared" si="33"/>
        <v>2.0130716533900118E-3</v>
      </c>
      <c r="S50" s="2"/>
      <c r="T50" s="6">
        <v>1308.01</v>
      </c>
      <c r="U50" s="2"/>
      <c r="V50" s="7">
        <f t="shared" si="34"/>
        <v>1.6394255466721708E-3</v>
      </c>
      <c r="W50" s="2"/>
      <c r="X50" s="6">
        <f t="shared" si="35"/>
        <v>-116.41000000000008</v>
      </c>
      <c r="Y50" s="2"/>
      <c r="Z50" s="7">
        <f t="shared" si="36"/>
        <v>-8.8997790536769664E-2</v>
      </c>
    </row>
    <row r="51" spans="1:26" s="27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0</v>
      </c>
      <c r="E51" s="1"/>
      <c r="F51" s="5">
        <f t="shared" si="29"/>
        <v>0</v>
      </c>
      <c r="G51" s="1"/>
      <c r="H51" s="1">
        <f>SUM(OSRRefH22_8x_0)</f>
        <v>646.05999999999995</v>
      </c>
      <c r="I51" s="1"/>
      <c r="J51" s="5">
        <f t="shared" si="30"/>
        <v>1.9264779947166924E-2</v>
      </c>
      <c r="K51" s="1"/>
      <c r="L51" s="1">
        <f t="shared" si="31"/>
        <v>-646.05999999999995</v>
      </c>
      <c r="M51" s="1"/>
      <c r="N51" s="5">
        <f t="shared" si="32"/>
        <v>-1</v>
      </c>
      <c r="O51" s="13"/>
      <c r="P51" s="1">
        <f>SUM(OSRRefP22_8x_0)</f>
        <v>9129.7800000000007</v>
      </c>
      <c r="Q51" s="1"/>
      <c r="R51" s="5">
        <f t="shared" si="33"/>
        <v>1.5423717119576255E-2</v>
      </c>
      <c r="S51" s="1"/>
      <c r="T51" s="1">
        <f>SUM(OSRRefT22_8x_0)</f>
        <v>12570.93</v>
      </c>
      <c r="U51" s="1"/>
      <c r="V51" s="5">
        <f t="shared" si="34"/>
        <v>1.5756075096847573E-2</v>
      </c>
      <c r="W51" s="1"/>
      <c r="X51" s="1">
        <f t="shared" si="35"/>
        <v>-3441.1499999999996</v>
      </c>
      <c r="Y51" s="1"/>
      <c r="Z51" s="5">
        <f t="shared" si="36"/>
        <v>-0.27373869713696597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9"/>
        <v>0</v>
      </c>
      <c r="G52" s="2"/>
      <c r="H52" s="6">
        <v>646.05999999999995</v>
      </c>
      <c r="I52" s="2"/>
      <c r="J52" s="7">
        <f t="shared" si="30"/>
        <v>1.9264779947166924E-2</v>
      </c>
      <c r="K52" s="2"/>
      <c r="L52" s="6">
        <f t="shared" si="31"/>
        <v>-646.05999999999995</v>
      </c>
      <c r="M52" s="2"/>
      <c r="N52" s="7">
        <f t="shared" si="32"/>
        <v>-1</v>
      </c>
      <c r="O52" s="11"/>
      <c r="P52" s="6">
        <v>9129.7800000000007</v>
      </c>
      <c r="Q52" s="2"/>
      <c r="R52" s="7">
        <f t="shared" si="33"/>
        <v>1.5423717119576255E-2</v>
      </c>
      <c r="S52" s="2"/>
      <c r="T52" s="6">
        <v>12570.93</v>
      </c>
      <c r="U52" s="2"/>
      <c r="V52" s="7">
        <f t="shared" si="34"/>
        <v>1.5756075096847573E-2</v>
      </c>
      <c r="W52" s="2"/>
      <c r="X52" s="6">
        <f t="shared" si="35"/>
        <v>-3441.1499999999996</v>
      </c>
      <c r="Y52" s="2"/>
      <c r="Z52" s="7">
        <f t="shared" si="36"/>
        <v>-0.27373869713696597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183</v>
      </c>
      <c r="E53" s="1"/>
      <c r="F53" s="5">
        <f t="shared" si="29"/>
        <v>0</v>
      </c>
      <c r="G53" s="1"/>
      <c r="H53" s="1">
        <f>SUM(OSRRefH22_9x_0)</f>
        <v>2202.35</v>
      </c>
      <c r="I53" s="1"/>
      <c r="J53" s="5">
        <f t="shared" si="30"/>
        <v>6.5671591054457912E-2</v>
      </c>
      <c r="K53" s="1"/>
      <c r="L53" s="1">
        <f t="shared" si="31"/>
        <v>-2019.35</v>
      </c>
      <c r="M53" s="1"/>
      <c r="N53" s="5">
        <f t="shared" si="32"/>
        <v>-0.91690694031375575</v>
      </c>
      <c r="O53" s="13"/>
      <c r="P53" s="1">
        <f>SUM(OSRRefP22_9x_0)</f>
        <v>7577.18</v>
      </c>
      <c r="Q53" s="1"/>
      <c r="R53" s="5">
        <f t="shared" si="33"/>
        <v>1.2800777333529483E-2</v>
      </c>
      <c r="S53" s="1"/>
      <c r="T53" s="1">
        <f>SUM(OSRRefT22_9x_0)</f>
        <v>13532.6</v>
      </c>
      <c r="U53" s="1"/>
      <c r="V53" s="5">
        <f t="shared" si="34"/>
        <v>1.6961407139774023E-2</v>
      </c>
      <c r="W53" s="1"/>
      <c r="X53" s="1">
        <f t="shared" si="35"/>
        <v>-5955.42</v>
      </c>
      <c r="Y53" s="1"/>
      <c r="Z53" s="5">
        <f t="shared" si="36"/>
        <v>-0.44007951169767817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369.97</v>
      </c>
      <c r="Q54" s="2"/>
      <c r="R54" s="7">
        <f t="shared" si="33"/>
        <v>6.2502191977568207E-4</v>
      </c>
      <c r="S54" s="2"/>
      <c r="T54" s="6">
        <v>680.99</v>
      </c>
      <c r="U54" s="2"/>
      <c r="V54" s="7">
        <f t="shared" si="34"/>
        <v>8.5353506703181293E-4</v>
      </c>
      <c r="W54" s="2"/>
      <c r="X54" s="6">
        <f t="shared" si="35"/>
        <v>-311.02</v>
      </c>
      <c r="Y54" s="2"/>
      <c r="Z54" s="7">
        <f t="shared" si="36"/>
        <v>-0.45671742610023641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183</v>
      </c>
      <c r="E55" s="2"/>
      <c r="F55" s="7">
        <f t="shared" si="29"/>
        <v>0</v>
      </c>
      <c r="G55" s="2"/>
      <c r="H55" s="6">
        <v>2202.35</v>
      </c>
      <c r="I55" s="2"/>
      <c r="J55" s="7">
        <f t="shared" si="30"/>
        <v>6.5671591054457912E-2</v>
      </c>
      <c r="K55" s="2"/>
      <c r="L55" s="6">
        <f t="shared" si="31"/>
        <v>-2019.35</v>
      </c>
      <c r="M55" s="2"/>
      <c r="N55" s="7">
        <f t="shared" si="32"/>
        <v>-0.91690694031375575</v>
      </c>
      <c r="O55" s="11"/>
      <c r="P55" s="6">
        <v>7207.21</v>
      </c>
      <c r="Q55" s="2"/>
      <c r="R55" s="7">
        <f t="shared" si="33"/>
        <v>1.21757554137538E-2</v>
      </c>
      <c r="S55" s="2"/>
      <c r="T55" s="6">
        <v>12851.61</v>
      </c>
      <c r="U55" s="2"/>
      <c r="V55" s="7">
        <f t="shared" si="34"/>
        <v>1.610787207274221E-2</v>
      </c>
      <c r="W55" s="2"/>
      <c r="X55" s="6">
        <f t="shared" si="35"/>
        <v>-5644.4000000000005</v>
      </c>
      <c r="Y55" s="2"/>
      <c r="Z55" s="7">
        <f t="shared" si="36"/>
        <v>-0.43919789038104956</v>
      </c>
    </row>
    <row r="56" spans="1:26" s="27" customFormat="1" outlineLevel="1" collapsed="1" x14ac:dyDescent="0.25">
      <c r="A56" s="25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9" si="37">IF(D$12=0,0,D56/D$12)</f>
        <v>0</v>
      </c>
      <c r="G56" s="1"/>
      <c r="H56" s="1">
        <f>SUM(OSRRefH22_10x_0)</f>
        <v>2682.88</v>
      </c>
      <c r="I56" s="1"/>
      <c r="J56" s="5">
        <f t="shared" ref="J56:J69" si="38">IF(H$12=0,0,H56/H$12)</f>
        <v>8.0000453246842712E-2</v>
      </c>
      <c r="K56" s="1"/>
      <c r="L56" s="1">
        <f t="shared" ref="L56:L69" si="39">+D56-H56</f>
        <v>-2682.88</v>
      </c>
      <c r="M56" s="1"/>
      <c r="N56" s="5">
        <f t="shared" ref="N56:N69" si="40">IF(H56=0,0,L56/H56)</f>
        <v>-1</v>
      </c>
      <c r="O56" s="13"/>
      <c r="P56" s="1">
        <f>SUM(OSRRefP22_10x_0)</f>
        <v>44134.64</v>
      </c>
      <c r="Q56" s="1"/>
      <c r="R56" s="5">
        <f t="shared" ref="R56:R69" si="41">IF(P$12=0,0,P56/P$12)</f>
        <v>7.4560416848416383E-2</v>
      </c>
      <c r="S56" s="1"/>
      <c r="T56" s="1">
        <f>SUM(OSRRefT22_10x_0)</f>
        <v>63753.279999999999</v>
      </c>
      <c r="U56" s="1"/>
      <c r="V56" s="5">
        <f t="shared" ref="V56:V69" si="42">IF(T$12=0,0,T56/T$12)</f>
        <v>7.9906694838834544E-2</v>
      </c>
      <c r="W56" s="1"/>
      <c r="X56" s="1">
        <f t="shared" ref="X56:X69" si="43">+P56-T56</f>
        <v>-19618.64</v>
      </c>
      <c r="Y56" s="1"/>
      <c r="Z56" s="5">
        <f t="shared" ref="Z56:Z69" si="44">IF(T56=0,0,X56/T56)</f>
        <v>-0.30772753966541017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6"/>
      <c r="E57" s="2"/>
      <c r="F57" s="7">
        <f t="shared" si="37"/>
        <v>0</v>
      </c>
      <c r="G57" s="2"/>
      <c r="H57" s="6">
        <v>2682.88</v>
      </c>
      <c r="I57" s="2"/>
      <c r="J57" s="7">
        <f t="shared" si="38"/>
        <v>8.0000453246842712E-2</v>
      </c>
      <c r="K57" s="2"/>
      <c r="L57" s="6">
        <f t="shared" si="39"/>
        <v>-2682.88</v>
      </c>
      <c r="M57" s="2"/>
      <c r="N57" s="7">
        <f t="shared" si="40"/>
        <v>-1</v>
      </c>
      <c r="O57" s="11"/>
      <c r="P57" s="6">
        <v>44134.64</v>
      </c>
      <c r="Q57" s="2"/>
      <c r="R57" s="7">
        <f t="shared" si="41"/>
        <v>7.4560416848416383E-2</v>
      </c>
      <c r="S57" s="2"/>
      <c r="T57" s="6">
        <v>63753.279999999999</v>
      </c>
      <c r="U57" s="2"/>
      <c r="V57" s="7">
        <f t="shared" si="42"/>
        <v>7.9906694838834544E-2</v>
      </c>
      <c r="W57" s="2"/>
      <c r="X57" s="6">
        <f t="shared" si="43"/>
        <v>-19618.64</v>
      </c>
      <c r="Y57" s="2"/>
      <c r="Z57" s="7">
        <f t="shared" si="44"/>
        <v>-0.30772753966541017</v>
      </c>
    </row>
    <row r="58" spans="1:26" s="27" customFormat="1" outlineLevel="1" collapsed="1" x14ac:dyDescent="0.25">
      <c r="A58" s="25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0</v>
      </c>
      <c r="E58" s="1"/>
      <c r="F58" s="5">
        <f t="shared" si="37"/>
        <v>0</v>
      </c>
      <c r="G58" s="1"/>
      <c r="H58" s="1">
        <f>SUM(OSRRefH22_11x_0)</f>
        <v>121.86</v>
      </c>
      <c r="I58" s="1"/>
      <c r="J58" s="5">
        <f t="shared" si="38"/>
        <v>3.6337276481468619E-3</v>
      </c>
      <c r="K58" s="1"/>
      <c r="L58" s="1">
        <f t="shared" si="39"/>
        <v>-121.86</v>
      </c>
      <c r="M58" s="1"/>
      <c r="N58" s="5">
        <f t="shared" si="40"/>
        <v>-1</v>
      </c>
      <c r="O58" s="13"/>
      <c r="P58" s="1">
        <f>SUM(OSRRefP22_11x_0)</f>
        <v>508.6</v>
      </c>
      <c r="Q58" s="1"/>
      <c r="R58" s="5">
        <f t="shared" si="41"/>
        <v>8.5922141902833175E-4</v>
      </c>
      <c r="S58" s="1"/>
      <c r="T58" s="1">
        <f>SUM(OSRRefT22_11x_0)</f>
        <v>636.01</v>
      </c>
      <c r="U58" s="1"/>
      <c r="V58" s="5">
        <f t="shared" si="42"/>
        <v>7.9715831066961825E-4</v>
      </c>
      <c r="W58" s="1"/>
      <c r="X58" s="1">
        <f t="shared" si="43"/>
        <v>-127.40999999999997</v>
      </c>
      <c r="Y58" s="1"/>
      <c r="Z58" s="5">
        <f t="shared" si="44"/>
        <v>-0.20032703888303638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7"/>
        <v>0</v>
      </c>
      <c r="G59" s="2"/>
      <c r="H59" s="6">
        <v>121.86</v>
      </c>
      <c r="I59" s="2"/>
      <c r="J59" s="7">
        <f t="shared" si="38"/>
        <v>3.6337276481468619E-3</v>
      </c>
      <c r="K59" s="2"/>
      <c r="L59" s="6">
        <f t="shared" si="39"/>
        <v>-121.86</v>
      </c>
      <c r="M59" s="2"/>
      <c r="N59" s="7">
        <f t="shared" si="40"/>
        <v>-1</v>
      </c>
      <c r="O59" s="11"/>
      <c r="P59" s="6">
        <v>508.6</v>
      </c>
      <c r="Q59" s="2"/>
      <c r="R59" s="7">
        <f t="shared" si="41"/>
        <v>8.5922141902833175E-4</v>
      </c>
      <c r="S59" s="2"/>
      <c r="T59" s="6">
        <v>636.01</v>
      </c>
      <c r="U59" s="2"/>
      <c r="V59" s="7">
        <f t="shared" si="42"/>
        <v>7.9715831066961825E-4</v>
      </c>
      <c r="W59" s="2"/>
      <c r="X59" s="6">
        <f t="shared" si="43"/>
        <v>-127.40999999999997</v>
      </c>
      <c r="Y59" s="2"/>
      <c r="Z59" s="7">
        <f t="shared" si="44"/>
        <v>-0.20032703888303638</v>
      </c>
    </row>
    <row r="60" spans="1:26" s="27" customFormat="1" outlineLevel="1" collapsed="1" x14ac:dyDescent="0.25">
      <c r="A60" s="25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0</v>
      </c>
      <c r="E60" s="1"/>
      <c r="F60" s="5">
        <f t="shared" si="37"/>
        <v>0</v>
      </c>
      <c r="G60" s="1"/>
      <c r="H60" s="1">
        <f>SUM(OSRRefH22_12x_0)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SUM(OSRRefP22_12x_0)</f>
        <v>122.72</v>
      </c>
      <c r="Q60" s="1"/>
      <c r="R60" s="5">
        <f t="shared" si="41"/>
        <v>2.0732137739511771E-4</v>
      </c>
      <c r="S60" s="1"/>
      <c r="T60" s="1">
        <f>SUM(OSRRefT22_12x_0)</f>
        <v>122.72</v>
      </c>
      <c r="U60" s="1"/>
      <c r="V60" s="5">
        <f t="shared" si="42"/>
        <v>1.5381404047951376E-4</v>
      </c>
      <c r="W60" s="1"/>
      <c r="X60" s="1">
        <f t="shared" si="43"/>
        <v>0</v>
      </c>
      <c r="Y60" s="1"/>
      <c r="Z60" s="5">
        <f t="shared" si="44"/>
        <v>0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122.72</v>
      </c>
      <c r="Q61" s="2"/>
      <c r="R61" s="7">
        <f t="shared" si="41"/>
        <v>2.0732137739511771E-4</v>
      </c>
      <c r="S61" s="2"/>
      <c r="T61" s="6">
        <v>122.72</v>
      </c>
      <c r="U61" s="2"/>
      <c r="V61" s="7">
        <f t="shared" si="42"/>
        <v>1.5381404047951376E-4</v>
      </c>
      <c r="W61" s="2"/>
      <c r="X61" s="6">
        <f t="shared" si="43"/>
        <v>0</v>
      </c>
      <c r="Y61" s="2"/>
      <c r="Z61" s="7">
        <f t="shared" si="44"/>
        <v>0</v>
      </c>
    </row>
    <row r="62" spans="1:26" s="27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47.1</v>
      </c>
      <c r="E62" s="1"/>
      <c r="F62" s="5">
        <f t="shared" si="37"/>
        <v>0</v>
      </c>
      <c r="G62" s="1"/>
      <c r="H62" s="1">
        <f>SUM(OSRRefH22_13x_0)</f>
        <v>235.32999999999998</v>
      </c>
      <c r="I62" s="1"/>
      <c r="J62" s="5">
        <f t="shared" si="38"/>
        <v>7.0172749666699563E-3</v>
      </c>
      <c r="K62" s="1"/>
      <c r="L62" s="1">
        <f t="shared" si="39"/>
        <v>-188.23</v>
      </c>
      <c r="M62" s="1"/>
      <c r="N62" s="5">
        <f t="shared" si="40"/>
        <v>-0.79985552203289001</v>
      </c>
      <c r="O62" s="13"/>
      <c r="P62" s="1">
        <f>SUM(OSRRefP22_13x_0)</f>
        <v>11646.3</v>
      </c>
      <c r="Q62" s="1"/>
      <c r="R62" s="5">
        <f t="shared" si="41"/>
        <v>1.9675089289087021E-2</v>
      </c>
      <c r="S62" s="1"/>
      <c r="T62" s="1">
        <f>SUM(OSRRefT22_13x_0)</f>
        <v>10941.58</v>
      </c>
      <c r="U62" s="1"/>
      <c r="V62" s="5">
        <f t="shared" si="42"/>
        <v>1.3713890393007156E-2</v>
      </c>
      <c r="W62" s="1"/>
      <c r="X62" s="1">
        <f t="shared" si="43"/>
        <v>704.71999999999935</v>
      </c>
      <c r="Y62" s="1"/>
      <c r="Z62" s="5">
        <f t="shared" si="44"/>
        <v>6.4407517013082144E-2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>
        <v>47.1</v>
      </c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47.1</v>
      </c>
      <c r="M63" s="2"/>
      <c r="N63" s="7">
        <f t="shared" si="40"/>
        <v>0</v>
      </c>
      <c r="O63" s="11"/>
      <c r="P63" s="6">
        <v>315.58999999999997</v>
      </c>
      <c r="Q63" s="2"/>
      <c r="R63" s="7">
        <f t="shared" si="41"/>
        <v>5.3315314123309322E-4</v>
      </c>
      <c r="S63" s="2"/>
      <c r="T63" s="6">
        <v>182.23</v>
      </c>
      <c r="U63" s="2"/>
      <c r="V63" s="7">
        <f t="shared" si="42"/>
        <v>2.2840231907253741E-4</v>
      </c>
      <c r="W63" s="2"/>
      <c r="X63" s="6">
        <f t="shared" si="43"/>
        <v>133.35999999999999</v>
      </c>
      <c r="Y63" s="2"/>
      <c r="Z63" s="7">
        <f t="shared" si="44"/>
        <v>0.73182242221368599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2024.76</v>
      </c>
      <c r="Q64" s="2"/>
      <c r="R64" s="7">
        <f t="shared" si="41"/>
        <v>3.4206000007703597E-3</v>
      </c>
      <c r="S64" s="2"/>
      <c r="T64" s="6">
        <v>2715.8</v>
      </c>
      <c r="U64" s="2"/>
      <c r="V64" s="7">
        <f t="shared" si="42"/>
        <v>3.4039127374043635E-3</v>
      </c>
      <c r="W64" s="2"/>
      <c r="X64" s="6">
        <f t="shared" si="43"/>
        <v>-691.04000000000019</v>
      </c>
      <c r="Y64" s="2"/>
      <c r="Z64" s="7">
        <f t="shared" si="44"/>
        <v>-0.25445172693129103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37"/>
        <v>0</v>
      </c>
      <c r="G65" s="2"/>
      <c r="H65" s="6">
        <v>102.21</v>
      </c>
      <c r="I65" s="2"/>
      <c r="J65" s="7">
        <f t="shared" si="38"/>
        <v>3.047786828467838E-3</v>
      </c>
      <c r="K65" s="2"/>
      <c r="L65" s="6">
        <f t="shared" si="39"/>
        <v>-102.21</v>
      </c>
      <c r="M65" s="2"/>
      <c r="N65" s="7">
        <f t="shared" si="40"/>
        <v>-1</v>
      </c>
      <c r="O65" s="11"/>
      <c r="P65" s="6">
        <v>1499.6</v>
      </c>
      <c r="Q65" s="2"/>
      <c r="R65" s="7">
        <f t="shared" si="41"/>
        <v>2.5334023593686318E-3</v>
      </c>
      <c r="S65" s="2"/>
      <c r="T65" s="6">
        <v>595.09</v>
      </c>
      <c r="U65" s="2"/>
      <c r="V65" s="7">
        <f t="shared" si="42"/>
        <v>7.4587025219160564E-4</v>
      </c>
      <c r="W65" s="2"/>
      <c r="X65" s="6">
        <f t="shared" si="43"/>
        <v>904.50999999999988</v>
      </c>
      <c r="Y65" s="2"/>
      <c r="Z65" s="7">
        <f t="shared" si="44"/>
        <v>1.5199549647952408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37"/>
        <v>0</v>
      </c>
      <c r="G66" s="2"/>
      <c r="H66" s="6">
        <v>89.51</v>
      </c>
      <c r="I66" s="2"/>
      <c r="J66" s="7">
        <f t="shared" si="38"/>
        <v>2.6690871638406829E-3</v>
      </c>
      <c r="K66" s="2"/>
      <c r="L66" s="6">
        <f t="shared" si="39"/>
        <v>-89.51</v>
      </c>
      <c r="M66" s="2"/>
      <c r="N66" s="7">
        <f t="shared" si="40"/>
        <v>-1</v>
      </c>
      <c r="O66" s="11"/>
      <c r="P66" s="6">
        <v>3812.89</v>
      </c>
      <c r="Q66" s="2"/>
      <c r="R66" s="7">
        <f t="shared" si="41"/>
        <v>6.4414407322039629E-3</v>
      </c>
      <c r="S66" s="2"/>
      <c r="T66" s="6">
        <v>4454.49</v>
      </c>
      <c r="U66" s="2"/>
      <c r="V66" s="7">
        <f t="shared" si="42"/>
        <v>5.5831413394360268E-3</v>
      </c>
      <c r="W66" s="2"/>
      <c r="X66" s="6">
        <f t="shared" si="43"/>
        <v>-641.59999999999991</v>
      </c>
      <c r="Y66" s="2"/>
      <c r="Z66" s="7">
        <f t="shared" si="44"/>
        <v>-0.14403444614310504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181.92</v>
      </c>
      <c r="Q67" s="2"/>
      <c r="R67" s="7">
        <f t="shared" si="41"/>
        <v>3.0733299360919016E-4</v>
      </c>
      <c r="S67" s="2"/>
      <c r="T67" s="6"/>
      <c r="U67" s="2"/>
      <c r="V67" s="7">
        <f t="shared" si="42"/>
        <v>0</v>
      </c>
      <c r="W67" s="2"/>
      <c r="X67" s="6">
        <f t="shared" si="43"/>
        <v>181.92</v>
      </c>
      <c r="Y67" s="2"/>
      <c r="Z67" s="7">
        <f t="shared" si="44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7"/>
        <v>0</v>
      </c>
      <c r="G68" s="2"/>
      <c r="H68" s="6">
        <v>43.61</v>
      </c>
      <c r="I68" s="2"/>
      <c r="J68" s="7">
        <f t="shared" si="38"/>
        <v>1.3004009743614363E-3</v>
      </c>
      <c r="K68" s="2"/>
      <c r="L68" s="6">
        <f t="shared" si="39"/>
        <v>-43.61</v>
      </c>
      <c r="M68" s="2"/>
      <c r="N68" s="7">
        <f t="shared" si="40"/>
        <v>-1</v>
      </c>
      <c r="O68" s="11"/>
      <c r="P68" s="6">
        <v>3638.57</v>
      </c>
      <c r="Q68" s="2"/>
      <c r="R68" s="7">
        <f t="shared" si="41"/>
        <v>6.1469470677033367E-3</v>
      </c>
      <c r="S68" s="2"/>
      <c r="T68" s="6">
        <v>2506.59</v>
      </c>
      <c r="U68" s="2"/>
      <c r="V68" s="7">
        <f t="shared" si="42"/>
        <v>3.141694391505414E-3</v>
      </c>
      <c r="W68" s="2"/>
      <c r="X68" s="6">
        <f t="shared" si="43"/>
        <v>1131.98</v>
      </c>
      <c r="Y68" s="2"/>
      <c r="Z68" s="7">
        <f t="shared" si="44"/>
        <v>0.45160157823975999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172.97</v>
      </c>
      <c r="Q69" s="2"/>
      <c r="R69" s="7">
        <f t="shared" si="41"/>
        <v>2.9221299419844777E-4</v>
      </c>
      <c r="S69" s="2"/>
      <c r="T69" s="6">
        <v>487.38</v>
      </c>
      <c r="U69" s="2"/>
      <c r="V69" s="7">
        <f t="shared" si="42"/>
        <v>6.1086935339720841E-4</v>
      </c>
      <c r="W69" s="2"/>
      <c r="X69" s="6">
        <f t="shared" si="43"/>
        <v>-314.40999999999997</v>
      </c>
      <c r="Y69" s="2"/>
      <c r="Z69" s="7">
        <f t="shared" si="44"/>
        <v>-0.6451023841766178</v>
      </c>
    </row>
    <row r="70" spans="1:26" s="27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150</v>
      </c>
      <c r="E70" s="1"/>
      <c r="F70" s="5">
        <f t="shared" ref="F70:F73" si="45">IF(D$12=0,0,D70/D$12)</f>
        <v>0</v>
      </c>
      <c r="G70" s="1"/>
      <c r="H70" s="1">
        <f>SUM(OSRRefH22_14x_0)</f>
        <v>50</v>
      </c>
      <c r="I70" s="1"/>
      <c r="J70" s="5">
        <f t="shared" ref="J70:J73" si="46">IF(H$12=0,0,H70/H$12)</f>
        <v>1.4909435615242334E-3</v>
      </c>
      <c r="K70" s="1"/>
      <c r="L70" s="1">
        <f t="shared" ref="L70:L73" si="47">+D70-H70</f>
        <v>100</v>
      </c>
      <c r="M70" s="1"/>
      <c r="N70" s="5">
        <f t="shared" ref="N70:N73" si="48">IF(H70=0,0,L70/H70)</f>
        <v>2</v>
      </c>
      <c r="O70" s="13"/>
      <c r="P70" s="1">
        <f>SUM(OSRRefP22_14x_0)</f>
        <v>105</v>
      </c>
      <c r="Q70" s="1"/>
      <c r="R70" s="5">
        <f t="shared" ref="R70:R73" si="49">IF(P$12=0,0,P70/P$12)</f>
        <v>1.7738546794725685E-4</v>
      </c>
      <c r="S70" s="1"/>
      <c r="T70" s="1">
        <f>SUM(OSRRefT22_14x_0)</f>
        <v>550</v>
      </c>
      <c r="U70" s="1"/>
      <c r="V70" s="5">
        <f t="shared" ref="V70:V73" si="50">IF(T$12=0,0,T70/T$12)</f>
        <v>6.8935562470447012E-4</v>
      </c>
      <c r="W70" s="1"/>
      <c r="X70" s="1">
        <f t="shared" ref="X70:X73" si="51">+P70-T70</f>
        <v>-445</v>
      </c>
      <c r="Y70" s="1"/>
      <c r="Z70" s="5">
        <f t="shared" ref="Z70:Z73" si="52">IF(T70=0,0,X70/T70)</f>
        <v>-0.80909090909090908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>
        <v>150</v>
      </c>
      <c r="E71" s="2"/>
      <c r="F71" s="7">
        <f t="shared" si="45"/>
        <v>0</v>
      </c>
      <c r="G71" s="2"/>
      <c r="H71" s="6">
        <v>50</v>
      </c>
      <c r="I71" s="2"/>
      <c r="J71" s="7">
        <f t="shared" si="46"/>
        <v>1.4909435615242334E-3</v>
      </c>
      <c r="K71" s="2"/>
      <c r="L71" s="6">
        <f t="shared" si="47"/>
        <v>100</v>
      </c>
      <c r="M71" s="2"/>
      <c r="N71" s="7">
        <f t="shared" si="48"/>
        <v>2</v>
      </c>
      <c r="O71" s="11"/>
      <c r="P71" s="6">
        <v>105</v>
      </c>
      <c r="Q71" s="2"/>
      <c r="R71" s="7">
        <f t="shared" si="49"/>
        <v>1.7738546794725685E-4</v>
      </c>
      <c r="S71" s="2"/>
      <c r="T71" s="6">
        <v>550</v>
      </c>
      <c r="U71" s="2"/>
      <c r="V71" s="7">
        <f t="shared" si="50"/>
        <v>6.8935562470447012E-4</v>
      </c>
      <c r="W71" s="2"/>
      <c r="X71" s="6">
        <f t="shared" si="51"/>
        <v>-445</v>
      </c>
      <c r="Y71" s="2"/>
      <c r="Z71" s="7">
        <f t="shared" si="52"/>
        <v>-0.80909090909090908</v>
      </c>
    </row>
    <row r="72" spans="1:26" s="27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5"/>
        <v>0</v>
      </c>
      <c r="G72" s="1"/>
      <c r="H72" s="1">
        <f>SUM(OSRRefH22_15x_0)</f>
        <v>0</v>
      </c>
      <c r="I72" s="1"/>
      <c r="J72" s="5">
        <f t="shared" si="46"/>
        <v>0</v>
      </c>
      <c r="K72" s="1"/>
      <c r="L72" s="1">
        <f t="shared" si="47"/>
        <v>0</v>
      </c>
      <c r="M72" s="1"/>
      <c r="N72" s="5">
        <f t="shared" si="48"/>
        <v>0</v>
      </c>
      <c r="O72" s="13"/>
      <c r="P72" s="1">
        <f>SUM(OSRRefP22_15x_0)</f>
        <v>96</v>
      </c>
      <c r="Q72" s="1"/>
      <c r="R72" s="5">
        <f t="shared" si="49"/>
        <v>1.6218099926606342E-4</v>
      </c>
      <c r="S72" s="1"/>
      <c r="T72" s="1">
        <f>SUM(OSRRefT22_15x_0)</f>
        <v>194.51</v>
      </c>
      <c r="U72" s="1"/>
      <c r="V72" s="5">
        <f t="shared" si="50"/>
        <v>2.4379375011139359E-4</v>
      </c>
      <c r="W72" s="1"/>
      <c r="X72" s="1">
        <f t="shared" si="51"/>
        <v>-98.509999999999991</v>
      </c>
      <c r="Y72" s="1"/>
      <c r="Z72" s="5">
        <f t="shared" si="52"/>
        <v>-0.50645211043134031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96</v>
      </c>
      <c r="Q73" s="2"/>
      <c r="R73" s="7">
        <f t="shared" si="49"/>
        <v>1.6218099926606342E-4</v>
      </c>
      <c r="S73" s="2"/>
      <c r="T73" s="6">
        <v>194.51</v>
      </c>
      <c r="U73" s="2"/>
      <c r="V73" s="7">
        <f t="shared" si="50"/>
        <v>2.4379375011139359E-4</v>
      </c>
      <c r="W73" s="2"/>
      <c r="X73" s="6">
        <f t="shared" si="51"/>
        <v>-98.509999999999991</v>
      </c>
      <c r="Y73" s="2"/>
      <c r="Z73" s="7">
        <f t="shared" si="52"/>
        <v>-0.50645211043134031</v>
      </c>
    </row>
    <row r="74" spans="1:26" s="58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1">
        <f>+D20-D22+D75</f>
        <v>-14149.119999999999</v>
      </c>
      <c r="E77" s="14"/>
      <c r="F77" s="20">
        <f>IF(D$12=0,0,D77/D$12)</f>
        <v>0</v>
      </c>
      <c r="G77" s="14"/>
      <c r="H77" s="21">
        <f>+H20-H22+H75</f>
        <v>-25750.060000000005</v>
      </c>
      <c r="I77" s="14"/>
      <c r="J77" s="20">
        <f>IF(H$12=0,0,H77/H$12)</f>
        <v>-0.76783772331725419</v>
      </c>
      <c r="K77" s="16"/>
      <c r="L77" s="21">
        <f>+D77-H77</f>
        <v>11600.940000000006</v>
      </c>
      <c r="M77" s="16"/>
      <c r="N77" s="20">
        <f>IF(H77=0,0,L77/H77)</f>
        <v>-0.45052089199015471</v>
      </c>
      <c r="O77" s="28"/>
      <c r="P77" s="21">
        <f>+P20-P22+P75</f>
        <v>50044.239999999991</v>
      </c>
      <c r="Q77" s="14"/>
      <c r="R77" s="20">
        <f>IF(P$12=0,0,P77/P$12)</f>
        <v>8.4544008861569792E-2</v>
      </c>
      <c r="S77" s="14"/>
      <c r="T77" s="21">
        <f>+T20-T22+T75</f>
        <v>98659.38</v>
      </c>
      <c r="U77" s="14"/>
      <c r="V77" s="20">
        <f>IF(T$12=0,0,T77/T$12)</f>
        <v>0.12365708824155583</v>
      </c>
      <c r="W77" s="16"/>
      <c r="X77" s="21">
        <f>+P77-T77</f>
        <v>-48615.140000000014</v>
      </c>
      <c r="Y77" s="16"/>
      <c r="Z77" s="20">
        <f>IF(T77=0,0,X77/T77)</f>
        <v>-0.49275740431371057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2884.34</v>
      </c>
      <c r="E79" s="4"/>
      <c r="F79" s="12">
        <f>IF(D$12=0,0,D79/D$12)</f>
        <v>0</v>
      </c>
      <c r="G79" s="4"/>
      <c r="H79" s="4">
        <v>3531.03</v>
      </c>
      <c r="I79" s="4"/>
      <c r="J79" s="12">
        <f>IF(H$12=0,0,H79/H$12)</f>
        <v>0.10529132888097829</v>
      </c>
      <c r="K79" s="4"/>
      <c r="L79" s="4">
        <f>+D79-H79</f>
        <v>-646.69000000000005</v>
      </c>
      <c r="M79" s="4"/>
      <c r="N79" s="12">
        <f>IF(H79=0,0,L79/H79)</f>
        <v>-0.18314486141437486</v>
      </c>
      <c r="O79" s="10"/>
      <c r="P79" s="4">
        <v>70093.900000000009</v>
      </c>
      <c r="Q79" s="4"/>
      <c r="R79" s="12">
        <f>IF(P$12=0,0,P79/P$12)</f>
        <v>0.1184156119214117</v>
      </c>
      <c r="S79" s="4"/>
      <c r="T79" s="4">
        <v>82987.67</v>
      </c>
      <c r="U79" s="4"/>
      <c r="V79" s="12">
        <f>IF(T$12=0,0,T79/T$12)</f>
        <v>0.10401457653748801</v>
      </c>
      <c r="W79" s="4"/>
      <c r="X79" s="4">
        <f>+P79-T79</f>
        <v>-12893.76999999999</v>
      </c>
      <c r="Y79" s="4"/>
      <c r="Z79" s="12">
        <f>IF(T79=0,0,X79/T79)</f>
        <v>-0.15536970733122149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5">
        <f>+D77-D79</f>
        <v>-17033.46</v>
      </c>
      <c r="E81" s="14"/>
      <c r="F81" s="32">
        <f>IF(D$12=0,0,D81/D$12)</f>
        <v>0</v>
      </c>
      <c r="G81" s="14"/>
      <c r="H81" s="35">
        <f>+H77-H79</f>
        <v>-29281.090000000004</v>
      </c>
      <c r="I81" s="14"/>
      <c r="J81" s="32">
        <f>IF(H$12=0,0,H81/H$12)</f>
        <v>-0.87312905219823245</v>
      </c>
      <c r="K81" s="16"/>
      <c r="L81" s="35">
        <f>D81-H81</f>
        <v>12247.630000000005</v>
      </c>
      <c r="M81" s="16"/>
      <c r="N81" s="32">
        <f>IF(H81=0,0,L81/H81)</f>
        <v>-0.41827780318287344</v>
      </c>
      <c r="O81" s="28"/>
      <c r="P81" s="35">
        <f>+P77-P79</f>
        <v>-20049.660000000018</v>
      </c>
      <c r="Q81" s="14"/>
      <c r="R81" s="32">
        <f>IF(P$12=0,0,P81/P$12)</f>
        <v>-3.3871603059841916E-2</v>
      </c>
      <c r="S81" s="14"/>
      <c r="T81" s="35">
        <f>+T77-T79</f>
        <v>15671.710000000006</v>
      </c>
      <c r="U81" s="14"/>
      <c r="V81" s="32">
        <f>IF(T$12=0,0,T81/T$12)</f>
        <v>1.9642511704067809E-2</v>
      </c>
      <c r="W81" s="16"/>
      <c r="X81" s="35">
        <f>P81-T81</f>
        <v>-35721.370000000024</v>
      </c>
      <c r="Y81" s="16"/>
      <c r="Z81" s="32">
        <f>IF(T81=0,0,X81/T81)</f>
        <v>-2.2793536889082309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6">
        <f>SUM(D81:D83)</f>
        <v>-17033.46</v>
      </c>
      <c r="E84" s="14"/>
      <c r="F84" s="33">
        <f>IF(D$12=0,0,D84/D$12)</f>
        <v>0</v>
      </c>
      <c r="G84" s="14"/>
      <c r="H84" s="36">
        <f>SUM(H81:H83)</f>
        <v>-29281.090000000004</v>
      </c>
      <c r="I84" s="14"/>
      <c r="J84" s="33">
        <f>IF(H$12=0,0,H84/H$12)</f>
        <v>-0.87312905219823245</v>
      </c>
      <c r="K84" s="16"/>
      <c r="L84" s="36">
        <f>+D84-H84</f>
        <v>12247.630000000005</v>
      </c>
      <c r="M84" s="16"/>
      <c r="N84" s="33">
        <f>IF(H84=0,0,L84/H84)</f>
        <v>-0.41827780318287344</v>
      </c>
      <c r="O84" s="28"/>
      <c r="P84" s="36">
        <f>SUM(P81:P83)</f>
        <v>-20049.660000000018</v>
      </c>
      <c r="Q84" s="14"/>
      <c r="R84" s="33">
        <f>IF(P$12=0,0,P84/P$12)</f>
        <v>-3.3871603059841916E-2</v>
      </c>
      <c r="S84" s="14"/>
      <c r="T84" s="36">
        <f>SUM(T81:T83)</f>
        <v>15671.710000000006</v>
      </c>
      <c r="U84" s="14"/>
      <c r="V84" s="33">
        <f>IF(T$12=0,0,T84/T$12)</f>
        <v>1.9642511704067809E-2</v>
      </c>
      <c r="W84" s="16"/>
      <c r="X84" s="36">
        <f>+P84-T84</f>
        <v>-35721.370000000024</v>
      </c>
      <c r="Y84" s="16"/>
      <c r="Z84" s="33">
        <f>IF(T84=0,0,X84/T84)</f>
        <v>-2.2793536889082309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5">
        <v>43992.375939583333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2" t="s">
        <v>313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3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58297.55</v>
      </c>
      <c r="I12" s="4"/>
      <c r="J12" s="12"/>
      <c r="K12" s="4"/>
      <c r="L12" s="4">
        <f t="shared" ref="L12:L14" si="0">+D12-H12</f>
        <v>-58297.55</v>
      </c>
      <c r="M12" s="4"/>
      <c r="N12" s="12">
        <f t="shared" ref="N12:N14" si="1">IF(H12=0,0,L12/H12)</f>
        <v>-1</v>
      </c>
      <c r="O12" s="10"/>
      <c r="P12" s="4">
        <f>SUM(OSRRefP13x_0)</f>
        <v>651784.93999999994</v>
      </c>
      <c r="Q12" s="4"/>
      <c r="R12" s="12"/>
      <c r="S12" s="4"/>
      <c r="T12" s="4">
        <f>SUM(OSRRefT13x_0)</f>
        <v>898640.43</v>
      </c>
      <c r="U12" s="4"/>
      <c r="V12" s="12"/>
      <c r="W12" s="4"/>
      <c r="X12" s="4">
        <f t="shared" ref="X12:X14" si="2">+P12-T12</f>
        <v>-246855.49000000011</v>
      </c>
      <c r="Y12" s="4"/>
      <c r="Z12" s="12">
        <f t="shared" ref="Z12:Z14" si="3">IF(T12=0,0,X12/T12)</f>
        <v>-0.27469884701270353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--23444.39</f>
        <v>23444.39</v>
      </c>
      <c r="I13" s="2"/>
      <c r="J13" s="19"/>
      <c r="K13" s="2"/>
      <c r="L13" s="2">
        <f t="shared" si="0"/>
        <v>-23444.39</v>
      </c>
      <c r="M13" s="2"/>
      <c r="N13" s="19">
        <f t="shared" si="1"/>
        <v>-1</v>
      </c>
      <c r="O13" s="11"/>
      <c r="P13" s="2">
        <f>--203771.51</f>
        <v>203771.51</v>
      </c>
      <c r="Q13" s="2"/>
      <c r="R13" s="19"/>
      <c r="S13" s="2"/>
      <c r="T13" s="2">
        <f>--293413.75</f>
        <v>293413.75</v>
      </c>
      <c r="U13" s="2"/>
      <c r="V13" s="19"/>
      <c r="W13" s="2"/>
      <c r="X13" s="2">
        <f t="shared" si="2"/>
        <v>-89642.239999999991</v>
      </c>
      <c r="Y13" s="2"/>
      <c r="Z13" s="19">
        <f t="shared" si="3"/>
        <v>-0.305514789269419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--34853.16</f>
        <v>34853.160000000003</v>
      </c>
      <c r="I14" s="2"/>
      <c r="J14" s="19"/>
      <c r="K14" s="2"/>
      <c r="L14" s="2">
        <f t="shared" si="0"/>
        <v>-34853.160000000003</v>
      </c>
      <c r="M14" s="2"/>
      <c r="N14" s="19">
        <f t="shared" si="1"/>
        <v>-1</v>
      </c>
      <c r="O14" s="11"/>
      <c r="P14" s="2">
        <f>--448013.43</f>
        <v>448013.43</v>
      </c>
      <c r="Q14" s="2"/>
      <c r="R14" s="19"/>
      <c r="S14" s="2"/>
      <c r="T14" s="2">
        <f>--605226.68</f>
        <v>605226.68000000005</v>
      </c>
      <c r="U14" s="2"/>
      <c r="V14" s="19"/>
      <c r="W14" s="2"/>
      <c r="X14" s="2">
        <f t="shared" si="2"/>
        <v>-157213.25000000006</v>
      </c>
      <c r="Y14" s="2"/>
      <c r="Z14" s="19">
        <f t="shared" si="3"/>
        <v>-0.25975928556222944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19714.080000000002</v>
      </c>
      <c r="I16" s="4"/>
      <c r="J16" s="12">
        <f t="shared" ref="J16:J18" si="6">IF(H$12=0,0,H16/H$12)</f>
        <v>0.33816309604777561</v>
      </c>
      <c r="K16" s="4"/>
      <c r="L16" s="4">
        <f t="shared" ref="L16:L18" si="7">+D16-H16</f>
        <v>-19714.080000000002</v>
      </c>
      <c r="M16" s="4"/>
      <c r="N16" s="12">
        <f t="shared" ref="N16:N18" si="8">IF(H16=0,0,L16/H16)</f>
        <v>-1</v>
      </c>
      <c r="O16" s="10"/>
      <c r="P16" s="4">
        <f>SUM(OSRRefP16x_0)</f>
        <v>216517.97999999998</v>
      </c>
      <c r="Q16" s="4"/>
      <c r="R16" s="12">
        <f t="shared" ref="R16:R18" si="9">IF(P$12=0,0,P16/P$12)</f>
        <v>0.33219236394139451</v>
      </c>
      <c r="S16" s="4"/>
      <c r="T16" s="4">
        <f>SUM(OSRRefT16x_0)</f>
        <v>293884.71999999997</v>
      </c>
      <c r="U16" s="4"/>
      <c r="V16" s="12">
        <f t="shared" ref="V16:V18" si="10">IF(T$12=0,0,T16/T$12)</f>
        <v>0.32703260413066432</v>
      </c>
      <c r="W16" s="4"/>
      <c r="X16" s="4">
        <f t="shared" ref="X16:X18" si="11">+P16-T16</f>
        <v>-77366.739999999991</v>
      </c>
      <c r="Y16" s="4"/>
      <c r="Z16" s="12">
        <f t="shared" ref="Z16:Z18" si="12">IF(T16=0,0,X16/T16)</f>
        <v>-0.26325540164184108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19608.080000000002</v>
      </c>
      <c r="I17" s="2"/>
      <c r="J17" s="19">
        <f t="shared" si="6"/>
        <v>0.33634483781908503</v>
      </c>
      <c r="K17" s="2"/>
      <c r="L17" s="2">
        <f t="shared" si="7"/>
        <v>-19608.080000000002</v>
      </c>
      <c r="M17" s="2"/>
      <c r="N17" s="19">
        <f t="shared" si="8"/>
        <v>-1</v>
      </c>
      <c r="O17" s="11"/>
      <c r="P17" s="2">
        <v>214473.97999999998</v>
      </c>
      <c r="Q17" s="2"/>
      <c r="R17" s="19">
        <f t="shared" si="9"/>
        <v>0.32905636021599394</v>
      </c>
      <c r="S17" s="2"/>
      <c r="T17" s="2">
        <v>286210.71999999997</v>
      </c>
      <c r="U17" s="2"/>
      <c r="V17" s="19">
        <f t="shared" si="10"/>
        <v>0.31849303730970568</v>
      </c>
      <c r="W17" s="2"/>
      <c r="X17" s="2">
        <f t="shared" si="11"/>
        <v>-71736.739999999991</v>
      </c>
      <c r="Y17" s="2"/>
      <c r="Z17" s="19">
        <f t="shared" si="12"/>
        <v>-0.25064309261372181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106</v>
      </c>
      <c r="I18" s="2"/>
      <c r="J18" s="19">
        <f t="shared" si="6"/>
        <v>1.8182582286905709E-3</v>
      </c>
      <c r="K18" s="2"/>
      <c r="L18" s="2">
        <f t="shared" si="7"/>
        <v>-106</v>
      </c>
      <c r="M18" s="2"/>
      <c r="N18" s="19">
        <f t="shared" si="8"/>
        <v>-1</v>
      </c>
      <c r="O18" s="11"/>
      <c r="P18" s="2">
        <v>2044</v>
      </c>
      <c r="Q18" s="2"/>
      <c r="R18" s="19">
        <f t="shared" si="9"/>
        <v>3.1360037254005903E-3</v>
      </c>
      <c r="S18" s="2"/>
      <c r="T18" s="2">
        <v>7674</v>
      </c>
      <c r="U18" s="2"/>
      <c r="V18" s="19">
        <f t="shared" si="10"/>
        <v>8.5395668209586328E-3</v>
      </c>
      <c r="W18" s="2"/>
      <c r="X18" s="2">
        <f t="shared" si="11"/>
        <v>-5630</v>
      </c>
      <c r="Y18" s="2"/>
      <c r="Z18" s="19">
        <f t="shared" si="12"/>
        <v>-0.73364607766484236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38583.47</v>
      </c>
      <c r="I20" s="14"/>
      <c r="J20" s="20">
        <f>IF(H$12=0,0,H20/H$12)</f>
        <v>0.66183690395222439</v>
      </c>
      <c r="K20" s="16"/>
      <c r="L20" s="21">
        <f>+D20-H20</f>
        <v>-38583.47</v>
      </c>
      <c r="M20" s="16"/>
      <c r="N20" s="20">
        <f>IF(H20=0,0,L20/H20)</f>
        <v>-1</v>
      </c>
      <c r="O20" s="28"/>
      <c r="P20" s="21">
        <f>P12-P16</f>
        <v>435266.95999999996</v>
      </c>
      <c r="Q20" s="14"/>
      <c r="R20" s="20">
        <f>IF(P$12=0,0,P20/P$12)</f>
        <v>0.66780763605860549</v>
      </c>
      <c r="S20" s="14"/>
      <c r="T20" s="21">
        <f>T12-T16</f>
        <v>604755.71000000008</v>
      </c>
      <c r="U20" s="14"/>
      <c r="V20" s="20">
        <f>IF(T$12=0,0,T20/T$12)</f>
        <v>0.67296739586933574</v>
      </c>
      <c r="W20" s="16"/>
      <c r="X20" s="21">
        <f>+P20-T20</f>
        <v>-169488.75000000012</v>
      </c>
      <c r="Y20" s="16"/>
      <c r="Z20" s="20">
        <f>IF(T20=0,0,X20/T20)</f>
        <v>-0.28025985897677608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33822.86</v>
      </c>
      <c r="E22" s="22"/>
      <c r="F22" s="31">
        <f t="shared" ref="F22:F31" si="13">IF(D$12=0,0,D22/D$12)</f>
        <v>0</v>
      </c>
      <c r="G22" s="22"/>
      <c r="H22" s="22">
        <f>SUM(OSRRefH22x_0)</f>
        <v>70392.510000000024</v>
      </c>
      <c r="I22" s="22"/>
      <c r="J22" s="31">
        <f t="shared" ref="J22:J31" si="14">IF(H$12=0,0,H22/H$12)</f>
        <v>1.2074694391102203</v>
      </c>
      <c r="K22" s="4"/>
      <c r="L22" s="22">
        <f t="shared" ref="L22:L31" si="15">+D22-H22</f>
        <v>-36569.650000000023</v>
      </c>
      <c r="M22" s="4"/>
      <c r="N22" s="31">
        <f t="shared" ref="N22:N31" si="16">IF(H22=0,0,L22/H22)</f>
        <v>-0.51951052746947102</v>
      </c>
      <c r="O22" s="10"/>
      <c r="P22" s="22">
        <f>SUM(OSRRefP22x_0)</f>
        <v>709790.53000000014</v>
      </c>
      <c r="Q22" s="22"/>
      <c r="R22" s="31">
        <f t="shared" ref="R22:R31" si="17">IF(P$12=0,0,P22/P$12)</f>
        <v>1.0889949835293835</v>
      </c>
      <c r="S22" s="22"/>
      <c r="T22" s="22">
        <f>SUM(OSRRefT22x_0)</f>
        <v>747248.70999999985</v>
      </c>
      <c r="U22" s="22"/>
      <c r="V22" s="31">
        <f t="shared" ref="V22:V31" si="18">IF(T$12=0,0,T22/T$12)</f>
        <v>0.8315324851342375</v>
      </c>
      <c r="W22" s="4"/>
      <c r="X22" s="22">
        <f t="shared" ref="X22:X31" si="19">+P22-T22</f>
        <v>-37458.179999999702</v>
      </c>
      <c r="Y22" s="4"/>
      <c r="Z22" s="31">
        <f t="shared" ref="Z22:Z31" si="20">IF(T22=0,0,X22/T22)</f>
        <v>-5.012812936137382E-2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4987.9699999999993</v>
      </c>
      <c r="E23" s="1"/>
      <c r="F23" s="5">
        <f t="shared" si="13"/>
        <v>0</v>
      </c>
      <c r="G23" s="1"/>
      <c r="H23" s="1">
        <f>SUM(OSRRefH22_0x_0)</f>
        <v>8575.2699999999986</v>
      </c>
      <c r="I23" s="1"/>
      <c r="J23" s="5">
        <f t="shared" si="14"/>
        <v>0.14709486076173009</v>
      </c>
      <c r="K23" s="1"/>
      <c r="L23" s="1">
        <f t="shared" si="15"/>
        <v>-3587.2999999999993</v>
      </c>
      <c r="M23" s="1"/>
      <c r="N23" s="5">
        <f t="shared" si="16"/>
        <v>-0.41833085139010201</v>
      </c>
      <c r="O23" s="13"/>
      <c r="P23" s="1">
        <f>SUM(OSRRefP22_0x_0)</f>
        <v>84738.180000000008</v>
      </c>
      <c r="Q23" s="1"/>
      <c r="R23" s="5">
        <f t="shared" si="17"/>
        <v>0.13000941690981693</v>
      </c>
      <c r="S23" s="1"/>
      <c r="T23" s="1">
        <f>SUM(OSRRefT22_0x_0)</f>
        <v>83982.189999999988</v>
      </c>
      <c r="U23" s="1"/>
      <c r="V23" s="5">
        <f t="shared" si="18"/>
        <v>9.3454720260026561E-2</v>
      </c>
      <c r="W23" s="1"/>
      <c r="X23" s="1">
        <f t="shared" si="19"/>
        <v>755.99000000001979</v>
      </c>
      <c r="Y23" s="1"/>
      <c r="Z23" s="5">
        <f t="shared" si="20"/>
        <v>9.0017895460932831E-3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386.22</v>
      </c>
      <c r="E24" s="2"/>
      <c r="F24" s="7">
        <f t="shared" si="13"/>
        <v>0</v>
      </c>
      <c r="G24" s="2"/>
      <c r="H24" s="6">
        <v>1932.76</v>
      </c>
      <c r="I24" s="2"/>
      <c r="J24" s="7">
        <f t="shared" si="14"/>
        <v>3.3153365793245168E-2</v>
      </c>
      <c r="K24" s="2"/>
      <c r="L24" s="6">
        <f t="shared" si="15"/>
        <v>-1546.54</v>
      </c>
      <c r="M24" s="2"/>
      <c r="N24" s="7">
        <f t="shared" si="16"/>
        <v>-0.80017177507812665</v>
      </c>
      <c r="O24" s="11"/>
      <c r="P24" s="6">
        <v>13697.2</v>
      </c>
      <c r="Q24" s="2"/>
      <c r="R24" s="7">
        <f t="shared" si="17"/>
        <v>2.1014907156339024E-2</v>
      </c>
      <c r="S24" s="2"/>
      <c r="T24" s="6">
        <v>14902.76</v>
      </c>
      <c r="U24" s="2"/>
      <c r="V24" s="7">
        <f t="shared" si="18"/>
        <v>1.6583674073066133E-2</v>
      </c>
      <c r="W24" s="2"/>
      <c r="X24" s="6">
        <f t="shared" si="19"/>
        <v>-1205.5599999999995</v>
      </c>
      <c r="Y24" s="2"/>
      <c r="Z24" s="7">
        <f t="shared" si="20"/>
        <v>-8.0895082521626832E-2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293.83</v>
      </c>
      <c r="E25" s="2"/>
      <c r="F25" s="7">
        <f t="shared" si="13"/>
        <v>0</v>
      </c>
      <c r="G25" s="2"/>
      <c r="H25" s="6">
        <v>902.93</v>
      </c>
      <c r="I25" s="2"/>
      <c r="J25" s="7">
        <f t="shared" si="14"/>
        <v>1.5488300966335633E-2</v>
      </c>
      <c r="K25" s="2"/>
      <c r="L25" s="6">
        <f t="shared" si="15"/>
        <v>-609.09999999999991</v>
      </c>
      <c r="M25" s="2"/>
      <c r="N25" s="7">
        <f t="shared" si="16"/>
        <v>-0.67458163977273977</v>
      </c>
      <c r="O25" s="11"/>
      <c r="P25" s="6">
        <v>7859.58</v>
      </c>
      <c r="Q25" s="2"/>
      <c r="R25" s="7">
        <f t="shared" si="17"/>
        <v>1.2058548023524447E-2</v>
      </c>
      <c r="S25" s="2"/>
      <c r="T25" s="6">
        <v>8486.51</v>
      </c>
      <c r="U25" s="2"/>
      <c r="V25" s="7">
        <f t="shared" si="18"/>
        <v>9.4437215561289627E-3</v>
      </c>
      <c r="W25" s="2"/>
      <c r="X25" s="6">
        <f t="shared" si="19"/>
        <v>-626.93000000000029</v>
      </c>
      <c r="Y25" s="2"/>
      <c r="Z25" s="7">
        <f t="shared" si="20"/>
        <v>-7.3873712515509948E-2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3371.81</v>
      </c>
      <c r="E26" s="2"/>
      <c r="F26" s="7">
        <f t="shared" si="13"/>
        <v>0</v>
      </c>
      <c r="G26" s="2"/>
      <c r="H26" s="6">
        <v>3220.43</v>
      </c>
      <c r="I26" s="2"/>
      <c r="J26" s="7">
        <f t="shared" si="14"/>
        <v>5.5241257994546933E-2</v>
      </c>
      <c r="K26" s="2"/>
      <c r="L26" s="6">
        <f t="shared" si="15"/>
        <v>151.38000000000011</v>
      </c>
      <c r="M26" s="2"/>
      <c r="N26" s="7">
        <f t="shared" si="16"/>
        <v>4.7006145142108387E-2</v>
      </c>
      <c r="O26" s="11"/>
      <c r="P26" s="6">
        <v>35136.910000000003</v>
      </c>
      <c r="Q26" s="2"/>
      <c r="R26" s="7">
        <f t="shared" si="17"/>
        <v>5.390874787625502E-2</v>
      </c>
      <c r="S26" s="2"/>
      <c r="T26" s="6">
        <v>34368.74</v>
      </c>
      <c r="U26" s="2"/>
      <c r="V26" s="7">
        <f t="shared" si="18"/>
        <v>3.824526345871173E-2</v>
      </c>
      <c r="W26" s="2"/>
      <c r="X26" s="6">
        <f t="shared" si="19"/>
        <v>768.17000000000553</v>
      </c>
      <c r="Y26" s="2"/>
      <c r="Z26" s="7">
        <f t="shared" si="20"/>
        <v>2.2350833926411198E-2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19.690000000000001</v>
      </c>
      <c r="E27" s="2"/>
      <c r="F27" s="7">
        <f t="shared" si="13"/>
        <v>0</v>
      </c>
      <c r="G27" s="2"/>
      <c r="H27" s="6">
        <v>67.069999999999993</v>
      </c>
      <c r="I27" s="2"/>
      <c r="J27" s="7">
        <f t="shared" si="14"/>
        <v>1.1504771641346848E-3</v>
      </c>
      <c r="K27" s="2"/>
      <c r="L27" s="6">
        <f t="shared" si="15"/>
        <v>-47.379999999999995</v>
      </c>
      <c r="M27" s="2"/>
      <c r="N27" s="7">
        <f t="shared" si="16"/>
        <v>-0.70642612196212917</v>
      </c>
      <c r="O27" s="11"/>
      <c r="P27" s="6">
        <v>632.02</v>
      </c>
      <c r="Q27" s="2"/>
      <c r="R27" s="7">
        <f t="shared" si="17"/>
        <v>9.696756724695112E-4</v>
      </c>
      <c r="S27" s="2"/>
      <c r="T27" s="6">
        <v>711.34</v>
      </c>
      <c r="U27" s="2"/>
      <c r="V27" s="7">
        <f t="shared" si="18"/>
        <v>7.9157355517601178E-4</v>
      </c>
      <c r="W27" s="2"/>
      <c r="X27" s="6">
        <f t="shared" si="19"/>
        <v>-79.32000000000005</v>
      </c>
      <c r="Y27" s="2"/>
      <c r="Z27" s="7">
        <f t="shared" si="20"/>
        <v>-0.11150785840807496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352.64</v>
      </c>
      <c r="E28" s="2"/>
      <c r="F28" s="7">
        <f t="shared" si="13"/>
        <v>0</v>
      </c>
      <c r="G28" s="2"/>
      <c r="H28" s="6">
        <v>492.16</v>
      </c>
      <c r="I28" s="2"/>
      <c r="J28" s="7">
        <f t="shared" si="14"/>
        <v>8.4422072625693536E-3</v>
      </c>
      <c r="K28" s="2"/>
      <c r="L28" s="6">
        <f t="shared" si="15"/>
        <v>-139.52000000000004</v>
      </c>
      <c r="M28" s="2"/>
      <c r="N28" s="7">
        <f t="shared" si="16"/>
        <v>-0.28348504551365417</v>
      </c>
      <c r="O28" s="11"/>
      <c r="P28" s="6">
        <v>6330.32</v>
      </c>
      <c r="Q28" s="2"/>
      <c r="R28" s="7">
        <f t="shared" si="17"/>
        <v>9.7122833184823208E-3</v>
      </c>
      <c r="S28" s="2"/>
      <c r="T28" s="6">
        <v>6183.04</v>
      </c>
      <c r="U28" s="2"/>
      <c r="V28" s="7">
        <f t="shared" si="18"/>
        <v>6.8804382638337335E-3</v>
      </c>
      <c r="W28" s="2"/>
      <c r="X28" s="6">
        <f t="shared" si="19"/>
        <v>147.27999999999975</v>
      </c>
      <c r="Y28" s="2"/>
      <c r="Z28" s="7">
        <f t="shared" si="20"/>
        <v>2.3819997929820889E-2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290.92</v>
      </c>
      <c r="E29" s="2"/>
      <c r="F29" s="7">
        <f t="shared" si="13"/>
        <v>0</v>
      </c>
      <c r="G29" s="2"/>
      <c r="H29" s="6">
        <v>1071.1199999999999</v>
      </c>
      <c r="I29" s="2"/>
      <c r="J29" s="7">
        <f t="shared" si="14"/>
        <v>1.8373327867123059E-2</v>
      </c>
      <c r="K29" s="2"/>
      <c r="L29" s="6">
        <f t="shared" si="15"/>
        <v>-780.19999999999982</v>
      </c>
      <c r="M29" s="2"/>
      <c r="N29" s="7">
        <f t="shared" si="16"/>
        <v>-0.72839644484278132</v>
      </c>
      <c r="O29" s="11"/>
      <c r="P29" s="6">
        <v>9154.11</v>
      </c>
      <c r="Q29" s="2"/>
      <c r="R29" s="7">
        <f t="shared" si="17"/>
        <v>1.4044678602116828E-2</v>
      </c>
      <c r="S29" s="2"/>
      <c r="T29" s="6">
        <v>8945.19</v>
      </c>
      <c r="U29" s="2"/>
      <c r="V29" s="7">
        <f t="shared" si="18"/>
        <v>9.9541370512341628E-3</v>
      </c>
      <c r="W29" s="2"/>
      <c r="X29" s="6">
        <f t="shared" si="19"/>
        <v>208.92000000000007</v>
      </c>
      <c r="Y29" s="2"/>
      <c r="Z29" s="7">
        <f t="shared" si="20"/>
        <v>2.3355568747002585E-2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232.86</v>
      </c>
      <c r="E30" s="2"/>
      <c r="F30" s="7">
        <f t="shared" si="13"/>
        <v>0</v>
      </c>
      <c r="G30" s="2"/>
      <c r="H30" s="6">
        <v>589.91999999999996</v>
      </c>
      <c r="I30" s="2"/>
      <c r="J30" s="7">
        <f t="shared" si="14"/>
        <v>1.0119121644048506E-2</v>
      </c>
      <c r="K30" s="2"/>
      <c r="L30" s="6">
        <f t="shared" si="15"/>
        <v>-357.05999999999995</v>
      </c>
      <c r="M30" s="2"/>
      <c r="N30" s="7">
        <f t="shared" si="16"/>
        <v>-0.60526851098454026</v>
      </c>
      <c r="O30" s="11"/>
      <c r="P30" s="6">
        <v>8893.77</v>
      </c>
      <c r="Q30" s="2"/>
      <c r="R30" s="7">
        <f t="shared" si="17"/>
        <v>1.3645252374195699E-2</v>
      </c>
      <c r="S30" s="2"/>
      <c r="T30" s="6">
        <v>7307.35</v>
      </c>
      <c r="U30" s="2"/>
      <c r="V30" s="7">
        <f t="shared" si="18"/>
        <v>8.1315615857612822E-3</v>
      </c>
      <c r="W30" s="2"/>
      <c r="X30" s="6">
        <f t="shared" si="19"/>
        <v>1586.42</v>
      </c>
      <c r="Y30" s="2"/>
      <c r="Z30" s="7">
        <f t="shared" si="20"/>
        <v>0.21709922201618917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40</v>
      </c>
      <c r="E31" s="2"/>
      <c r="F31" s="7">
        <f t="shared" si="13"/>
        <v>0</v>
      </c>
      <c r="G31" s="2"/>
      <c r="H31" s="6">
        <v>298.88</v>
      </c>
      <c r="I31" s="2"/>
      <c r="J31" s="7">
        <f t="shared" si="14"/>
        <v>5.1268020697267718E-3</v>
      </c>
      <c r="K31" s="2"/>
      <c r="L31" s="6">
        <f t="shared" si="15"/>
        <v>-258.88</v>
      </c>
      <c r="M31" s="2"/>
      <c r="N31" s="7">
        <f t="shared" si="16"/>
        <v>-0.86616702355460384</v>
      </c>
      <c r="O31" s="11"/>
      <c r="P31" s="6">
        <v>3034.27</v>
      </c>
      <c r="Q31" s="2"/>
      <c r="R31" s="7">
        <f t="shared" si="17"/>
        <v>4.6553238864340749E-3</v>
      </c>
      <c r="S31" s="2"/>
      <c r="T31" s="6">
        <v>3077.26</v>
      </c>
      <c r="U31" s="2"/>
      <c r="V31" s="7">
        <f t="shared" si="18"/>
        <v>3.4243507161145644E-3</v>
      </c>
      <c r="W31" s="2"/>
      <c r="X31" s="6">
        <f t="shared" si="19"/>
        <v>-42.990000000000236</v>
      </c>
      <c r="Y31" s="2"/>
      <c r="Z31" s="7">
        <f t="shared" si="20"/>
        <v>-1.3970220260881509E-2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3344.68</v>
      </c>
      <c r="E32" s="1"/>
      <c r="F32" s="5">
        <f t="shared" ref="F32:F38" si="21">IF(D$12=0,0,D32/D$12)</f>
        <v>0</v>
      </c>
      <c r="G32" s="1"/>
      <c r="H32" s="1">
        <f>SUM(OSRRefH22_1x_0)</f>
        <v>26904.390000000003</v>
      </c>
      <c r="I32" s="1"/>
      <c r="J32" s="5">
        <f t="shared" ref="J32:J38" si="22">IF(H$12=0,0,H32/H$12)</f>
        <v>0.46150121231509733</v>
      </c>
      <c r="K32" s="1"/>
      <c r="L32" s="1">
        <f t="shared" ref="L32:L38" si="23">+D32-H32</f>
        <v>-23559.710000000003</v>
      </c>
      <c r="M32" s="1"/>
      <c r="N32" s="5">
        <f t="shared" ref="N32:N38" si="24">IF(H32=0,0,L32/H32)</f>
        <v>-0.87568274173843008</v>
      </c>
      <c r="O32" s="13"/>
      <c r="P32" s="1">
        <f>SUM(OSRRefP22_1x_0)</f>
        <v>230552.02999999997</v>
      </c>
      <c r="Q32" s="1"/>
      <c r="R32" s="5">
        <f t="shared" ref="R32:R38" si="25">IF(P$12=0,0,P32/P$12)</f>
        <v>0.35372408267058147</v>
      </c>
      <c r="S32" s="1"/>
      <c r="T32" s="1">
        <f>SUM(OSRRefT22_1x_0)</f>
        <v>261500.39</v>
      </c>
      <c r="U32" s="1"/>
      <c r="V32" s="5">
        <f t="shared" ref="V32:V38" si="26">IF(T$12=0,0,T32/T$12)</f>
        <v>0.29099557650661234</v>
      </c>
      <c r="W32" s="1"/>
      <c r="X32" s="1">
        <f t="shared" ref="X32:X38" si="27">+P32-T32</f>
        <v>-30948.360000000044</v>
      </c>
      <c r="Y32" s="1"/>
      <c r="Z32" s="5">
        <f t="shared" ref="Z32:Z38" si="28">IF(T32=0,0,X32/T32)</f>
        <v>-0.11834919251936887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3344.68</v>
      </c>
      <c r="E33" s="2"/>
      <c r="F33" s="7">
        <f t="shared" si="21"/>
        <v>0</v>
      </c>
      <c r="G33" s="2"/>
      <c r="H33" s="6">
        <v>6538.14</v>
      </c>
      <c r="I33" s="2"/>
      <c r="J33" s="7">
        <f t="shared" si="22"/>
        <v>0.11215119674840537</v>
      </c>
      <c r="K33" s="2"/>
      <c r="L33" s="6">
        <f t="shared" si="23"/>
        <v>-3193.4600000000005</v>
      </c>
      <c r="M33" s="2"/>
      <c r="N33" s="7">
        <f t="shared" si="24"/>
        <v>-0.48843554894817187</v>
      </c>
      <c r="O33" s="11"/>
      <c r="P33" s="6">
        <v>52353.299999999996</v>
      </c>
      <c r="Q33" s="2"/>
      <c r="R33" s="7">
        <f t="shared" si="25"/>
        <v>8.0322966652159836E-2</v>
      </c>
      <c r="S33" s="2"/>
      <c r="T33" s="6">
        <v>58135.68</v>
      </c>
      <c r="U33" s="2"/>
      <c r="V33" s="7">
        <f t="shared" si="26"/>
        <v>6.4692927292398811E-2</v>
      </c>
      <c r="W33" s="2"/>
      <c r="X33" s="6">
        <f t="shared" si="27"/>
        <v>-5782.3800000000047</v>
      </c>
      <c r="Y33" s="2"/>
      <c r="Z33" s="7">
        <f t="shared" si="28"/>
        <v>-9.946353082994823E-2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>
        <v>4622.13</v>
      </c>
      <c r="I34" s="2"/>
      <c r="J34" s="7">
        <f t="shared" si="22"/>
        <v>7.9285150062052348E-2</v>
      </c>
      <c r="K34" s="2"/>
      <c r="L34" s="6">
        <f t="shared" si="23"/>
        <v>-4622.13</v>
      </c>
      <c r="M34" s="2"/>
      <c r="N34" s="7">
        <f t="shared" si="24"/>
        <v>-1</v>
      </c>
      <c r="O34" s="11"/>
      <c r="P34" s="6">
        <v>30886.32</v>
      </c>
      <c r="Q34" s="2"/>
      <c r="R34" s="7">
        <f t="shared" si="25"/>
        <v>4.7387286978431878E-2</v>
      </c>
      <c r="S34" s="2"/>
      <c r="T34" s="6">
        <v>34983.990000000005</v>
      </c>
      <c r="U34" s="2"/>
      <c r="V34" s="7">
        <f t="shared" si="26"/>
        <v>3.8929908817923985E-2</v>
      </c>
      <c r="W34" s="2"/>
      <c r="X34" s="6">
        <f t="shared" si="27"/>
        <v>-4097.6700000000055</v>
      </c>
      <c r="Y34" s="2"/>
      <c r="Z34" s="7">
        <f t="shared" si="28"/>
        <v>-0.11712986426076628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10872.53</v>
      </c>
      <c r="I35" s="2"/>
      <c r="J35" s="7">
        <f t="shared" si="22"/>
        <v>0.18650063338853862</v>
      </c>
      <c r="K35" s="2"/>
      <c r="L35" s="6">
        <f t="shared" si="23"/>
        <v>-10872.53</v>
      </c>
      <c r="M35" s="2"/>
      <c r="N35" s="7">
        <f t="shared" si="24"/>
        <v>-1</v>
      </c>
      <c r="O35" s="11"/>
      <c r="P35" s="6">
        <v>71622.42</v>
      </c>
      <c r="Q35" s="2"/>
      <c r="R35" s="7">
        <f t="shared" si="25"/>
        <v>0.10988658314197933</v>
      </c>
      <c r="S35" s="2"/>
      <c r="T35" s="6">
        <v>78661.03</v>
      </c>
      <c r="U35" s="2"/>
      <c r="V35" s="7">
        <f t="shared" si="26"/>
        <v>8.7533375278919953E-2</v>
      </c>
      <c r="W35" s="2"/>
      <c r="X35" s="6">
        <f t="shared" si="27"/>
        <v>-7038.6100000000006</v>
      </c>
      <c r="Y35" s="2"/>
      <c r="Z35" s="7">
        <f t="shared" si="28"/>
        <v>-8.948026742085631E-2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>
        <v>42</v>
      </c>
      <c r="I36" s="2"/>
      <c r="J36" s="7">
        <f t="shared" si="22"/>
        <v>7.2044193966984882E-4</v>
      </c>
      <c r="K36" s="2"/>
      <c r="L36" s="6">
        <f t="shared" si="23"/>
        <v>-42</v>
      </c>
      <c r="M36" s="2"/>
      <c r="N36" s="7">
        <f t="shared" si="24"/>
        <v>-1</v>
      </c>
      <c r="O36" s="11"/>
      <c r="P36" s="6">
        <v>200.5</v>
      </c>
      <c r="Q36" s="2"/>
      <c r="R36" s="7">
        <f t="shared" si="25"/>
        <v>3.0761680378807161E-4</v>
      </c>
      <c r="S36" s="2"/>
      <c r="T36" s="6">
        <v>616.69000000000005</v>
      </c>
      <c r="U36" s="2"/>
      <c r="V36" s="7">
        <f t="shared" si="26"/>
        <v>6.8624777988232741E-4</v>
      </c>
      <c r="W36" s="2"/>
      <c r="X36" s="6">
        <f t="shared" si="27"/>
        <v>-416.19000000000005</v>
      </c>
      <c r="Y36" s="2"/>
      <c r="Z36" s="7">
        <f t="shared" si="28"/>
        <v>-0.67487716680990451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4829.59</v>
      </c>
      <c r="I37" s="2"/>
      <c r="J37" s="7">
        <f t="shared" si="22"/>
        <v>8.2843790176431079E-2</v>
      </c>
      <c r="K37" s="2"/>
      <c r="L37" s="6">
        <f t="shared" si="23"/>
        <v>-4829.59</v>
      </c>
      <c r="M37" s="2"/>
      <c r="N37" s="7">
        <f t="shared" si="24"/>
        <v>-1</v>
      </c>
      <c r="O37" s="11"/>
      <c r="P37" s="6">
        <v>73786.490000000005</v>
      </c>
      <c r="Q37" s="2"/>
      <c r="R37" s="7">
        <f t="shared" si="25"/>
        <v>0.11320680407252123</v>
      </c>
      <c r="S37" s="2"/>
      <c r="T37" s="6">
        <v>85501.799999999988</v>
      </c>
      <c r="U37" s="2"/>
      <c r="V37" s="7">
        <f t="shared" si="26"/>
        <v>9.5145730311733234E-2</v>
      </c>
      <c r="W37" s="2"/>
      <c r="X37" s="6">
        <f t="shared" si="27"/>
        <v>-11715.309999999983</v>
      </c>
      <c r="Y37" s="2"/>
      <c r="Z37" s="7">
        <f t="shared" si="28"/>
        <v>-0.13701828499516952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/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1703</v>
      </c>
      <c r="Q38" s="2"/>
      <c r="R38" s="7">
        <f t="shared" si="25"/>
        <v>2.6128250217011765E-3</v>
      </c>
      <c r="S38" s="2"/>
      <c r="T38" s="6">
        <v>3601.2</v>
      </c>
      <c r="U38" s="2"/>
      <c r="V38" s="7">
        <f t="shared" si="26"/>
        <v>4.0073870257540042E-3</v>
      </c>
      <c r="W38" s="2"/>
      <c r="X38" s="6">
        <f t="shared" si="27"/>
        <v>-1898.1999999999998</v>
      </c>
      <c r="Y38" s="2"/>
      <c r="Z38" s="7">
        <f t="shared" si="28"/>
        <v>-0.5271020770854159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48.4</v>
      </c>
      <c r="E39" s="1"/>
      <c r="F39" s="5">
        <f t="shared" ref="F39:F47" si="29">IF(D$12=0,0,D39/D$12)</f>
        <v>0</v>
      </c>
      <c r="G39" s="1"/>
      <c r="H39" s="1">
        <f>SUM(OSRRefH22_2x_0)</f>
        <v>594.16999999999996</v>
      </c>
      <c r="I39" s="1"/>
      <c r="J39" s="5">
        <f t="shared" ref="J39:J47" si="30">IF(H$12=0,0,H39/H$12)</f>
        <v>1.0192023506991287E-2</v>
      </c>
      <c r="K39" s="1"/>
      <c r="L39" s="1">
        <f t="shared" ref="L39:L47" si="31">+D39-H39</f>
        <v>-545.77</v>
      </c>
      <c r="M39" s="1"/>
      <c r="N39" s="5">
        <f t="shared" ref="N39:N47" si="32">IF(H39=0,0,L39/H39)</f>
        <v>-0.91854183146237611</v>
      </c>
      <c r="O39" s="13"/>
      <c r="P39" s="1">
        <f>SUM(OSRRefP22_2x_0)</f>
        <v>6418.96</v>
      </c>
      <c r="Q39" s="1"/>
      <c r="R39" s="5">
        <f t="shared" ref="R39:R47" si="33">IF(P$12=0,0,P39/P$12)</f>
        <v>9.8482790964762104E-3</v>
      </c>
      <c r="S39" s="1"/>
      <c r="T39" s="1">
        <f>SUM(OSRRefT22_2x_0)</f>
        <v>6578.27</v>
      </c>
      <c r="U39" s="1"/>
      <c r="V39" s="5">
        <f t="shared" ref="V39:V47" si="34">IF(T$12=0,0,T39/T$12)</f>
        <v>7.3202470981636111E-3</v>
      </c>
      <c r="W39" s="1"/>
      <c r="X39" s="1">
        <f t="shared" ref="X39:X47" si="35">+P39-T39</f>
        <v>-159.3100000000004</v>
      </c>
      <c r="Y39" s="1"/>
      <c r="Z39" s="5">
        <f t="shared" ref="Z39:Z47" si="36">IF(T39=0,0,X39/T39)</f>
        <v>-2.4217613445480405E-2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48.4</v>
      </c>
      <c r="E40" s="2"/>
      <c r="F40" s="7">
        <f t="shared" si="29"/>
        <v>0</v>
      </c>
      <c r="G40" s="2"/>
      <c r="H40" s="6">
        <v>594.16999999999996</v>
      </c>
      <c r="I40" s="2"/>
      <c r="J40" s="7">
        <f t="shared" si="30"/>
        <v>1.0192023506991287E-2</v>
      </c>
      <c r="K40" s="2"/>
      <c r="L40" s="6">
        <f t="shared" si="31"/>
        <v>-545.77</v>
      </c>
      <c r="M40" s="2"/>
      <c r="N40" s="7">
        <f t="shared" si="32"/>
        <v>-0.91854183146237611</v>
      </c>
      <c r="O40" s="11"/>
      <c r="P40" s="6">
        <v>6418.96</v>
      </c>
      <c r="Q40" s="2"/>
      <c r="R40" s="7">
        <f t="shared" si="33"/>
        <v>9.8482790964762104E-3</v>
      </c>
      <c r="S40" s="2"/>
      <c r="T40" s="6">
        <v>6578.27</v>
      </c>
      <c r="U40" s="2"/>
      <c r="V40" s="7">
        <f t="shared" si="34"/>
        <v>7.3202470981636111E-3</v>
      </c>
      <c r="W40" s="2"/>
      <c r="X40" s="6">
        <f t="shared" si="35"/>
        <v>-159.3100000000004</v>
      </c>
      <c r="Y40" s="2"/>
      <c r="Z40" s="7">
        <f t="shared" si="36"/>
        <v>-2.4217613445480405E-2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-0.4</v>
      </c>
      <c r="I41" s="1"/>
      <c r="J41" s="5">
        <f t="shared" si="30"/>
        <v>-6.8613518063795131E-6</v>
      </c>
      <c r="K41" s="1"/>
      <c r="L41" s="1">
        <f t="shared" si="31"/>
        <v>0.4</v>
      </c>
      <c r="M41" s="1"/>
      <c r="N41" s="5">
        <f t="shared" si="32"/>
        <v>-1</v>
      </c>
      <c r="O41" s="13"/>
      <c r="P41" s="1">
        <f>SUM(OSRRefP22_3x_0)</f>
        <v>-37.450000000000003</v>
      </c>
      <c r="Q41" s="1"/>
      <c r="R41" s="5">
        <f t="shared" si="33"/>
        <v>-5.7457602503058765E-5</v>
      </c>
      <c r="S41" s="1"/>
      <c r="T41" s="1">
        <f>SUM(OSRRefT22_3x_0)</f>
        <v>14.29</v>
      </c>
      <c r="U41" s="1"/>
      <c r="V41" s="5">
        <f t="shared" si="34"/>
        <v>1.5901799566262557E-5</v>
      </c>
      <c r="W41" s="1"/>
      <c r="X41" s="1">
        <f t="shared" si="35"/>
        <v>-51.74</v>
      </c>
      <c r="Y41" s="1"/>
      <c r="Z41" s="5">
        <f t="shared" si="36"/>
        <v>-3.6207137858642411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-0.4</v>
      </c>
      <c r="I42" s="2"/>
      <c r="J42" s="7">
        <f t="shared" si="30"/>
        <v>-6.8613518063795131E-6</v>
      </c>
      <c r="K42" s="2"/>
      <c r="L42" s="6">
        <f t="shared" si="31"/>
        <v>0.4</v>
      </c>
      <c r="M42" s="2"/>
      <c r="N42" s="7">
        <f t="shared" si="32"/>
        <v>-1</v>
      </c>
      <c r="O42" s="11"/>
      <c r="P42" s="6">
        <v>-37.450000000000003</v>
      </c>
      <c r="Q42" s="2"/>
      <c r="R42" s="7">
        <f t="shared" si="33"/>
        <v>-5.7457602503058765E-5</v>
      </c>
      <c r="S42" s="2"/>
      <c r="T42" s="6">
        <v>14.29</v>
      </c>
      <c r="U42" s="2"/>
      <c r="V42" s="7">
        <f t="shared" si="34"/>
        <v>1.5901799566262557E-5</v>
      </c>
      <c r="W42" s="2"/>
      <c r="X42" s="6">
        <f t="shared" si="35"/>
        <v>-51.74</v>
      </c>
      <c r="Y42" s="2"/>
      <c r="Z42" s="7">
        <f t="shared" si="36"/>
        <v>-3.6207137858642411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3672.24</v>
      </c>
      <c r="I43" s="1"/>
      <c r="J43" s="5">
        <f t="shared" si="30"/>
        <v>6.2991326393647754E-2</v>
      </c>
      <c r="K43" s="1"/>
      <c r="L43" s="1">
        <f t="shared" si="31"/>
        <v>-3672.24</v>
      </c>
      <c r="M43" s="1"/>
      <c r="N43" s="5">
        <f t="shared" si="32"/>
        <v>-1</v>
      </c>
      <c r="O43" s="13"/>
      <c r="P43" s="1">
        <f>SUM(OSRRefP22_4x_0)</f>
        <v>27203.670000000002</v>
      </c>
      <c r="Q43" s="1"/>
      <c r="R43" s="5">
        <f t="shared" si="33"/>
        <v>4.1737187115737907E-2</v>
      </c>
      <c r="S43" s="1"/>
      <c r="T43" s="1">
        <f>SUM(OSRRefT22_4x_0)</f>
        <v>37765.08</v>
      </c>
      <c r="U43" s="1"/>
      <c r="V43" s="5">
        <f t="shared" si="34"/>
        <v>4.2024683888304472E-2</v>
      </c>
      <c r="W43" s="1"/>
      <c r="X43" s="1">
        <f t="shared" si="35"/>
        <v>-10561.41</v>
      </c>
      <c r="Y43" s="1"/>
      <c r="Z43" s="5">
        <f t="shared" si="36"/>
        <v>-0.27966073420207238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3672.24</v>
      </c>
      <c r="I44" s="2"/>
      <c r="J44" s="7">
        <f t="shared" si="30"/>
        <v>6.2991326393647754E-2</v>
      </c>
      <c r="K44" s="2"/>
      <c r="L44" s="6">
        <f t="shared" si="31"/>
        <v>-3672.24</v>
      </c>
      <c r="M44" s="2"/>
      <c r="N44" s="7">
        <f t="shared" si="32"/>
        <v>-1</v>
      </c>
      <c r="O44" s="11"/>
      <c r="P44" s="6">
        <v>27203.670000000002</v>
      </c>
      <c r="Q44" s="2"/>
      <c r="R44" s="7">
        <f t="shared" si="33"/>
        <v>4.1737187115737907E-2</v>
      </c>
      <c r="S44" s="2"/>
      <c r="T44" s="6">
        <v>37765.08</v>
      </c>
      <c r="U44" s="2"/>
      <c r="V44" s="7">
        <f t="shared" si="34"/>
        <v>4.2024683888304472E-2</v>
      </c>
      <c r="W44" s="2"/>
      <c r="X44" s="6">
        <f t="shared" si="35"/>
        <v>-10561.41</v>
      </c>
      <c r="Y44" s="2"/>
      <c r="Z44" s="7">
        <f t="shared" si="36"/>
        <v>-0.27966073420207238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13702.16</v>
      </c>
      <c r="E45" s="1"/>
      <c r="F45" s="5">
        <f t="shared" si="29"/>
        <v>0</v>
      </c>
      <c r="G45" s="1"/>
      <c r="H45" s="1">
        <f>SUM(OSRRefH22_5x_0)</f>
        <v>13266.9</v>
      </c>
      <c r="I45" s="1"/>
      <c r="J45" s="5">
        <f t="shared" si="30"/>
        <v>0.22757217070014091</v>
      </c>
      <c r="K45" s="1"/>
      <c r="L45" s="1">
        <f t="shared" si="31"/>
        <v>435.26000000000022</v>
      </c>
      <c r="M45" s="1"/>
      <c r="N45" s="5">
        <f t="shared" si="32"/>
        <v>3.280796568904569E-2</v>
      </c>
      <c r="O45" s="13"/>
      <c r="P45" s="1">
        <f>SUM(OSRRefP22_5x_0)</f>
        <v>148274.62</v>
      </c>
      <c r="Q45" s="1"/>
      <c r="R45" s="5">
        <f t="shared" si="33"/>
        <v>0.22749009819097693</v>
      </c>
      <c r="S45" s="1"/>
      <c r="T45" s="1">
        <f>SUM(OSRRefT22_5x_0)</f>
        <v>145935.9</v>
      </c>
      <c r="U45" s="1"/>
      <c r="V45" s="5">
        <f t="shared" si="34"/>
        <v>0.16239632129616066</v>
      </c>
      <c r="W45" s="1"/>
      <c r="X45" s="1">
        <f t="shared" si="35"/>
        <v>2338.7200000000012</v>
      </c>
      <c r="Y45" s="1"/>
      <c r="Z45" s="5">
        <f t="shared" si="36"/>
        <v>1.6025666062976972E-2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9"/>
        <v>0</v>
      </c>
      <c r="G46" s="2"/>
      <c r="H46" s="6">
        <v>10612.46</v>
      </c>
      <c r="I46" s="2"/>
      <c r="J46" s="7">
        <f t="shared" si="30"/>
        <v>0.18203955397782581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116737.06</v>
      </c>
      <c r="Q46" s="2"/>
      <c r="R46" s="7">
        <f t="shared" si="33"/>
        <v>0.17910364728586703</v>
      </c>
      <c r="S46" s="2"/>
      <c r="T46" s="6">
        <v>116737.06</v>
      </c>
      <c r="U46" s="2"/>
      <c r="V46" s="7">
        <f t="shared" si="34"/>
        <v>0.12990408188066943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3089.7</v>
      </c>
      <c r="E47" s="2"/>
      <c r="F47" s="7">
        <f t="shared" si="29"/>
        <v>0</v>
      </c>
      <c r="G47" s="2"/>
      <c r="H47" s="6">
        <v>2654.44</v>
      </c>
      <c r="I47" s="2"/>
      <c r="J47" s="7">
        <f t="shared" si="30"/>
        <v>4.5532616722315088E-2</v>
      </c>
      <c r="K47" s="2"/>
      <c r="L47" s="6">
        <f t="shared" si="31"/>
        <v>435.25999999999976</v>
      </c>
      <c r="M47" s="2"/>
      <c r="N47" s="7">
        <f t="shared" si="32"/>
        <v>0.16397432226759684</v>
      </c>
      <c r="O47" s="11"/>
      <c r="P47" s="6">
        <v>31537.56</v>
      </c>
      <c r="Q47" s="2"/>
      <c r="R47" s="7">
        <f t="shared" si="33"/>
        <v>4.8386450905109901E-2</v>
      </c>
      <c r="S47" s="2"/>
      <c r="T47" s="6">
        <v>29198.84</v>
      </c>
      <c r="U47" s="2"/>
      <c r="V47" s="7">
        <f t="shared" si="34"/>
        <v>3.2492239415491245E-2</v>
      </c>
      <c r="W47" s="2"/>
      <c r="X47" s="6">
        <f t="shared" si="35"/>
        <v>2338.7200000000012</v>
      </c>
      <c r="Y47" s="2"/>
      <c r="Z47" s="7">
        <f t="shared" si="36"/>
        <v>8.0096332594034592E-2</v>
      </c>
    </row>
    <row r="48" spans="1:26" s="27" customFormat="1" outlineLevel="1" collapsed="1" x14ac:dyDescent="0.25">
      <c r="A48" s="25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0</v>
      </c>
      <c r="E48" s="1"/>
      <c r="F48" s="5">
        <f t="shared" ref="F48:F62" si="37">IF(D$12=0,0,D48/D$12)</f>
        <v>0</v>
      </c>
      <c r="G48" s="1"/>
      <c r="H48" s="1">
        <f>SUM(OSRRefH22_6x_0)</f>
        <v>14.48</v>
      </c>
      <c r="I48" s="1"/>
      <c r="J48" s="5">
        <f t="shared" ref="J48:J62" si="38">IF(H$12=0,0,H48/H$12)</f>
        <v>2.483809353909384E-4</v>
      </c>
      <c r="K48" s="1"/>
      <c r="L48" s="1">
        <f t="shared" ref="L48:L62" si="39">+D48-H48</f>
        <v>-14.48</v>
      </c>
      <c r="M48" s="1"/>
      <c r="N48" s="5">
        <f t="shared" ref="N48:N62" si="40">IF(H48=0,0,L48/H48)</f>
        <v>-1</v>
      </c>
      <c r="O48" s="13"/>
      <c r="P48" s="1">
        <f>SUM(OSRRefP22_6x_0)</f>
        <v>146.37</v>
      </c>
      <c r="Q48" s="1"/>
      <c r="R48" s="5">
        <f t="shared" ref="R48:R62" si="41">IF(P$12=0,0,P48/P$12)</f>
        <v>2.2456793800728199E-4</v>
      </c>
      <c r="S48" s="1"/>
      <c r="T48" s="1">
        <f>SUM(OSRRefT22_6x_0)</f>
        <v>313.64999999999998</v>
      </c>
      <c r="U48" s="1"/>
      <c r="V48" s="5">
        <f t="shared" ref="V48:V62" si="42">IF(T$12=0,0,T48/T$12)</f>
        <v>3.4902725220141716E-4</v>
      </c>
      <c r="W48" s="1"/>
      <c r="X48" s="1">
        <f t="shared" ref="X48:X62" si="43">+P48-T48</f>
        <v>-167.27999999999997</v>
      </c>
      <c r="Y48" s="1"/>
      <c r="Z48" s="5">
        <f t="shared" ref="Z48:Z62" si="44">IF(T48=0,0,X48/T48)</f>
        <v>-0.53333333333333333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7"/>
        <v>0</v>
      </c>
      <c r="G49" s="2"/>
      <c r="H49" s="6">
        <v>14.48</v>
      </c>
      <c r="I49" s="2"/>
      <c r="J49" s="7">
        <f t="shared" si="38"/>
        <v>2.483809353909384E-4</v>
      </c>
      <c r="K49" s="2"/>
      <c r="L49" s="6">
        <f t="shared" si="39"/>
        <v>-14.48</v>
      </c>
      <c r="M49" s="2"/>
      <c r="N49" s="7">
        <f t="shared" si="40"/>
        <v>-1</v>
      </c>
      <c r="O49" s="11"/>
      <c r="P49" s="6">
        <v>146.37</v>
      </c>
      <c r="Q49" s="2"/>
      <c r="R49" s="7">
        <f t="shared" si="41"/>
        <v>2.2456793800728199E-4</v>
      </c>
      <c r="S49" s="2"/>
      <c r="T49" s="6">
        <v>313.64999999999998</v>
      </c>
      <c r="U49" s="2"/>
      <c r="V49" s="7">
        <f t="shared" si="42"/>
        <v>3.4902725220141716E-4</v>
      </c>
      <c r="W49" s="2"/>
      <c r="X49" s="6">
        <f t="shared" si="43"/>
        <v>-167.27999999999997</v>
      </c>
      <c r="Y49" s="2"/>
      <c r="Z49" s="7">
        <f t="shared" si="44"/>
        <v>-0.53333333333333333</v>
      </c>
    </row>
    <row r="50" spans="1:26" s="27" customFormat="1" outlineLevel="1" collapsed="1" x14ac:dyDescent="0.25">
      <c r="A50" s="25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36.270000000000003</v>
      </c>
      <c r="E50" s="1"/>
      <c r="F50" s="5">
        <f t="shared" si="37"/>
        <v>0</v>
      </c>
      <c r="G50" s="1"/>
      <c r="H50" s="1">
        <f>SUM(OSRRefH22_7x_0)</f>
        <v>106.63</v>
      </c>
      <c r="I50" s="1"/>
      <c r="J50" s="5">
        <f t="shared" si="38"/>
        <v>1.8290648577856186E-3</v>
      </c>
      <c r="K50" s="1"/>
      <c r="L50" s="1">
        <f t="shared" si="39"/>
        <v>-70.359999999999985</v>
      </c>
      <c r="M50" s="1"/>
      <c r="N50" s="5">
        <f t="shared" si="40"/>
        <v>-0.65985182406452203</v>
      </c>
      <c r="O50" s="13"/>
      <c r="P50" s="1">
        <f>SUM(OSRRefP22_7x_0)</f>
        <v>1046.6300000000001</v>
      </c>
      <c r="Q50" s="1"/>
      <c r="R50" s="5">
        <f t="shared" si="41"/>
        <v>1.6057904007416928E-3</v>
      </c>
      <c r="S50" s="1"/>
      <c r="T50" s="1">
        <f>SUM(OSRRefT22_7x_0)</f>
        <v>1373.46</v>
      </c>
      <c r="U50" s="1"/>
      <c r="V50" s="5">
        <f t="shared" si="42"/>
        <v>1.5283754816150436E-3</v>
      </c>
      <c r="W50" s="1"/>
      <c r="X50" s="1">
        <f t="shared" si="43"/>
        <v>-326.82999999999993</v>
      </c>
      <c r="Y50" s="1"/>
      <c r="Z50" s="5">
        <f t="shared" si="44"/>
        <v>-0.23796106184381047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36.270000000000003</v>
      </c>
      <c r="E51" s="2"/>
      <c r="F51" s="7">
        <f t="shared" si="37"/>
        <v>0</v>
      </c>
      <c r="G51" s="2"/>
      <c r="H51" s="6">
        <v>106.63</v>
      </c>
      <c r="I51" s="2"/>
      <c r="J51" s="7">
        <f t="shared" si="38"/>
        <v>1.8290648577856186E-3</v>
      </c>
      <c r="K51" s="2"/>
      <c r="L51" s="6">
        <f t="shared" si="39"/>
        <v>-70.359999999999985</v>
      </c>
      <c r="M51" s="2"/>
      <c r="N51" s="7">
        <f t="shared" si="40"/>
        <v>-0.65985182406452203</v>
      </c>
      <c r="O51" s="11"/>
      <c r="P51" s="6">
        <v>1046.6300000000001</v>
      </c>
      <c r="Q51" s="2"/>
      <c r="R51" s="7">
        <f t="shared" si="41"/>
        <v>1.6057904007416928E-3</v>
      </c>
      <c r="S51" s="2"/>
      <c r="T51" s="6">
        <v>1373.46</v>
      </c>
      <c r="U51" s="2"/>
      <c r="V51" s="7">
        <f t="shared" si="42"/>
        <v>1.5283754816150436E-3</v>
      </c>
      <c r="W51" s="2"/>
      <c r="X51" s="6">
        <f t="shared" si="43"/>
        <v>-326.82999999999993</v>
      </c>
      <c r="Y51" s="2"/>
      <c r="Z51" s="7">
        <f t="shared" si="44"/>
        <v>-0.23796106184381047</v>
      </c>
    </row>
    <row r="52" spans="1:26" s="27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3"/>
      <c r="P52" s="1">
        <f>SUM(OSRRefP22_8x_0)</f>
        <v>1937.01</v>
      </c>
      <c r="Q52" s="1"/>
      <c r="R52" s="5">
        <f t="shared" si="41"/>
        <v>2.9718544893044016E-3</v>
      </c>
      <c r="S52" s="1"/>
      <c r="T52" s="1">
        <f>SUM(OSRRefT22_8x_0)</f>
        <v>2037.97</v>
      </c>
      <c r="U52" s="1"/>
      <c r="V52" s="5">
        <f t="shared" si="42"/>
        <v>2.2678369812495526E-3</v>
      </c>
      <c r="W52" s="1"/>
      <c r="X52" s="1">
        <f t="shared" si="43"/>
        <v>-100.96000000000004</v>
      </c>
      <c r="Y52" s="1"/>
      <c r="Z52" s="5">
        <f t="shared" si="44"/>
        <v>-4.953949273051126E-2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1937.01</v>
      </c>
      <c r="Q53" s="2"/>
      <c r="R53" s="7">
        <f t="shared" si="41"/>
        <v>2.9718544893044016E-3</v>
      </c>
      <c r="S53" s="2"/>
      <c r="T53" s="6">
        <v>2037.97</v>
      </c>
      <c r="U53" s="2"/>
      <c r="V53" s="7">
        <f t="shared" si="42"/>
        <v>2.2678369812495526E-3</v>
      </c>
      <c r="W53" s="2"/>
      <c r="X53" s="6">
        <f t="shared" si="43"/>
        <v>-100.96000000000004</v>
      </c>
      <c r="Y53" s="2"/>
      <c r="Z53" s="7">
        <f t="shared" si="44"/>
        <v>-4.953949273051126E-2</v>
      </c>
    </row>
    <row r="54" spans="1:26" s="27" customFormat="1" outlineLevel="1" collapsed="1" x14ac:dyDescent="0.25">
      <c r="A54" s="25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7"/>
        <v>0</v>
      </c>
      <c r="G54" s="1"/>
      <c r="H54" s="1">
        <f>SUM(OSRRefH22_9x_0)</f>
        <v>604.16</v>
      </c>
      <c r="I54" s="1"/>
      <c r="J54" s="5">
        <f t="shared" si="38"/>
        <v>1.0363385768355616E-2</v>
      </c>
      <c r="K54" s="1"/>
      <c r="L54" s="1">
        <f t="shared" si="39"/>
        <v>37.120000000000005</v>
      </c>
      <c r="M54" s="1"/>
      <c r="N54" s="5">
        <f t="shared" si="40"/>
        <v>6.1440677966101705E-2</v>
      </c>
      <c r="O54" s="13"/>
      <c r="P54" s="1">
        <f>SUM(OSRRefP22_9x_0)</f>
        <v>7054.08</v>
      </c>
      <c r="Q54" s="1"/>
      <c r="R54" s="5">
        <f t="shared" si="41"/>
        <v>1.0822710938979352E-2</v>
      </c>
      <c r="S54" s="1"/>
      <c r="T54" s="1">
        <f>SUM(OSRRefT22_9x_0)</f>
        <v>5567.79</v>
      </c>
      <c r="U54" s="1"/>
      <c r="V54" s="5">
        <f t="shared" si="42"/>
        <v>6.1957929046214839E-3</v>
      </c>
      <c r="W54" s="1"/>
      <c r="X54" s="1">
        <f t="shared" si="43"/>
        <v>1486.29</v>
      </c>
      <c r="Y54" s="1"/>
      <c r="Z54" s="5">
        <f t="shared" si="44"/>
        <v>0.26694433518505545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7"/>
        <v>0</v>
      </c>
      <c r="G55" s="2"/>
      <c r="H55" s="6">
        <v>604.16</v>
      </c>
      <c r="I55" s="2"/>
      <c r="J55" s="7">
        <f t="shared" si="38"/>
        <v>1.0363385768355616E-2</v>
      </c>
      <c r="K55" s="2"/>
      <c r="L55" s="6">
        <f t="shared" si="39"/>
        <v>37.120000000000005</v>
      </c>
      <c r="M55" s="2"/>
      <c r="N55" s="7">
        <f t="shared" si="40"/>
        <v>6.1440677966101705E-2</v>
      </c>
      <c r="O55" s="11"/>
      <c r="P55" s="6">
        <v>7054.08</v>
      </c>
      <c r="Q55" s="2"/>
      <c r="R55" s="7">
        <f t="shared" si="41"/>
        <v>1.0822710938979352E-2</v>
      </c>
      <c r="S55" s="2"/>
      <c r="T55" s="6">
        <v>5567.79</v>
      </c>
      <c r="U55" s="2"/>
      <c r="V55" s="7">
        <f t="shared" si="42"/>
        <v>6.1957929046214839E-3</v>
      </c>
      <c r="W55" s="2"/>
      <c r="X55" s="6">
        <f t="shared" si="43"/>
        <v>1486.29</v>
      </c>
      <c r="Y55" s="2"/>
      <c r="Z55" s="7">
        <f t="shared" si="44"/>
        <v>0.26694433518505545</v>
      </c>
    </row>
    <row r="56" spans="1:26" s="27" customFormat="1" outlineLevel="1" collapsed="1" x14ac:dyDescent="0.25">
      <c r="A56" s="25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7"/>
        <v>0</v>
      </c>
      <c r="G56" s="1"/>
      <c r="H56" s="1">
        <f>SUM(OSRRefH22_10x_0)</f>
        <v>7949</v>
      </c>
      <c r="I56" s="1"/>
      <c r="J56" s="5">
        <f t="shared" si="38"/>
        <v>0.13635221377227688</v>
      </c>
      <c r="K56" s="1"/>
      <c r="L56" s="1">
        <f t="shared" si="39"/>
        <v>-195</v>
      </c>
      <c r="M56" s="1"/>
      <c r="N56" s="5">
        <f t="shared" si="40"/>
        <v>-2.4531387595924017E-2</v>
      </c>
      <c r="O56" s="13"/>
      <c r="P56" s="1">
        <f>SUM(OSRRefP22_10x_0)</f>
        <v>82950.28</v>
      </c>
      <c r="Q56" s="1"/>
      <c r="R56" s="5">
        <f t="shared" si="41"/>
        <v>0.12726633419913017</v>
      </c>
      <c r="S56" s="1"/>
      <c r="T56" s="1">
        <f>SUM(OSRRefT22_10x_0)</f>
        <v>85869.6</v>
      </c>
      <c r="U56" s="1"/>
      <c r="V56" s="5">
        <f t="shared" si="42"/>
        <v>9.5555015257882403E-2</v>
      </c>
      <c r="W56" s="1"/>
      <c r="X56" s="1">
        <f t="shared" si="43"/>
        <v>-2919.320000000007</v>
      </c>
      <c r="Y56" s="1"/>
      <c r="Z56" s="5">
        <f t="shared" si="44"/>
        <v>-3.3997130532807965E-2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7754</v>
      </c>
      <c r="E57" s="2"/>
      <c r="F57" s="7">
        <f t="shared" si="37"/>
        <v>0</v>
      </c>
      <c r="G57" s="2"/>
      <c r="H57" s="6">
        <v>7949</v>
      </c>
      <c r="I57" s="2"/>
      <c r="J57" s="7">
        <f t="shared" si="38"/>
        <v>0.13635221377227688</v>
      </c>
      <c r="K57" s="2"/>
      <c r="L57" s="6">
        <f t="shared" si="39"/>
        <v>-195</v>
      </c>
      <c r="M57" s="2"/>
      <c r="N57" s="7">
        <f t="shared" si="40"/>
        <v>-2.4531387595924017E-2</v>
      </c>
      <c r="O57" s="11"/>
      <c r="P57" s="6">
        <v>82950.28</v>
      </c>
      <c r="Q57" s="2"/>
      <c r="R57" s="7">
        <f t="shared" si="41"/>
        <v>0.12726633419913017</v>
      </c>
      <c r="S57" s="2"/>
      <c r="T57" s="6">
        <v>85869.6</v>
      </c>
      <c r="U57" s="2"/>
      <c r="V57" s="7">
        <f t="shared" si="42"/>
        <v>9.5555015257882403E-2</v>
      </c>
      <c r="W57" s="2"/>
      <c r="X57" s="6">
        <f t="shared" si="43"/>
        <v>-2919.320000000007</v>
      </c>
      <c r="Y57" s="2"/>
      <c r="Z57" s="7">
        <f t="shared" si="44"/>
        <v>-3.3997130532807965E-2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102.5</v>
      </c>
      <c r="E58" s="1"/>
      <c r="F58" s="5">
        <f t="shared" si="37"/>
        <v>0</v>
      </c>
      <c r="G58" s="1"/>
      <c r="H58" s="1">
        <f>SUM(OSRRefH22_11x_0)</f>
        <v>0</v>
      </c>
      <c r="I58" s="1"/>
      <c r="J58" s="5">
        <f t="shared" si="38"/>
        <v>0</v>
      </c>
      <c r="K58" s="1"/>
      <c r="L58" s="1">
        <f t="shared" si="39"/>
        <v>102.5</v>
      </c>
      <c r="M58" s="1"/>
      <c r="N58" s="5">
        <f t="shared" si="40"/>
        <v>0</v>
      </c>
      <c r="O58" s="13"/>
      <c r="P58" s="1">
        <f>SUM(OSRRefP22_11x_0)</f>
        <v>24616.46</v>
      </c>
      <c r="Q58" s="1"/>
      <c r="R58" s="5">
        <f t="shared" si="41"/>
        <v>3.7767764318089342E-2</v>
      </c>
      <c r="S58" s="1"/>
      <c r="T58" s="1">
        <f>SUM(OSRRefT22_11x_0)</f>
        <v>19090.16</v>
      </c>
      <c r="U58" s="1"/>
      <c r="V58" s="5">
        <f t="shared" si="42"/>
        <v>2.1243379846597819E-2</v>
      </c>
      <c r="W58" s="1"/>
      <c r="X58" s="1">
        <f t="shared" si="43"/>
        <v>5526.2999999999993</v>
      </c>
      <c r="Y58" s="1"/>
      <c r="Z58" s="5">
        <f t="shared" si="44"/>
        <v>0.28948421595209256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2623.84</v>
      </c>
      <c r="Q59" s="2"/>
      <c r="R59" s="7">
        <f t="shared" si="41"/>
        <v>4.0256223164653058E-3</v>
      </c>
      <c r="S59" s="2"/>
      <c r="T59" s="6">
        <v>171.43</v>
      </c>
      <c r="U59" s="2"/>
      <c r="V59" s="7">
        <f t="shared" si="42"/>
        <v>1.9076595518855078E-4</v>
      </c>
      <c r="W59" s="2"/>
      <c r="X59" s="6">
        <f t="shared" si="43"/>
        <v>2452.4100000000003</v>
      </c>
      <c r="Y59" s="2"/>
      <c r="Z59" s="7">
        <f t="shared" si="44"/>
        <v>14.305605786618447</v>
      </c>
    </row>
    <row r="60" spans="1:26" s="24" customFormat="1" hidden="1" outlineLevel="2" x14ac:dyDescent="0.25">
      <c r="A60" s="26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-0.01</v>
      </c>
      <c r="Q60" s="2"/>
      <c r="R60" s="7">
        <f t="shared" si="41"/>
        <v>-1.5342483979454943E-8</v>
      </c>
      <c r="S60" s="2"/>
      <c r="T60" s="6">
        <v>880.96</v>
      </c>
      <c r="U60" s="2"/>
      <c r="V60" s="7">
        <f t="shared" si="42"/>
        <v>9.8032535660564474E-4</v>
      </c>
      <c r="W60" s="2"/>
      <c r="X60" s="6">
        <f t="shared" si="43"/>
        <v>-880.97</v>
      </c>
      <c r="Y60" s="2"/>
      <c r="Z60" s="7">
        <f t="shared" si="44"/>
        <v>-1.0000113512531783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3877.26</v>
      </c>
      <c r="Q61" s="2"/>
      <c r="R61" s="7">
        <f t="shared" si="41"/>
        <v>5.9486799434181475E-3</v>
      </c>
      <c r="S61" s="2"/>
      <c r="T61" s="6">
        <v>811.6</v>
      </c>
      <c r="U61" s="2"/>
      <c r="V61" s="7">
        <f t="shared" si="42"/>
        <v>9.0314209433020945E-4</v>
      </c>
      <c r="W61" s="2"/>
      <c r="X61" s="6">
        <f t="shared" si="43"/>
        <v>3065.6600000000003</v>
      </c>
      <c r="Y61" s="2"/>
      <c r="Z61" s="7">
        <f t="shared" si="44"/>
        <v>3.777304090685067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102.5</v>
      </c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102.5</v>
      </c>
      <c r="M62" s="2"/>
      <c r="N62" s="7">
        <f t="shared" si="40"/>
        <v>0</v>
      </c>
      <c r="O62" s="11"/>
      <c r="P62" s="6">
        <v>18115.37</v>
      </c>
      <c r="Q62" s="2"/>
      <c r="R62" s="7">
        <f t="shared" si="41"/>
        <v>2.7793477400689867E-2</v>
      </c>
      <c r="S62" s="2"/>
      <c r="T62" s="6">
        <v>17226.169999999998</v>
      </c>
      <c r="U62" s="2"/>
      <c r="V62" s="7">
        <f t="shared" si="42"/>
        <v>1.9169146440473413E-2</v>
      </c>
      <c r="W62" s="2"/>
      <c r="X62" s="6">
        <f t="shared" si="43"/>
        <v>889.20000000000073</v>
      </c>
      <c r="Y62" s="2"/>
      <c r="Z62" s="7">
        <f t="shared" si="44"/>
        <v>5.1619135304017134E-2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761</v>
      </c>
      <c r="E63" s="1"/>
      <c r="F63" s="5">
        <f t="shared" ref="F63:F68" si="45">IF(D$12=0,0,D63/D$12)</f>
        <v>0</v>
      </c>
      <c r="G63" s="1"/>
      <c r="H63" s="1">
        <f>SUM(OSRRefH22_12x_0)</f>
        <v>5408.99</v>
      </c>
      <c r="I63" s="1"/>
      <c r="J63" s="5">
        <f t="shared" ref="J63:J68" si="46">IF(H$12=0,0,H63/H$12)</f>
        <v>9.2782458267971796E-2</v>
      </c>
      <c r="K63" s="1"/>
      <c r="L63" s="1">
        <f t="shared" ref="L63:L68" si="47">+D63-H63</f>
        <v>-4647.99</v>
      </c>
      <c r="M63" s="1"/>
      <c r="N63" s="5">
        <f t="shared" ref="N63:N68" si="48">IF(H63=0,0,L63/H63)</f>
        <v>-0.85930829970105327</v>
      </c>
      <c r="O63" s="13"/>
      <c r="P63" s="1">
        <f>SUM(OSRRefP22_12x_0)</f>
        <v>43931.07</v>
      </c>
      <c r="Q63" s="1"/>
      <c r="R63" s="5">
        <f t="shared" ref="R63:R68" si="49">IF(P$12=0,0,P63/P$12)</f>
        <v>6.7401173767531367E-2</v>
      </c>
      <c r="S63" s="1"/>
      <c r="T63" s="1">
        <f>SUM(OSRRefT22_12x_0)</f>
        <v>46544.710000000006</v>
      </c>
      <c r="U63" s="1"/>
      <c r="V63" s="5">
        <f t="shared" ref="V63:V68" si="50">IF(T$12=0,0,T63/T$12)</f>
        <v>5.179458707416492E-2</v>
      </c>
      <c r="W63" s="1"/>
      <c r="X63" s="1">
        <f t="shared" ref="X63:X68" si="51">+P63-T63</f>
        <v>-2613.6400000000067</v>
      </c>
      <c r="Y63" s="1"/>
      <c r="Z63" s="5">
        <f t="shared" ref="Z63:Z68" si="52">IF(T63=0,0,X63/T63)</f>
        <v>-5.6153320108772969E-2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5"/>
        <v>0</v>
      </c>
      <c r="G64" s="2"/>
      <c r="H64" s="6">
        <v>657.08</v>
      </c>
      <c r="I64" s="2"/>
      <c r="J64" s="7">
        <f t="shared" si="46"/>
        <v>1.1271142612339627E-2</v>
      </c>
      <c r="K64" s="2"/>
      <c r="L64" s="6">
        <f t="shared" si="47"/>
        <v>-657.08</v>
      </c>
      <c r="M64" s="2"/>
      <c r="N64" s="7">
        <f t="shared" si="48"/>
        <v>-1</v>
      </c>
      <c r="O64" s="11"/>
      <c r="P64" s="6">
        <v>3285.4</v>
      </c>
      <c r="Q64" s="2"/>
      <c r="R64" s="7">
        <f t="shared" si="49"/>
        <v>5.0406196866101269E-3</v>
      </c>
      <c r="S64" s="2"/>
      <c r="T64" s="6">
        <v>3763.94</v>
      </c>
      <c r="U64" s="2"/>
      <c r="V64" s="7">
        <f t="shared" si="50"/>
        <v>4.1884828173154864E-3</v>
      </c>
      <c r="W64" s="2"/>
      <c r="X64" s="6">
        <f t="shared" si="51"/>
        <v>-478.53999999999996</v>
      </c>
      <c r="Y64" s="2"/>
      <c r="Z64" s="7">
        <f t="shared" si="52"/>
        <v>-0.12713805214748375</v>
      </c>
    </row>
    <row r="65" spans="1:26" s="24" customFormat="1" hidden="1" outlineLevel="2" x14ac:dyDescent="0.25">
      <c r="A65" s="26"/>
      <c r="B65" s="11" t="str">
        <f>CONCATENATE("          ", "6283", " - ", "PLANT SERVICE")</f>
        <v xml:space="preserve">          6283 - PLANT SERVICE</v>
      </c>
      <c r="C65" s="11"/>
      <c r="D65" s="6"/>
      <c r="E65" s="2"/>
      <c r="F65" s="7">
        <f t="shared" si="45"/>
        <v>0</v>
      </c>
      <c r="G65" s="2"/>
      <c r="H65" s="6">
        <v>56</v>
      </c>
      <c r="I65" s="2"/>
      <c r="J65" s="7">
        <f t="shared" si="46"/>
        <v>9.6058925289313187E-4</v>
      </c>
      <c r="K65" s="2"/>
      <c r="L65" s="6">
        <f t="shared" si="47"/>
        <v>-56</v>
      </c>
      <c r="M65" s="2"/>
      <c r="N65" s="7">
        <f t="shared" si="48"/>
        <v>-1</v>
      </c>
      <c r="O65" s="11"/>
      <c r="P65" s="6">
        <v>553.95000000000005</v>
      </c>
      <c r="Q65" s="2"/>
      <c r="R65" s="7">
        <f t="shared" si="49"/>
        <v>8.4989690004190661E-4</v>
      </c>
      <c r="S65" s="2"/>
      <c r="T65" s="6">
        <v>616</v>
      </c>
      <c r="U65" s="2"/>
      <c r="V65" s="7">
        <f t="shared" si="50"/>
        <v>6.8547995331124821E-4</v>
      </c>
      <c r="W65" s="2"/>
      <c r="X65" s="6">
        <f t="shared" si="51"/>
        <v>-62.049999999999955</v>
      </c>
      <c r="Y65" s="2"/>
      <c r="Z65" s="7">
        <f t="shared" si="52"/>
        <v>-0.10073051948051941</v>
      </c>
    </row>
    <row r="66" spans="1:26" s="24" customFormat="1" hidden="1" outlineLevel="2" x14ac:dyDescent="0.25">
      <c r="A66" s="26"/>
      <c r="B66" s="11" t="str">
        <f>CONCATENATE("          ", "6284", " - ", "TRASH REMOVAL EXPENSE")</f>
        <v xml:space="preserve">          6284 - TRASH REMOVAL EXPENSE</v>
      </c>
      <c r="C66" s="11"/>
      <c r="D66" s="6">
        <v>761</v>
      </c>
      <c r="E66" s="2"/>
      <c r="F66" s="7">
        <f t="shared" si="45"/>
        <v>0</v>
      </c>
      <c r="G66" s="2"/>
      <c r="H66" s="6">
        <v>623</v>
      </c>
      <c r="I66" s="2"/>
      <c r="J66" s="7">
        <f t="shared" si="46"/>
        <v>1.0686555438436092E-2</v>
      </c>
      <c r="K66" s="2"/>
      <c r="L66" s="6">
        <f t="shared" si="47"/>
        <v>138</v>
      </c>
      <c r="M66" s="2"/>
      <c r="N66" s="7">
        <f t="shared" si="48"/>
        <v>0.22150882825040127</v>
      </c>
      <c r="O66" s="11"/>
      <c r="P66" s="6">
        <v>8363</v>
      </c>
      <c r="Q66" s="2"/>
      <c r="R66" s="7">
        <f t="shared" si="49"/>
        <v>1.2830919352018168E-2</v>
      </c>
      <c r="S66" s="2"/>
      <c r="T66" s="6">
        <v>7109.82</v>
      </c>
      <c r="U66" s="2"/>
      <c r="V66" s="7">
        <f t="shared" si="50"/>
        <v>7.9117517559275617E-3</v>
      </c>
      <c r="W66" s="2"/>
      <c r="X66" s="6">
        <f t="shared" si="51"/>
        <v>1253.1800000000003</v>
      </c>
      <c r="Y66" s="2"/>
      <c r="Z66" s="7">
        <f t="shared" si="52"/>
        <v>0.1762604397860987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45"/>
        <v>0</v>
      </c>
      <c r="G67" s="2"/>
      <c r="H67" s="6">
        <v>3833.95</v>
      </c>
      <c r="I67" s="2"/>
      <c r="J67" s="7">
        <f t="shared" si="46"/>
        <v>6.5765199395171836E-2</v>
      </c>
      <c r="K67" s="2"/>
      <c r="L67" s="6">
        <f t="shared" si="47"/>
        <v>-3833.95</v>
      </c>
      <c r="M67" s="2"/>
      <c r="N67" s="7">
        <f t="shared" si="48"/>
        <v>-1</v>
      </c>
      <c r="O67" s="11"/>
      <c r="P67" s="6">
        <v>29782.300000000003</v>
      </c>
      <c r="Q67" s="2"/>
      <c r="R67" s="7">
        <f t="shared" si="49"/>
        <v>4.5693446062132097E-2</v>
      </c>
      <c r="S67" s="2"/>
      <c r="T67" s="6">
        <v>33308.060000000005</v>
      </c>
      <c r="U67" s="2"/>
      <c r="V67" s="7">
        <f t="shared" si="50"/>
        <v>3.706494710014327E-2</v>
      </c>
      <c r="W67" s="2"/>
      <c r="X67" s="6">
        <f t="shared" si="51"/>
        <v>-3525.760000000002</v>
      </c>
      <c r="Y67" s="2"/>
      <c r="Z67" s="7">
        <f t="shared" si="52"/>
        <v>-0.10585305778841522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>
        <v>238.96</v>
      </c>
      <c r="I68" s="2"/>
      <c r="J68" s="7">
        <f t="shared" si="46"/>
        <v>4.0989715691311214E-3</v>
      </c>
      <c r="K68" s="2"/>
      <c r="L68" s="6">
        <f t="shared" si="47"/>
        <v>-238.96</v>
      </c>
      <c r="M68" s="2"/>
      <c r="N68" s="7">
        <f t="shared" si="48"/>
        <v>-1</v>
      </c>
      <c r="O68" s="11"/>
      <c r="P68" s="6">
        <v>1946.42</v>
      </c>
      <c r="Q68" s="2"/>
      <c r="R68" s="7">
        <f t="shared" si="49"/>
        <v>2.986291766729069E-3</v>
      </c>
      <c r="S68" s="2"/>
      <c r="T68" s="6">
        <v>1746.89</v>
      </c>
      <c r="U68" s="2"/>
      <c r="V68" s="7">
        <f t="shared" si="50"/>
        <v>1.9439254474673479E-3</v>
      </c>
      <c r="W68" s="2"/>
      <c r="X68" s="6">
        <f t="shared" si="51"/>
        <v>199.52999999999997</v>
      </c>
      <c r="Y68" s="2"/>
      <c r="Z68" s="7">
        <f t="shared" si="52"/>
        <v>0.11422012834236842</v>
      </c>
    </row>
    <row r="69" spans="1:26" s="27" customFormat="1" outlineLevel="1" collapsed="1" x14ac:dyDescent="0.25">
      <c r="A69" s="25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SUM(OSRRefD22_13x_0)</f>
        <v>0</v>
      </c>
      <c r="E69" s="1"/>
      <c r="F69" s="5">
        <f t="shared" ref="F69:F71" si="53">IF(D$12=0,0,D69/D$12)</f>
        <v>0</v>
      </c>
      <c r="G69" s="1"/>
      <c r="H69" s="1">
        <f>SUM(OSRRefH22_13x_0)</f>
        <v>196.71</v>
      </c>
      <c r="I69" s="1"/>
      <c r="J69" s="5">
        <f t="shared" ref="J69:J71" si="54">IF(H$12=0,0,H69/H$12)</f>
        <v>3.3742412845822853E-3</v>
      </c>
      <c r="K69" s="1"/>
      <c r="L69" s="1">
        <f t="shared" ref="L69:L71" si="55">+D69-H69</f>
        <v>-196.71</v>
      </c>
      <c r="M69" s="1"/>
      <c r="N69" s="5">
        <f t="shared" ref="N69:N71" si="56">IF(H69=0,0,L69/H69)</f>
        <v>-1</v>
      </c>
      <c r="O69" s="13"/>
      <c r="P69" s="1">
        <f>SUM(OSRRefP22_13x_0)</f>
        <v>2638.42</v>
      </c>
      <c r="Q69" s="1"/>
      <c r="R69" s="5">
        <f t="shared" ref="R69:R71" si="57">IF(P$12=0,0,P69/P$12)</f>
        <v>4.0479916581073506E-3</v>
      </c>
      <c r="S69" s="1"/>
      <c r="T69" s="1">
        <f>SUM(OSRRefT22_13x_0)</f>
        <v>2016.12</v>
      </c>
      <c r="U69" s="1"/>
      <c r="V69" s="5">
        <f t="shared" ref="V69:V71" si="58">IF(T$12=0,0,T69/T$12)</f>
        <v>2.2435224731653792E-3</v>
      </c>
      <c r="W69" s="1"/>
      <c r="X69" s="1">
        <f t="shared" ref="X69:X71" si="59">+P69-T69</f>
        <v>622.30000000000018</v>
      </c>
      <c r="Y69" s="1"/>
      <c r="Z69" s="5">
        <f t="shared" ref="Z69:Z71" si="60">IF(T69=0,0,X69/T69)</f>
        <v>0.30866218280657909</v>
      </c>
    </row>
    <row r="70" spans="1:26" s="24" customFormat="1" hidden="1" outlineLevel="2" x14ac:dyDescent="0.25">
      <c r="A70" s="26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978</v>
      </c>
      <c r="Q70" s="2"/>
      <c r="R70" s="7">
        <f t="shared" si="57"/>
        <v>1.5004949331906933E-3</v>
      </c>
      <c r="S70" s="2"/>
      <c r="T70" s="6"/>
      <c r="U70" s="2"/>
      <c r="V70" s="7">
        <f t="shared" si="58"/>
        <v>0</v>
      </c>
      <c r="W70" s="2"/>
      <c r="X70" s="6">
        <f t="shared" si="59"/>
        <v>978</v>
      </c>
      <c r="Y70" s="2"/>
      <c r="Z70" s="7">
        <f t="shared" si="60"/>
        <v>0</v>
      </c>
    </row>
    <row r="71" spans="1:26" s="24" customFormat="1" hidden="1" outlineLevel="2" x14ac:dyDescent="0.25">
      <c r="A71" s="26"/>
      <c r="B71" s="11" t="str">
        <f>CONCATENATE("          ", "6275", " - ", "SUBSCRIPTIONS")</f>
        <v xml:space="preserve">          6275 - SUBSCRIPTIONS</v>
      </c>
      <c r="C71" s="11"/>
      <c r="D71" s="6"/>
      <c r="E71" s="2"/>
      <c r="F71" s="7">
        <f t="shared" si="53"/>
        <v>0</v>
      </c>
      <c r="G71" s="2"/>
      <c r="H71" s="6">
        <v>196.71</v>
      </c>
      <c r="I71" s="2"/>
      <c r="J71" s="7">
        <f t="shared" si="54"/>
        <v>3.3742412845822853E-3</v>
      </c>
      <c r="K71" s="2"/>
      <c r="L71" s="6">
        <f t="shared" si="55"/>
        <v>-196.71</v>
      </c>
      <c r="M71" s="2"/>
      <c r="N71" s="7">
        <f t="shared" si="56"/>
        <v>-1</v>
      </c>
      <c r="O71" s="11"/>
      <c r="P71" s="6">
        <v>1660.42</v>
      </c>
      <c r="Q71" s="2"/>
      <c r="R71" s="7">
        <f t="shared" si="57"/>
        <v>2.5474967249166577E-3</v>
      </c>
      <c r="S71" s="2"/>
      <c r="T71" s="6">
        <v>2016.12</v>
      </c>
      <c r="U71" s="2"/>
      <c r="V71" s="7">
        <f t="shared" si="58"/>
        <v>2.2435224731653792E-3</v>
      </c>
      <c r="W71" s="2"/>
      <c r="X71" s="6">
        <f t="shared" si="59"/>
        <v>-355.69999999999982</v>
      </c>
      <c r="Y71" s="2"/>
      <c r="Z71" s="7">
        <f t="shared" si="60"/>
        <v>-0.1764279903973969</v>
      </c>
    </row>
    <row r="72" spans="1:26" s="27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SUM(OSRRefD22_14x_0)</f>
        <v>0</v>
      </c>
      <c r="E72" s="1"/>
      <c r="F72" s="5">
        <f t="shared" ref="F72:F80" si="61">IF(D$12=0,0,D72/D$12)</f>
        <v>0</v>
      </c>
      <c r="G72" s="1"/>
      <c r="H72" s="1">
        <f>SUM(OSRRefH22_14x_0)</f>
        <v>920.52</v>
      </c>
      <c r="I72" s="1"/>
      <c r="J72" s="5">
        <f t="shared" ref="J72:J80" si="62">IF(H$12=0,0,H72/H$12)</f>
        <v>1.5790028912021171E-2</v>
      </c>
      <c r="K72" s="1"/>
      <c r="L72" s="1">
        <f t="shared" ref="L72:L80" si="63">+D72-H72</f>
        <v>-920.52</v>
      </c>
      <c r="M72" s="1"/>
      <c r="N72" s="5">
        <f t="shared" ref="N72:N80" si="64">IF(H72=0,0,L72/H72)</f>
        <v>-1</v>
      </c>
      <c r="O72" s="13"/>
      <c r="P72" s="1">
        <f>SUM(OSRRefP22_14x_0)</f>
        <v>21774.560000000001</v>
      </c>
      <c r="Q72" s="1"/>
      <c r="R72" s="5">
        <f t="shared" ref="R72:R80" si="65">IF(P$12=0,0,P72/P$12)</f>
        <v>3.3407583795968046E-2</v>
      </c>
      <c r="S72" s="1"/>
      <c r="T72" s="1">
        <f>SUM(OSRRefT22_14x_0)</f>
        <v>26886.61</v>
      </c>
      <c r="U72" s="1"/>
      <c r="V72" s="5">
        <f t="shared" ref="V72:V80" si="66">IF(T$12=0,0,T72/T$12)</f>
        <v>2.9919208064119705E-2</v>
      </c>
      <c r="W72" s="1"/>
      <c r="X72" s="1">
        <f t="shared" ref="X72:X80" si="67">+P72-T72</f>
        <v>-5112.0499999999993</v>
      </c>
      <c r="Y72" s="1"/>
      <c r="Z72" s="5">
        <f t="shared" ref="Z72:Z80" si="68">IF(T72=0,0,X72/T72)</f>
        <v>-0.19013367620536761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61"/>
        <v>0</v>
      </c>
      <c r="G73" s="2"/>
      <c r="H73" s="6"/>
      <c r="I73" s="2"/>
      <c r="J73" s="7">
        <f t="shared" si="62"/>
        <v>0</v>
      </c>
      <c r="K73" s="2"/>
      <c r="L73" s="6">
        <f t="shared" si="63"/>
        <v>0</v>
      </c>
      <c r="M73" s="2"/>
      <c r="N73" s="7">
        <f t="shared" si="64"/>
        <v>0</v>
      </c>
      <c r="O73" s="11"/>
      <c r="P73" s="6">
        <v>1090.83</v>
      </c>
      <c r="Q73" s="2"/>
      <c r="R73" s="7">
        <f t="shared" si="65"/>
        <v>1.6736041799308833E-3</v>
      </c>
      <c r="S73" s="2"/>
      <c r="T73" s="6">
        <v>1127.94</v>
      </c>
      <c r="U73" s="2"/>
      <c r="V73" s="7">
        <f t="shared" si="66"/>
        <v>1.2551627573667034E-3</v>
      </c>
      <c r="W73" s="2"/>
      <c r="X73" s="6">
        <f t="shared" si="67"/>
        <v>-37.110000000000127</v>
      </c>
      <c r="Y73" s="2"/>
      <c r="Z73" s="7">
        <f t="shared" si="68"/>
        <v>-3.2900686206713235E-2</v>
      </c>
    </row>
    <row r="74" spans="1:26" s="24" customFormat="1" hidden="1" outlineLevel="2" x14ac:dyDescent="0.25">
      <c r="A74" s="26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61"/>
        <v>0</v>
      </c>
      <c r="G74" s="2"/>
      <c r="H74" s="6">
        <v>261.43</v>
      </c>
      <c r="I74" s="2"/>
      <c r="J74" s="7">
        <f t="shared" si="62"/>
        <v>4.4844080068544906E-3</v>
      </c>
      <c r="K74" s="2"/>
      <c r="L74" s="6">
        <f t="shared" si="63"/>
        <v>-261.43</v>
      </c>
      <c r="M74" s="2"/>
      <c r="N74" s="7">
        <f t="shared" si="64"/>
        <v>-1</v>
      </c>
      <c r="O74" s="11"/>
      <c r="P74" s="6">
        <v>8948.91</v>
      </c>
      <c r="Q74" s="2"/>
      <c r="R74" s="7">
        <f t="shared" si="65"/>
        <v>1.3729850830858413E-2</v>
      </c>
      <c r="S74" s="2"/>
      <c r="T74" s="6">
        <v>11495.94</v>
      </c>
      <c r="U74" s="2"/>
      <c r="V74" s="7">
        <f t="shared" si="66"/>
        <v>1.279259158193005E-2</v>
      </c>
      <c r="W74" s="2"/>
      <c r="X74" s="6">
        <f t="shared" si="67"/>
        <v>-2547.0300000000007</v>
      </c>
      <c r="Y74" s="2"/>
      <c r="Z74" s="7">
        <f t="shared" si="68"/>
        <v>-0.2215590895568349</v>
      </c>
    </row>
    <row r="75" spans="1:26" s="24" customFormat="1" hidden="1" outlineLevel="2" x14ac:dyDescent="0.25">
      <c r="A75" s="26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1"/>
      <c r="P75" s="6">
        <v>425.78</v>
      </c>
      <c r="Q75" s="2"/>
      <c r="R75" s="7">
        <f t="shared" si="65"/>
        <v>6.5325228287723249E-4</v>
      </c>
      <c r="S75" s="2"/>
      <c r="T75" s="6">
        <v>1555.6</v>
      </c>
      <c r="U75" s="2"/>
      <c r="V75" s="7">
        <f t="shared" si="66"/>
        <v>1.7310594405373012E-3</v>
      </c>
      <c r="W75" s="2"/>
      <c r="X75" s="6">
        <f t="shared" si="67"/>
        <v>-1129.82</v>
      </c>
      <c r="Y75" s="2"/>
      <c r="Z75" s="7">
        <f t="shared" si="68"/>
        <v>-0.72629210593983029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61"/>
        <v>0</v>
      </c>
      <c r="G76" s="2"/>
      <c r="H76" s="6">
        <v>95.07</v>
      </c>
      <c r="I76" s="2"/>
      <c r="J76" s="7">
        <f t="shared" si="62"/>
        <v>1.6307717905812507E-3</v>
      </c>
      <c r="K76" s="2"/>
      <c r="L76" s="6">
        <f t="shared" si="63"/>
        <v>-95.07</v>
      </c>
      <c r="M76" s="2"/>
      <c r="N76" s="7">
        <f t="shared" si="64"/>
        <v>-1</v>
      </c>
      <c r="O76" s="11"/>
      <c r="P76" s="6">
        <v>5703.34</v>
      </c>
      <c r="Q76" s="2"/>
      <c r="R76" s="7">
        <f t="shared" si="65"/>
        <v>8.7503402579384559E-3</v>
      </c>
      <c r="S76" s="2"/>
      <c r="T76" s="6">
        <v>2662.88</v>
      </c>
      <c r="U76" s="2"/>
      <c r="V76" s="7">
        <f t="shared" si="66"/>
        <v>2.9632319124569101E-3</v>
      </c>
      <c r="W76" s="2"/>
      <c r="X76" s="6">
        <f t="shared" si="67"/>
        <v>3040.46</v>
      </c>
      <c r="Y76" s="2"/>
      <c r="Z76" s="7">
        <f t="shared" si="68"/>
        <v>1.1417938472631135</v>
      </c>
    </row>
    <row r="77" spans="1:26" s="24" customFormat="1" hidden="1" outlineLevel="2" x14ac:dyDescent="0.25">
      <c r="A77" s="26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61"/>
        <v>0</v>
      </c>
      <c r="G77" s="2"/>
      <c r="H77" s="6">
        <v>564.02</v>
      </c>
      <c r="I77" s="2"/>
      <c r="J77" s="7">
        <f t="shared" si="62"/>
        <v>9.6748491145854324E-3</v>
      </c>
      <c r="K77" s="2"/>
      <c r="L77" s="6">
        <f t="shared" si="63"/>
        <v>-564.02</v>
      </c>
      <c r="M77" s="2"/>
      <c r="N77" s="7">
        <f t="shared" si="64"/>
        <v>-1</v>
      </c>
      <c r="O77" s="11"/>
      <c r="P77" s="6">
        <v>5123.8</v>
      </c>
      <c r="Q77" s="2"/>
      <c r="R77" s="7">
        <f t="shared" si="65"/>
        <v>7.8611819413931232E-3</v>
      </c>
      <c r="S77" s="2"/>
      <c r="T77" s="6">
        <v>7422.29</v>
      </c>
      <c r="U77" s="2"/>
      <c r="V77" s="7">
        <f t="shared" si="66"/>
        <v>8.2594659134132206E-3</v>
      </c>
      <c r="W77" s="2"/>
      <c r="X77" s="6">
        <f t="shared" si="67"/>
        <v>-2298.4899999999998</v>
      </c>
      <c r="Y77" s="2"/>
      <c r="Z77" s="7">
        <f t="shared" si="68"/>
        <v>-0.30967396854609558</v>
      </c>
    </row>
    <row r="78" spans="1:26" s="24" customFormat="1" hidden="1" outlineLevel="2" x14ac:dyDescent="0.25">
      <c r="A78" s="26"/>
      <c r="B78" s="11" t="str">
        <f>CONCATENATE("          ", "6246", " - ", "REPLACEMENTS")</f>
        <v xml:space="preserve">          6246 - REPLACEMENTS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25.87</v>
      </c>
      <c r="Q78" s="2"/>
      <c r="R78" s="7">
        <f t="shared" si="65"/>
        <v>3.9691006054849937E-5</v>
      </c>
      <c r="S78" s="2"/>
      <c r="T78" s="6"/>
      <c r="U78" s="2"/>
      <c r="V78" s="7">
        <f t="shared" si="66"/>
        <v>0</v>
      </c>
      <c r="W78" s="2"/>
      <c r="X78" s="6">
        <f t="shared" si="67"/>
        <v>25.87</v>
      </c>
      <c r="Y78" s="2"/>
      <c r="Z78" s="7">
        <f t="shared" si="68"/>
        <v>0</v>
      </c>
    </row>
    <row r="79" spans="1:26" s="24" customFormat="1" hidden="1" outlineLevel="2" x14ac:dyDescent="0.25">
      <c r="A79" s="26"/>
      <c r="B79" s="11" t="str">
        <f>CONCATENATE("          ", "6247", " - ", "STORE SUPPLIES")</f>
        <v xml:space="preserve">          6247 - STORE SUPPLIES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440.56</v>
      </c>
      <c r="Q79" s="2"/>
      <c r="R79" s="7">
        <f t="shared" si="65"/>
        <v>6.7592847419886692E-4</v>
      </c>
      <c r="S79" s="2"/>
      <c r="T79" s="6">
        <v>1164.01</v>
      </c>
      <c r="U79" s="2"/>
      <c r="V79" s="7">
        <f t="shared" si="66"/>
        <v>1.2953011695678992E-3</v>
      </c>
      <c r="W79" s="2"/>
      <c r="X79" s="6">
        <f t="shared" si="67"/>
        <v>-723.45</v>
      </c>
      <c r="Y79" s="2"/>
      <c r="Z79" s="7">
        <f t="shared" si="68"/>
        <v>-0.62151527907835846</v>
      </c>
    </row>
    <row r="80" spans="1:26" s="24" customFormat="1" hidden="1" outlineLevel="2" x14ac:dyDescent="0.25">
      <c r="A80" s="26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>
        <v>15.47</v>
      </c>
      <c r="Q80" s="2"/>
      <c r="R80" s="7">
        <f t="shared" si="65"/>
        <v>2.3734822716216798E-5</v>
      </c>
      <c r="S80" s="2"/>
      <c r="T80" s="6">
        <v>1457.95</v>
      </c>
      <c r="U80" s="2"/>
      <c r="V80" s="7">
        <f t="shared" si="66"/>
        <v>1.6223952888476205E-3</v>
      </c>
      <c r="W80" s="2"/>
      <c r="X80" s="6">
        <f t="shared" si="67"/>
        <v>-1442.48</v>
      </c>
      <c r="Y80" s="2"/>
      <c r="Z80" s="7">
        <f t="shared" si="68"/>
        <v>-0.98938921087828802</v>
      </c>
    </row>
    <row r="81" spans="1:26" s="27" customFormat="1" outlineLevel="1" collapsed="1" x14ac:dyDescent="0.25">
      <c r="A81" s="25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SUM(OSRRefD22_15x_0)</f>
        <v>132.6</v>
      </c>
      <c r="E81" s="1"/>
      <c r="F81" s="5">
        <f t="shared" ref="F81:F88" si="69">IF(D$12=0,0,D81/D$12)</f>
        <v>0</v>
      </c>
      <c r="G81" s="1"/>
      <c r="H81" s="1">
        <f>SUM(OSRRefH22_15x_0)</f>
        <v>148.44999999999999</v>
      </c>
      <c r="I81" s="1"/>
      <c r="J81" s="5">
        <f t="shared" ref="J81:J88" si="70">IF(H$12=0,0,H81/H$12)</f>
        <v>2.5464191891425964E-3</v>
      </c>
      <c r="K81" s="1"/>
      <c r="L81" s="1">
        <f t="shared" ref="L81:L88" si="71">+D81-H81</f>
        <v>-15.849999999999994</v>
      </c>
      <c r="M81" s="1"/>
      <c r="N81" s="5">
        <f t="shared" ref="N81:N88" si="72">IF(H81=0,0,L81/H81)</f>
        <v>-0.10676995621421351</v>
      </c>
      <c r="O81" s="13"/>
      <c r="P81" s="1">
        <f>SUM(OSRRefP22_15x_0)</f>
        <v>1588.64</v>
      </c>
      <c r="Q81" s="1"/>
      <c r="R81" s="5">
        <f t="shared" ref="R81:R88" si="73">IF(P$12=0,0,P81/P$12)</f>
        <v>2.4373683749121301E-3</v>
      </c>
      <c r="S81" s="1"/>
      <c r="T81" s="1">
        <f>SUM(OSRRefT22_15x_0)</f>
        <v>1703.9</v>
      </c>
      <c r="U81" s="1"/>
      <c r="V81" s="5">
        <f t="shared" ref="V81:V88" si="74">IF(T$12=0,0,T81/T$12)</f>
        <v>1.8960865137127205E-3</v>
      </c>
      <c r="W81" s="1"/>
      <c r="X81" s="1">
        <f t="shared" ref="X81:X88" si="75">+P81-T81</f>
        <v>-115.25999999999999</v>
      </c>
      <c r="Y81" s="1"/>
      <c r="Z81" s="5">
        <f t="shared" ref="Z81:Z88" si="76">IF(T81=0,0,X81/T81)</f>
        <v>-6.7644814836551437E-2</v>
      </c>
    </row>
    <row r="82" spans="1:26" s="24" customFormat="1" hidden="1" outlineLevel="2" x14ac:dyDescent="0.25">
      <c r="A82" s="26"/>
      <c r="B82" s="11" t="str">
        <f>CONCATENATE("          ", "6309", " - ", "TELEPHONE")</f>
        <v xml:space="preserve">          6309 - TELEPHONE</v>
      </c>
      <c r="C82" s="11"/>
      <c r="D82" s="6">
        <v>132.6</v>
      </c>
      <c r="E82" s="2"/>
      <c r="F82" s="7">
        <f t="shared" si="69"/>
        <v>0</v>
      </c>
      <c r="G82" s="2"/>
      <c r="H82" s="6">
        <v>148.44999999999999</v>
      </c>
      <c r="I82" s="2"/>
      <c r="J82" s="7">
        <f t="shared" si="70"/>
        <v>2.5464191891425964E-3</v>
      </c>
      <c r="K82" s="2"/>
      <c r="L82" s="6">
        <f t="shared" si="71"/>
        <v>-15.849999999999994</v>
      </c>
      <c r="M82" s="2"/>
      <c r="N82" s="7">
        <f t="shared" si="72"/>
        <v>-0.10676995621421351</v>
      </c>
      <c r="O82" s="11"/>
      <c r="P82" s="6">
        <v>1588.64</v>
      </c>
      <c r="Q82" s="2"/>
      <c r="R82" s="7">
        <f t="shared" si="73"/>
        <v>2.4373683749121301E-3</v>
      </c>
      <c r="S82" s="2"/>
      <c r="T82" s="6">
        <v>1703.9</v>
      </c>
      <c r="U82" s="2"/>
      <c r="V82" s="7">
        <f t="shared" si="74"/>
        <v>1.8960865137127205E-3</v>
      </c>
      <c r="W82" s="2"/>
      <c r="X82" s="6">
        <f t="shared" si="75"/>
        <v>-115.25999999999999</v>
      </c>
      <c r="Y82" s="2"/>
      <c r="Z82" s="7">
        <f t="shared" si="76"/>
        <v>-6.7644814836551437E-2</v>
      </c>
    </row>
    <row r="83" spans="1:26" s="27" customFormat="1" outlineLevel="1" collapsed="1" x14ac:dyDescent="0.25">
      <c r="A83" s="25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SUM(OSRRefD22_16x_0)</f>
        <v>0</v>
      </c>
      <c r="E83" s="1"/>
      <c r="F83" s="5">
        <f t="shared" si="69"/>
        <v>0</v>
      </c>
      <c r="G83" s="1"/>
      <c r="H83" s="1">
        <f>SUM(OSRRefH22_16x_0)</f>
        <v>0</v>
      </c>
      <c r="I83" s="1"/>
      <c r="J83" s="5">
        <f t="shared" si="70"/>
        <v>0</v>
      </c>
      <c r="K83" s="1"/>
      <c r="L83" s="1">
        <f t="shared" si="71"/>
        <v>0</v>
      </c>
      <c r="M83" s="1"/>
      <c r="N83" s="5">
        <f t="shared" si="72"/>
        <v>0</v>
      </c>
      <c r="O83" s="13"/>
      <c r="P83" s="1">
        <f>SUM(OSRRefP22_16x_0)</f>
        <v>185</v>
      </c>
      <c r="Q83" s="1"/>
      <c r="R83" s="5">
        <f t="shared" si="73"/>
        <v>2.8383595361991645E-4</v>
      </c>
      <c r="S83" s="1"/>
      <c r="T83" s="1">
        <f>SUM(OSRRefT22_16x_0)</f>
        <v>98.83</v>
      </c>
      <c r="U83" s="1"/>
      <c r="V83" s="5">
        <f t="shared" si="74"/>
        <v>1.0997724640543937E-4</v>
      </c>
      <c r="W83" s="1"/>
      <c r="X83" s="1">
        <f t="shared" si="75"/>
        <v>86.17</v>
      </c>
      <c r="Y83" s="1"/>
      <c r="Z83" s="5">
        <f t="shared" si="76"/>
        <v>0.87190124456136808</v>
      </c>
    </row>
    <row r="84" spans="1:26" s="24" customFormat="1" hidden="1" outlineLevel="2" x14ac:dyDescent="0.25">
      <c r="A84" s="26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9"/>
        <v>0</v>
      </c>
      <c r="G84" s="2"/>
      <c r="H84" s="6"/>
      <c r="I84" s="2"/>
      <c r="J84" s="7">
        <f t="shared" si="70"/>
        <v>0</v>
      </c>
      <c r="K84" s="2"/>
      <c r="L84" s="6">
        <f t="shared" si="71"/>
        <v>0</v>
      </c>
      <c r="M84" s="2"/>
      <c r="N84" s="7">
        <f t="shared" si="72"/>
        <v>0</v>
      </c>
      <c r="O84" s="11"/>
      <c r="P84" s="6">
        <v>185</v>
      </c>
      <c r="Q84" s="2"/>
      <c r="R84" s="7">
        <f t="shared" si="73"/>
        <v>2.8383595361991645E-4</v>
      </c>
      <c r="S84" s="2"/>
      <c r="T84" s="6">
        <v>98.83</v>
      </c>
      <c r="U84" s="2"/>
      <c r="V84" s="7">
        <f t="shared" si="74"/>
        <v>1.0997724640543937E-4</v>
      </c>
      <c r="W84" s="2"/>
      <c r="X84" s="6">
        <f t="shared" si="75"/>
        <v>86.17</v>
      </c>
      <c r="Y84" s="2"/>
      <c r="Z84" s="7">
        <f t="shared" si="76"/>
        <v>0.87190124456136808</v>
      </c>
    </row>
    <row r="85" spans="1:26" s="27" customFormat="1" outlineLevel="1" collapsed="1" x14ac:dyDescent="0.25">
      <c r="A85" s="25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SUM(OSRRefD22_17x_0)</f>
        <v>0</v>
      </c>
      <c r="E85" s="1"/>
      <c r="F85" s="5">
        <f t="shared" si="69"/>
        <v>0</v>
      </c>
      <c r="G85" s="1"/>
      <c r="H85" s="1">
        <f>SUM(OSRRefH22_17x_0)</f>
        <v>0</v>
      </c>
      <c r="I85" s="1"/>
      <c r="J85" s="5">
        <f t="shared" si="70"/>
        <v>0</v>
      </c>
      <c r="K85" s="1"/>
      <c r="L85" s="1">
        <f t="shared" si="71"/>
        <v>0</v>
      </c>
      <c r="M85" s="1"/>
      <c r="N85" s="5">
        <f t="shared" si="72"/>
        <v>0</v>
      </c>
      <c r="O85" s="13"/>
      <c r="P85" s="1">
        <f>SUM(OSRRefP22_17x_0)</f>
        <v>0</v>
      </c>
      <c r="Q85" s="1"/>
      <c r="R85" s="5">
        <f t="shared" si="73"/>
        <v>0</v>
      </c>
      <c r="S85" s="1"/>
      <c r="T85" s="1">
        <f>SUM(OSRRefT22_17x_0)</f>
        <v>6.79</v>
      </c>
      <c r="U85" s="1"/>
      <c r="V85" s="5">
        <f t="shared" si="74"/>
        <v>7.5558585762717125E-6</v>
      </c>
      <c r="W85" s="1"/>
      <c r="X85" s="1">
        <f t="shared" si="75"/>
        <v>-6.79</v>
      </c>
      <c r="Y85" s="1"/>
      <c r="Z85" s="5">
        <f t="shared" si="76"/>
        <v>-1</v>
      </c>
    </row>
    <row r="86" spans="1:26" s="24" customFormat="1" hidden="1" outlineLevel="2" x14ac:dyDescent="0.25">
      <c r="A86" s="26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9"/>
        <v>0</v>
      </c>
      <c r="G86" s="2"/>
      <c r="H86" s="6"/>
      <c r="I86" s="2"/>
      <c r="J86" s="7">
        <f t="shared" si="70"/>
        <v>0</v>
      </c>
      <c r="K86" s="2"/>
      <c r="L86" s="6">
        <f t="shared" si="71"/>
        <v>0</v>
      </c>
      <c r="M86" s="2"/>
      <c r="N86" s="7">
        <f t="shared" si="72"/>
        <v>0</v>
      </c>
      <c r="O86" s="11"/>
      <c r="P86" s="6"/>
      <c r="Q86" s="2"/>
      <c r="R86" s="7">
        <f t="shared" si="73"/>
        <v>0</v>
      </c>
      <c r="S86" s="2"/>
      <c r="T86" s="6">
        <v>6.79</v>
      </c>
      <c r="U86" s="2"/>
      <c r="V86" s="7">
        <f t="shared" si="74"/>
        <v>7.5558585762717125E-6</v>
      </c>
      <c r="W86" s="2"/>
      <c r="X86" s="6">
        <f t="shared" si="75"/>
        <v>-6.79</v>
      </c>
      <c r="Y86" s="2"/>
      <c r="Z86" s="7">
        <f t="shared" si="76"/>
        <v>-1</v>
      </c>
    </row>
    <row r="87" spans="1:26" s="27" customFormat="1" outlineLevel="1" collapsed="1" x14ac:dyDescent="0.25">
      <c r="A87" s="25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SUM(OSRRefD22_18x_0)</f>
        <v>2312</v>
      </c>
      <c r="E87" s="1"/>
      <c r="F87" s="5">
        <f t="shared" si="69"/>
        <v>0</v>
      </c>
      <c r="G87" s="1"/>
      <c r="H87" s="1">
        <f>SUM(OSRRefH22_18x_0)</f>
        <v>2031</v>
      </c>
      <c r="I87" s="1"/>
      <c r="J87" s="5">
        <f t="shared" si="70"/>
        <v>3.4838513796891978E-2</v>
      </c>
      <c r="K87" s="1"/>
      <c r="L87" s="1">
        <f t="shared" si="71"/>
        <v>281</v>
      </c>
      <c r="M87" s="1"/>
      <c r="N87" s="5">
        <f t="shared" si="72"/>
        <v>0.13835548990645002</v>
      </c>
      <c r="O87" s="13"/>
      <c r="P87" s="1">
        <f>SUM(OSRRefP22_18x_0)</f>
        <v>24772</v>
      </c>
      <c r="Q87" s="1"/>
      <c r="R87" s="5">
        <f t="shared" si="73"/>
        <v>3.8006401313905785E-2</v>
      </c>
      <c r="S87" s="1"/>
      <c r="T87" s="1">
        <f>SUM(OSRRefT22_18x_0)</f>
        <v>19963</v>
      </c>
      <c r="U87" s="1"/>
      <c r="V87" s="5">
        <f t="shared" si="74"/>
        <v>2.2214669331091636E-2</v>
      </c>
      <c r="W87" s="1"/>
      <c r="X87" s="1">
        <f t="shared" si="75"/>
        <v>4809</v>
      </c>
      <c r="Y87" s="1"/>
      <c r="Z87" s="5">
        <f t="shared" si="76"/>
        <v>0.24089565696538595</v>
      </c>
    </row>
    <row r="88" spans="1:26" s="24" customFormat="1" hidden="1" outlineLevel="2" x14ac:dyDescent="0.25">
      <c r="A88" s="26"/>
      <c r="B88" s="11" t="str">
        <f>CONCATENATE("          ", "6274", " - ", "UTILITIES")</f>
        <v xml:space="preserve">          6274 - UTILITIES</v>
      </c>
      <c r="C88" s="11"/>
      <c r="D88" s="6">
        <v>2312</v>
      </c>
      <c r="E88" s="2"/>
      <c r="F88" s="7">
        <f t="shared" si="69"/>
        <v>0</v>
      </c>
      <c r="G88" s="2"/>
      <c r="H88" s="6">
        <v>2031</v>
      </c>
      <c r="I88" s="2"/>
      <c r="J88" s="7">
        <f t="shared" si="70"/>
        <v>3.4838513796891978E-2</v>
      </c>
      <c r="K88" s="2"/>
      <c r="L88" s="6">
        <f t="shared" si="71"/>
        <v>281</v>
      </c>
      <c r="M88" s="2"/>
      <c r="N88" s="7">
        <f t="shared" si="72"/>
        <v>0.13835548990645002</v>
      </c>
      <c r="O88" s="11"/>
      <c r="P88" s="6">
        <v>24772</v>
      </c>
      <c r="Q88" s="2"/>
      <c r="R88" s="7">
        <f t="shared" si="73"/>
        <v>3.8006401313905785E-2</v>
      </c>
      <c r="S88" s="2"/>
      <c r="T88" s="6">
        <v>19963</v>
      </c>
      <c r="U88" s="2"/>
      <c r="V88" s="7">
        <f t="shared" si="74"/>
        <v>2.2214669331091636E-2</v>
      </c>
      <c r="W88" s="2"/>
      <c r="X88" s="6">
        <f t="shared" si="75"/>
        <v>4809</v>
      </c>
      <c r="Y88" s="2"/>
      <c r="Z88" s="7">
        <f t="shared" si="76"/>
        <v>0.24089565696538595</v>
      </c>
    </row>
    <row r="89" spans="1:26" s="58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8" t="s">
        <v>0</v>
      </c>
      <c r="C90" s="10"/>
      <c r="D90" s="4">
        <f>SUM(OSRRefD25x_0)</f>
        <v>0</v>
      </c>
      <c r="E90" s="4"/>
      <c r="F90" s="12">
        <f t="shared" ref="F90:F91" si="77">IF(D$12=0,0,D90/D$12)</f>
        <v>0</v>
      </c>
      <c r="G90" s="4"/>
      <c r="H90" s="4">
        <f>SUM(OSRRefH25x_0)</f>
        <v>0</v>
      </c>
      <c r="I90" s="4"/>
      <c r="J90" s="12">
        <f t="shared" ref="J90:J91" si="78">IF(H$12=0,0,H90/H$12)</f>
        <v>0</v>
      </c>
      <c r="K90" s="4"/>
      <c r="L90" s="4">
        <f t="shared" ref="L90:L91" si="79">+D90-H90</f>
        <v>0</v>
      </c>
      <c r="M90" s="4"/>
      <c r="N90" s="12">
        <f t="shared" ref="N90:N91" si="80">IF(H90=0,0,L90/H90)</f>
        <v>0</v>
      </c>
      <c r="O90" s="10"/>
      <c r="P90" s="4">
        <f>SUM(OSRRefP25x_0)</f>
        <v>68.760000000000005</v>
      </c>
      <c r="Q90" s="4"/>
      <c r="R90" s="12">
        <f t="shared" ref="R90:R91" si="81">IF(P$12=0,0,P90/P$12)</f>
        <v>1.0549491984273219E-4</v>
      </c>
      <c r="S90" s="4"/>
      <c r="T90" s="4">
        <f>SUM(OSRRefT25x_0)</f>
        <v>0</v>
      </c>
      <c r="U90" s="4"/>
      <c r="V90" s="12">
        <f t="shared" ref="V90:V91" si="82">IF(T$12=0,0,T90/T$12)</f>
        <v>0</v>
      </c>
      <c r="W90" s="4"/>
      <c r="X90" s="4">
        <f t="shared" ref="X90:X91" si="83">+P90-T90</f>
        <v>68.760000000000005</v>
      </c>
      <c r="Y90" s="4"/>
      <c r="Z90" s="12">
        <f t="shared" ref="Z90:Z91" si="84">IF(T90=0,0,X90/T90)</f>
        <v>0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0</f>
        <v>0</v>
      </c>
      <c r="E91" s="2"/>
      <c r="F91" s="19">
        <f t="shared" si="77"/>
        <v>0</v>
      </c>
      <c r="G91" s="2"/>
      <c r="H91" s="2">
        <f>0</f>
        <v>0</v>
      </c>
      <c r="I91" s="2"/>
      <c r="J91" s="19">
        <f t="shared" si="78"/>
        <v>0</v>
      </c>
      <c r="K91" s="2"/>
      <c r="L91" s="2">
        <f t="shared" si="79"/>
        <v>0</v>
      </c>
      <c r="M91" s="2"/>
      <c r="N91" s="19">
        <f t="shared" si="80"/>
        <v>0</v>
      </c>
      <c r="O91" s="11"/>
      <c r="P91" s="2">
        <f>--68.76</f>
        <v>68.760000000000005</v>
      </c>
      <c r="Q91" s="2"/>
      <c r="R91" s="19">
        <f t="shared" si="81"/>
        <v>1.0549491984273219E-4</v>
      </c>
      <c r="S91" s="2"/>
      <c r="T91" s="2">
        <f>0</f>
        <v>0</v>
      </c>
      <c r="U91" s="2"/>
      <c r="V91" s="19">
        <f t="shared" si="82"/>
        <v>0</v>
      </c>
      <c r="W91" s="2"/>
      <c r="X91" s="2">
        <f t="shared" si="83"/>
        <v>68.760000000000005</v>
      </c>
      <c r="Y91" s="2"/>
      <c r="Z91" s="19">
        <f t="shared" si="84"/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1">
        <f>+D20-D22+D90</f>
        <v>-33822.86</v>
      </c>
      <c r="E93" s="14"/>
      <c r="F93" s="20">
        <f>IF(D$12=0,0,D93/D$12)</f>
        <v>0</v>
      </c>
      <c r="G93" s="14"/>
      <c r="H93" s="21">
        <f>+H20-H22+H90</f>
        <v>-31809.040000000023</v>
      </c>
      <c r="I93" s="14"/>
      <c r="J93" s="20">
        <f>IF(H$12=0,0,H93/H$12)</f>
        <v>-0.54563253515799581</v>
      </c>
      <c r="K93" s="16"/>
      <c r="L93" s="21">
        <f>+D93-H93</f>
        <v>-2013.8199999999779</v>
      </c>
      <c r="M93" s="16"/>
      <c r="N93" s="20">
        <f>IF(H93=0,0,L93/H93)</f>
        <v>6.3309675488476755E-2</v>
      </c>
      <c r="O93" s="28"/>
      <c r="P93" s="21">
        <f>+P20-P22+P90</f>
        <v>-274454.81000000017</v>
      </c>
      <c r="Q93" s="14"/>
      <c r="R93" s="20">
        <f>IF(P$12=0,0,P93/P$12)</f>
        <v>-0.42108185255093528</v>
      </c>
      <c r="S93" s="14"/>
      <c r="T93" s="21">
        <f>+T20-T22+T90</f>
        <v>-142492.99999999977</v>
      </c>
      <c r="U93" s="14"/>
      <c r="V93" s="20">
        <f>IF(T$12=0,0,T93/T$12)</f>
        <v>-0.15856508926490182</v>
      </c>
      <c r="W93" s="16"/>
      <c r="X93" s="21">
        <f>+P93-T93</f>
        <v>-131961.81000000041</v>
      </c>
      <c r="Y93" s="16"/>
      <c r="Z93" s="20">
        <f>IF(T93=0,0,X93/T93)</f>
        <v>0.92609328177524941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>
        <v>3176.01</v>
      </c>
      <c r="E95" s="4"/>
      <c r="F95" s="12">
        <f>IF(D$12=0,0,D95/D$12)</f>
        <v>0</v>
      </c>
      <c r="G95" s="4"/>
      <c r="H95" s="4">
        <v>6110.87</v>
      </c>
      <c r="I95" s="4"/>
      <c r="J95" s="12">
        <f>IF(H$12=0,0,H95/H$12)</f>
        <v>0.10482207228262594</v>
      </c>
      <c r="K95" s="4"/>
      <c r="L95" s="4">
        <f>+D95-H95</f>
        <v>-2934.8599999999997</v>
      </c>
      <c r="M95" s="4"/>
      <c r="N95" s="12">
        <f>IF(H95=0,0,L95/H95)</f>
        <v>-0.48026876696771487</v>
      </c>
      <c r="O95" s="10"/>
      <c r="P95" s="4">
        <v>77181.52</v>
      </c>
      <c r="Q95" s="4"/>
      <c r="R95" s="12">
        <f>IF(P$12=0,0,P95/P$12)</f>
        <v>0.11841562341099812</v>
      </c>
      <c r="S95" s="4"/>
      <c r="T95" s="4">
        <v>93471.7</v>
      </c>
      <c r="U95" s="4"/>
      <c r="V95" s="12">
        <f>IF(T$12=0,0,T95/T$12)</f>
        <v>0.10401457232455032</v>
      </c>
      <c r="W95" s="4"/>
      <c r="X95" s="4">
        <f>+P95-T95</f>
        <v>-16290.179999999993</v>
      </c>
      <c r="Y95" s="4"/>
      <c r="Z95" s="12">
        <f>IF(T95=0,0,X95/T95)</f>
        <v>-0.17427927383368436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5">
        <f>+D93-D95</f>
        <v>-36998.870000000003</v>
      </c>
      <c r="E97" s="14"/>
      <c r="F97" s="32">
        <f>IF(D$12=0,0,D97/D$12)</f>
        <v>0</v>
      </c>
      <c r="G97" s="14"/>
      <c r="H97" s="35">
        <f>+H93-H95</f>
        <v>-37919.910000000025</v>
      </c>
      <c r="I97" s="14"/>
      <c r="J97" s="32">
        <f>IF(H$12=0,0,H97/H$12)</f>
        <v>-0.65045460744062178</v>
      </c>
      <c r="K97" s="16"/>
      <c r="L97" s="35">
        <f>D97-H97</f>
        <v>921.0400000000227</v>
      </c>
      <c r="M97" s="16"/>
      <c r="N97" s="32">
        <f>IF(H97=0,0,L97/H97)</f>
        <v>-2.4289087184015522E-2</v>
      </c>
      <c r="O97" s="28"/>
      <c r="P97" s="35">
        <f>+P93-P95</f>
        <v>-351636.33000000019</v>
      </c>
      <c r="Q97" s="14"/>
      <c r="R97" s="32">
        <f>IF(P$12=0,0,P97/P$12)</f>
        <v>-0.53949747596193343</v>
      </c>
      <c r="S97" s="14"/>
      <c r="T97" s="35">
        <f>+T93-T95</f>
        <v>-235964.69999999978</v>
      </c>
      <c r="U97" s="14"/>
      <c r="V97" s="32">
        <f>IF(T$12=0,0,T97/T$12)</f>
        <v>-0.26257966158945217</v>
      </c>
      <c r="W97" s="16"/>
      <c r="X97" s="35">
        <f>P97-T97</f>
        <v>-115671.63000000041</v>
      </c>
      <c r="Y97" s="16"/>
      <c r="Z97" s="32">
        <f>IF(T97=0,0,X97/T97)</f>
        <v>0.49020734881107436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6">
        <f>SUM(D97:D99)</f>
        <v>-36998.870000000003</v>
      </c>
      <c r="E100" s="14"/>
      <c r="F100" s="33">
        <f>IF(D$12=0,0,D100/D$12)</f>
        <v>0</v>
      </c>
      <c r="G100" s="14"/>
      <c r="H100" s="36">
        <f>SUM(H97:H99)</f>
        <v>-37919.910000000025</v>
      </c>
      <c r="I100" s="14"/>
      <c r="J100" s="33">
        <f>IF(H$12=0,0,H100/H$12)</f>
        <v>-0.65045460744062178</v>
      </c>
      <c r="K100" s="16"/>
      <c r="L100" s="36">
        <f>+D100-H100</f>
        <v>921.0400000000227</v>
      </c>
      <c r="M100" s="16"/>
      <c r="N100" s="33">
        <f>IF(H100=0,0,L100/H100)</f>
        <v>-2.4289087184015522E-2</v>
      </c>
      <c r="O100" s="28"/>
      <c r="P100" s="36">
        <f>SUM(P97:P99)</f>
        <v>-351636.33000000019</v>
      </c>
      <c r="Q100" s="14"/>
      <c r="R100" s="33">
        <f>IF(P$12=0,0,P100/P$12)</f>
        <v>-0.53949747596193343</v>
      </c>
      <c r="S100" s="14"/>
      <c r="T100" s="36">
        <f>SUM(T97:T99)</f>
        <v>-235964.69999999978</v>
      </c>
      <c r="U100" s="14"/>
      <c r="V100" s="33">
        <f>IF(T$12=0,0,T100/T$12)</f>
        <v>-0.26257966158945217</v>
      </c>
      <c r="W100" s="16"/>
      <c r="X100" s="36">
        <f>+P100-T100</f>
        <v>-115671.63000000041</v>
      </c>
      <c r="Y100" s="16"/>
      <c r="Z100" s="33">
        <f>IF(T100=0,0,X100/T100)</f>
        <v>0.49020734881107436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5">
        <v>43992.375957025462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2" t="s">
        <v>313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3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108578.31</v>
      </c>
      <c r="I12" s="4"/>
      <c r="J12" s="12"/>
      <c r="K12" s="4"/>
      <c r="L12" s="4">
        <f t="shared" ref="L12:L14" si="0">+D12-H12</f>
        <v>-108578.31</v>
      </c>
      <c r="M12" s="4"/>
      <c r="N12" s="12">
        <f t="shared" ref="N12:N14" si="1">IF(H12=0,0,L12/H12)</f>
        <v>-1</v>
      </c>
      <c r="O12" s="10"/>
      <c r="P12" s="4">
        <f>SUM(OSRRefP13x_0)</f>
        <v>1068795.77</v>
      </c>
      <c r="Q12" s="4"/>
      <c r="R12" s="12"/>
      <c r="S12" s="4"/>
      <c r="T12" s="4">
        <f>SUM(OSRRefT13x_0)</f>
        <v>1500189.06</v>
      </c>
      <c r="U12" s="4"/>
      <c r="V12" s="12"/>
      <c r="W12" s="4"/>
      <c r="X12" s="4">
        <f t="shared" ref="X12:X14" si="2">+P12-T12</f>
        <v>-431393.29000000004</v>
      </c>
      <c r="Y12" s="4"/>
      <c r="Z12" s="12">
        <f t="shared" ref="Z12:Z14" si="3">IF(T12=0,0,X12/T12)</f>
        <v>-0.28755928269467584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--44427.98</f>
        <v>44427.98</v>
      </c>
      <c r="I13" s="2"/>
      <c r="J13" s="19"/>
      <c r="K13" s="2"/>
      <c r="L13" s="2">
        <f t="shared" si="0"/>
        <v>-44427.98</v>
      </c>
      <c r="M13" s="2"/>
      <c r="N13" s="19">
        <f t="shared" si="1"/>
        <v>-1</v>
      </c>
      <c r="O13" s="11"/>
      <c r="P13" s="2">
        <f>--381406.04</f>
        <v>381406.04</v>
      </c>
      <c r="Q13" s="2"/>
      <c r="R13" s="19"/>
      <c r="S13" s="2"/>
      <c r="T13" s="2">
        <f>--609662.95</f>
        <v>609662.94999999995</v>
      </c>
      <c r="U13" s="2"/>
      <c r="V13" s="19"/>
      <c r="W13" s="2"/>
      <c r="X13" s="2">
        <f t="shared" si="2"/>
        <v>-228256.90999999997</v>
      </c>
      <c r="Y13" s="2"/>
      <c r="Z13" s="19">
        <f t="shared" si="3"/>
        <v>-0.37439852626766967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--64150.33</f>
        <v>64150.33</v>
      </c>
      <c r="I14" s="2"/>
      <c r="J14" s="19"/>
      <c r="K14" s="2"/>
      <c r="L14" s="2">
        <f t="shared" si="0"/>
        <v>-64150.33</v>
      </c>
      <c r="M14" s="2"/>
      <c r="N14" s="19">
        <f t="shared" si="1"/>
        <v>-1</v>
      </c>
      <c r="O14" s="11"/>
      <c r="P14" s="2">
        <f>--687389.73</f>
        <v>687389.73</v>
      </c>
      <c r="Q14" s="2"/>
      <c r="R14" s="19"/>
      <c r="S14" s="2"/>
      <c r="T14" s="2">
        <f>--890526.11</f>
        <v>890526.11</v>
      </c>
      <c r="U14" s="2"/>
      <c r="V14" s="19"/>
      <c r="W14" s="2"/>
      <c r="X14" s="2">
        <f t="shared" si="2"/>
        <v>-203136.38</v>
      </c>
      <c r="Y14" s="2"/>
      <c r="Z14" s="19">
        <f t="shared" si="3"/>
        <v>-0.22810828084535331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35339.759999999995</v>
      </c>
      <c r="I16" s="4"/>
      <c r="J16" s="12">
        <f t="shared" ref="J16:J18" si="6">IF(H$12=0,0,H16/H$12)</f>
        <v>0.32547716021735829</v>
      </c>
      <c r="K16" s="4"/>
      <c r="L16" s="4">
        <f t="shared" ref="L16:L18" si="7">+D16-H16</f>
        <v>-35339.759999999995</v>
      </c>
      <c r="M16" s="4"/>
      <c r="N16" s="12">
        <f t="shared" ref="N16:N18" si="8">IF(H16=0,0,L16/H16)</f>
        <v>-1</v>
      </c>
      <c r="O16" s="10"/>
      <c r="P16" s="4">
        <f>SUM(OSRRefP16x_0)</f>
        <v>362175.06999999995</v>
      </c>
      <c r="Q16" s="4"/>
      <c r="R16" s="12">
        <f t="shared" ref="R16:R18" si="9">IF(P$12=0,0,P16/P$12)</f>
        <v>0.33886274643470937</v>
      </c>
      <c r="S16" s="4"/>
      <c r="T16" s="4">
        <f>SUM(OSRRefT16x_0)</f>
        <v>474704.56</v>
      </c>
      <c r="U16" s="4"/>
      <c r="V16" s="12">
        <f t="shared" ref="V16:V18" si="10">IF(T$12=0,0,T16/T$12)</f>
        <v>0.3164298238516684</v>
      </c>
      <c r="W16" s="4"/>
      <c r="X16" s="4">
        <f t="shared" ref="X16:X18" si="11">+P16-T16</f>
        <v>-112529.49000000005</v>
      </c>
      <c r="Y16" s="4"/>
      <c r="Z16" s="12">
        <f t="shared" ref="Z16:Z18" si="12">IF(T16=0,0,X16/T16)</f>
        <v>-0.23705163059735523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32381.759999999998</v>
      </c>
      <c r="I17" s="2"/>
      <c r="J17" s="19">
        <f t="shared" si="6"/>
        <v>0.29823415008025084</v>
      </c>
      <c r="K17" s="2"/>
      <c r="L17" s="2">
        <f t="shared" si="7"/>
        <v>-32381.759999999998</v>
      </c>
      <c r="M17" s="2"/>
      <c r="N17" s="19">
        <f t="shared" si="8"/>
        <v>-1</v>
      </c>
      <c r="O17" s="11"/>
      <c r="P17" s="2">
        <v>360936.39999999997</v>
      </c>
      <c r="Q17" s="2"/>
      <c r="R17" s="19">
        <f t="shared" si="9"/>
        <v>0.33770380659347105</v>
      </c>
      <c r="S17" s="2"/>
      <c r="T17" s="2">
        <v>464819.56</v>
      </c>
      <c r="U17" s="2"/>
      <c r="V17" s="19">
        <f t="shared" si="10"/>
        <v>0.30984065435059233</v>
      </c>
      <c r="W17" s="2"/>
      <c r="X17" s="2">
        <f t="shared" si="11"/>
        <v>-103883.16000000003</v>
      </c>
      <c r="Y17" s="2"/>
      <c r="Z17" s="19">
        <f t="shared" si="12"/>
        <v>-0.22349136942515938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2958</v>
      </c>
      <c r="I18" s="2"/>
      <c r="J18" s="19">
        <f t="shared" si="6"/>
        <v>2.7243010137107494E-2</v>
      </c>
      <c r="K18" s="2"/>
      <c r="L18" s="2">
        <f t="shared" si="7"/>
        <v>-2958</v>
      </c>
      <c r="M18" s="2"/>
      <c r="N18" s="19">
        <f t="shared" si="8"/>
        <v>-1</v>
      </c>
      <c r="O18" s="11"/>
      <c r="P18" s="2">
        <v>1238.67</v>
      </c>
      <c r="Q18" s="2"/>
      <c r="R18" s="19">
        <f t="shared" si="9"/>
        <v>1.1589398412383313E-3</v>
      </c>
      <c r="S18" s="2"/>
      <c r="T18" s="2">
        <v>9885</v>
      </c>
      <c r="U18" s="2"/>
      <c r="V18" s="19">
        <f t="shared" si="10"/>
        <v>6.589169501076084E-3</v>
      </c>
      <c r="W18" s="2"/>
      <c r="X18" s="2">
        <f t="shared" si="11"/>
        <v>-8646.33</v>
      </c>
      <c r="Y18" s="2"/>
      <c r="Z18" s="19">
        <f t="shared" si="12"/>
        <v>-0.87469195751138085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73238.55</v>
      </c>
      <c r="I20" s="14"/>
      <c r="J20" s="20">
        <f>IF(H$12=0,0,H20/H$12)</f>
        <v>0.67452283978264171</v>
      </c>
      <c r="K20" s="16"/>
      <c r="L20" s="21">
        <f>+D20-H20</f>
        <v>-73238.55</v>
      </c>
      <c r="M20" s="16"/>
      <c r="N20" s="20">
        <f>IF(H20=0,0,L20/H20)</f>
        <v>-1</v>
      </c>
      <c r="O20" s="28"/>
      <c r="P20" s="21">
        <f>P12-P16</f>
        <v>706620.70000000007</v>
      </c>
      <c r="Q20" s="14"/>
      <c r="R20" s="20">
        <f>IF(P$12=0,0,P20/P$12)</f>
        <v>0.66113725356529063</v>
      </c>
      <c r="S20" s="14"/>
      <c r="T20" s="21">
        <f>T12-T16</f>
        <v>1025484.5</v>
      </c>
      <c r="U20" s="14"/>
      <c r="V20" s="20">
        <f>IF(T$12=0,0,T20/T$12)</f>
        <v>0.6835701761483316</v>
      </c>
      <c r="W20" s="16"/>
      <c r="X20" s="21">
        <f>+P20-T20</f>
        <v>-318863.79999999993</v>
      </c>
      <c r="Y20" s="16"/>
      <c r="Z20" s="20">
        <f>IF(T20=0,0,X20/T20)</f>
        <v>-0.31093965827859898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18226.7</v>
      </c>
      <c r="E22" s="22"/>
      <c r="F22" s="31">
        <f t="shared" ref="F22:F31" si="13">IF(D$12=0,0,D22/D$12)</f>
        <v>0</v>
      </c>
      <c r="G22" s="22"/>
      <c r="H22" s="22">
        <f>SUM(OSRRefH22x_0)</f>
        <v>68529.650000000023</v>
      </c>
      <c r="I22" s="22"/>
      <c r="J22" s="31">
        <f t="shared" ref="J22:J31" si="14">IF(H$12=0,0,H22/H$12)</f>
        <v>0.63115414119081448</v>
      </c>
      <c r="K22" s="4"/>
      <c r="L22" s="22">
        <f t="shared" ref="L22:L31" si="15">+D22-H22</f>
        <v>-50302.950000000026</v>
      </c>
      <c r="M22" s="4"/>
      <c r="N22" s="31">
        <f t="shared" ref="N22:N31" si="16">IF(H22=0,0,L22/H22)</f>
        <v>-0.73403191173455595</v>
      </c>
      <c r="O22" s="10"/>
      <c r="P22" s="22">
        <f>SUM(OSRRefP22x_0)</f>
        <v>594622.28999999992</v>
      </c>
      <c r="Q22" s="22"/>
      <c r="R22" s="31">
        <f t="shared" ref="R22:R31" si="17">IF(P$12=0,0,P22/P$12)</f>
        <v>0.55634790732751493</v>
      </c>
      <c r="S22" s="22"/>
      <c r="T22" s="22">
        <f>SUM(OSRRefT22x_0)</f>
        <v>673045.26</v>
      </c>
      <c r="U22" s="22"/>
      <c r="V22" s="31">
        <f t="shared" ref="V22:V31" si="18">IF(T$12=0,0,T22/T$12)</f>
        <v>0.44864029337742267</v>
      </c>
      <c r="W22" s="4"/>
      <c r="X22" s="22">
        <f t="shared" ref="X22:X31" si="19">+P22-T22</f>
        <v>-78422.970000000088</v>
      </c>
      <c r="Y22" s="4"/>
      <c r="Z22" s="31">
        <f t="shared" ref="Z22:Z31" si="20">IF(T22=0,0,X22/T22)</f>
        <v>-0.11651960820584352</v>
      </c>
    </row>
    <row r="23" spans="1:26" s="27" customFormat="1" outlineLevel="1" collapsed="1" x14ac:dyDescent="0.25">
      <c r="A23" s="25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6645.01</v>
      </c>
      <c r="E23" s="1"/>
      <c r="F23" s="5">
        <f t="shared" si="13"/>
        <v>0</v>
      </c>
      <c r="G23" s="1"/>
      <c r="H23" s="1">
        <f>SUM(OSRRefH22_0x_0)</f>
        <v>10261.369999999999</v>
      </c>
      <c r="I23" s="1"/>
      <c r="J23" s="5">
        <f t="shared" si="14"/>
        <v>9.4506628441721002E-2</v>
      </c>
      <c r="K23" s="1"/>
      <c r="L23" s="1">
        <f t="shared" si="15"/>
        <v>-3616.3599999999988</v>
      </c>
      <c r="M23" s="1"/>
      <c r="N23" s="5">
        <f t="shared" si="16"/>
        <v>-0.35242467623718854</v>
      </c>
      <c r="O23" s="13"/>
      <c r="P23" s="1">
        <f>SUM(OSRRefP22_0x_0)</f>
        <v>86776.140000000014</v>
      </c>
      <c r="Q23" s="1"/>
      <c r="R23" s="5">
        <f t="shared" si="17"/>
        <v>8.1190572077207993E-2</v>
      </c>
      <c r="S23" s="1"/>
      <c r="T23" s="1">
        <f>SUM(OSRRefT22_0x_0)</f>
        <v>95945.96</v>
      </c>
      <c r="U23" s="1"/>
      <c r="V23" s="5">
        <f t="shared" si="18"/>
        <v>6.395591233014325E-2</v>
      </c>
      <c r="W23" s="1"/>
      <c r="X23" s="1">
        <f t="shared" si="19"/>
        <v>-9169.8199999999924</v>
      </c>
      <c r="Y23" s="1"/>
      <c r="Z23" s="5">
        <f t="shared" si="20"/>
        <v>-9.5572757831595953E-2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470.3</v>
      </c>
      <c r="E24" s="2"/>
      <c r="F24" s="7">
        <f t="shared" si="13"/>
        <v>0</v>
      </c>
      <c r="G24" s="2"/>
      <c r="H24" s="6">
        <v>2268.34</v>
      </c>
      <c r="I24" s="2"/>
      <c r="J24" s="7">
        <f t="shared" si="14"/>
        <v>2.089128114077296E-2</v>
      </c>
      <c r="K24" s="2"/>
      <c r="L24" s="6">
        <f t="shared" si="15"/>
        <v>-1798.0400000000002</v>
      </c>
      <c r="M24" s="2"/>
      <c r="N24" s="7">
        <f t="shared" si="16"/>
        <v>-0.79266776585520693</v>
      </c>
      <c r="O24" s="11"/>
      <c r="P24" s="6">
        <v>18533.169999999998</v>
      </c>
      <c r="Q24" s="2"/>
      <c r="R24" s="7">
        <f t="shared" si="17"/>
        <v>1.7340235169531031E-2</v>
      </c>
      <c r="S24" s="2"/>
      <c r="T24" s="6">
        <v>16459.560000000001</v>
      </c>
      <c r="U24" s="2"/>
      <c r="V24" s="7">
        <f t="shared" si="18"/>
        <v>1.0971657132335041E-2</v>
      </c>
      <c r="W24" s="2"/>
      <c r="X24" s="6">
        <f t="shared" si="19"/>
        <v>2073.6099999999969</v>
      </c>
      <c r="Y24" s="2"/>
      <c r="Z24" s="7">
        <f t="shared" si="20"/>
        <v>0.12598210401736115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20.9</v>
      </c>
      <c r="E25" s="2"/>
      <c r="F25" s="7">
        <f t="shared" si="13"/>
        <v>0</v>
      </c>
      <c r="G25" s="2"/>
      <c r="H25" s="6">
        <v>1396.82</v>
      </c>
      <c r="I25" s="2"/>
      <c r="J25" s="7">
        <f t="shared" si="14"/>
        <v>1.2864631987733093E-2</v>
      </c>
      <c r="K25" s="2"/>
      <c r="L25" s="6">
        <f t="shared" si="15"/>
        <v>-1375.9199999999998</v>
      </c>
      <c r="M25" s="2"/>
      <c r="N25" s="7">
        <f t="shared" si="16"/>
        <v>-0.98503744219011746</v>
      </c>
      <c r="O25" s="11"/>
      <c r="P25" s="6">
        <v>10577.82</v>
      </c>
      <c r="Q25" s="2"/>
      <c r="R25" s="7">
        <f t="shared" si="17"/>
        <v>9.8969515944098471E-3</v>
      </c>
      <c r="S25" s="2"/>
      <c r="T25" s="6">
        <v>11977.21</v>
      </c>
      <c r="U25" s="2"/>
      <c r="V25" s="7">
        <f t="shared" si="18"/>
        <v>7.9838003884657033E-3</v>
      </c>
      <c r="W25" s="2"/>
      <c r="X25" s="6">
        <f t="shared" si="19"/>
        <v>-1399.3899999999994</v>
      </c>
      <c r="Y25" s="2"/>
      <c r="Z25" s="7">
        <f t="shared" si="20"/>
        <v>-0.11683772765109733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4780.67</v>
      </c>
      <c r="E26" s="2"/>
      <c r="F26" s="7">
        <f t="shared" si="13"/>
        <v>0</v>
      </c>
      <c r="G26" s="2"/>
      <c r="H26" s="6">
        <v>3876.56</v>
      </c>
      <c r="I26" s="2"/>
      <c r="J26" s="7">
        <f t="shared" si="14"/>
        <v>3.5702894988879456E-2</v>
      </c>
      <c r="K26" s="2"/>
      <c r="L26" s="6">
        <f t="shared" si="15"/>
        <v>904.11000000000013</v>
      </c>
      <c r="M26" s="2"/>
      <c r="N26" s="7">
        <f t="shared" si="16"/>
        <v>0.23322481787976973</v>
      </c>
      <c r="O26" s="11"/>
      <c r="P26" s="6">
        <v>44806.3</v>
      </c>
      <c r="Q26" s="2"/>
      <c r="R26" s="7">
        <f t="shared" si="17"/>
        <v>4.1922228041752073E-2</v>
      </c>
      <c r="S26" s="2"/>
      <c r="T26" s="6">
        <v>41459.79</v>
      </c>
      <c r="U26" s="2"/>
      <c r="V26" s="7">
        <f t="shared" si="18"/>
        <v>2.7636376711079335E-2</v>
      </c>
      <c r="W26" s="2"/>
      <c r="X26" s="6">
        <f t="shared" si="19"/>
        <v>3346.510000000002</v>
      </c>
      <c r="Y26" s="2"/>
      <c r="Z26" s="7">
        <f t="shared" si="20"/>
        <v>8.0717003149316527E-2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15.98</v>
      </c>
      <c r="E27" s="2"/>
      <c r="F27" s="7">
        <f t="shared" si="13"/>
        <v>0</v>
      </c>
      <c r="G27" s="2"/>
      <c r="H27" s="6">
        <v>103.76</v>
      </c>
      <c r="I27" s="2"/>
      <c r="J27" s="7">
        <f t="shared" si="14"/>
        <v>9.5562364159103243E-4</v>
      </c>
      <c r="K27" s="2"/>
      <c r="L27" s="6">
        <f t="shared" si="15"/>
        <v>-87.78</v>
      </c>
      <c r="M27" s="2"/>
      <c r="N27" s="7">
        <f t="shared" si="16"/>
        <v>-0.84599074787972239</v>
      </c>
      <c r="O27" s="11"/>
      <c r="P27" s="6">
        <v>860.67</v>
      </c>
      <c r="Q27" s="2"/>
      <c r="R27" s="7">
        <f t="shared" si="17"/>
        <v>8.0527077684822796E-4</v>
      </c>
      <c r="S27" s="2"/>
      <c r="T27" s="6">
        <v>999.53</v>
      </c>
      <c r="U27" s="2"/>
      <c r="V27" s="7">
        <f t="shared" si="18"/>
        <v>6.662693567436093E-4</v>
      </c>
      <c r="W27" s="2"/>
      <c r="X27" s="6">
        <f t="shared" si="19"/>
        <v>-138.86000000000001</v>
      </c>
      <c r="Y27" s="2"/>
      <c r="Z27" s="7">
        <f t="shared" si="20"/>
        <v>-0.13892529488859764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314.18</v>
      </c>
      <c r="E28" s="2"/>
      <c r="F28" s="7">
        <f t="shared" si="13"/>
        <v>0</v>
      </c>
      <c r="G28" s="2"/>
      <c r="H28" s="6">
        <v>599.57000000000005</v>
      </c>
      <c r="I28" s="2"/>
      <c r="J28" s="7">
        <f t="shared" si="14"/>
        <v>5.5220052697449434E-3</v>
      </c>
      <c r="K28" s="2"/>
      <c r="L28" s="6">
        <f t="shared" si="15"/>
        <v>-285.39000000000004</v>
      </c>
      <c r="M28" s="2"/>
      <c r="N28" s="7">
        <f t="shared" si="16"/>
        <v>-0.47599112697433166</v>
      </c>
      <c r="O28" s="11"/>
      <c r="P28" s="6">
        <v>5667.89</v>
      </c>
      <c r="Q28" s="2"/>
      <c r="R28" s="7">
        <f t="shared" si="17"/>
        <v>5.3030617813915942E-3</v>
      </c>
      <c r="S28" s="2"/>
      <c r="T28" s="6">
        <v>7048.21</v>
      </c>
      <c r="U28" s="2"/>
      <c r="V28" s="7">
        <f t="shared" si="18"/>
        <v>4.6982145037106193E-3</v>
      </c>
      <c r="W28" s="2"/>
      <c r="X28" s="6">
        <f t="shared" si="19"/>
        <v>-1380.3199999999997</v>
      </c>
      <c r="Y28" s="2"/>
      <c r="Z28" s="7">
        <f t="shared" si="20"/>
        <v>-0.19583979478477509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496.42</v>
      </c>
      <c r="E29" s="2"/>
      <c r="F29" s="7">
        <f t="shared" si="13"/>
        <v>0</v>
      </c>
      <c r="G29" s="2"/>
      <c r="H29" s="6">
        <v>773.31</v>
      </c>
      <c r="I29" s="2"/>
      <c r="J29" s="7">
        <f t="shared" si="14"/>
        <v>7.1221406927405662E-3</v>
      </c>
      <c r="K29" s="2"/>
      <c r="L29" s="6">
        <f t="shared" si="15"/>
        <v>-276.88999999999993</v>
      </c>
      <c r="M29" s="2"/>
      <c r="N29" s="7">
        <f t="shared" si="16"/>
        <v>-0.358058217273797</v>
      </c>
      <c r="O29" s="11"/>
      <c r="P29" s="6">
        <v>6022.31</v>
      </c>
      <c r="Q29" s="2"/>
      <c r="R29" s="7">
        <f t="shared" si="17"/>
        <v>5.6346686327173618E-3</v>
      </c>
      <c r="S29" s="2"/>
      <c r="T29" s="6">
        <v>6200.2</v>
      </c>
      <c r="U29" s="2"/>
      <c r="V29" s="7">
        <f t="shared" si="18"/>
        <v>4.132945750184313E-3</v>
      </c>
      <c r="W29" s="2"/>
      <c r="X29" s="6">
        <f t="shared" si="19"/>
        <v>-177.88999999999942</v>
      </c>
      <c r="Y29" s="2"/>
      <c r="Z29" s="7">
        <f t="shared" si="20"/>
        <v>-2.8691009967420314E-2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283.56</v>
      </c>
      <c r="E30" s="2"/>
      <c r="F30" s="7">
        <f t="shared" si="13"/>
        <v>0</v>
      </c>
      <c r="G30" s="2"/>
      <c r="H30" s="6">
        <v>794.49</v>
      </c>
      <c r="I30" s="2"/>
      <c r="J30" s="7">
        <f t="shared" si="14"/>
        <v>7.3172072764809103E-3</v>
      </c>
      <c r="K30" s="2"/>
      <c r="L30" s="6">
        <f t="shared" si="15"/>
        <v>-510.93</v>
      </c>
      <c r="M30" s="2"/>
      <c r="N30" s="7">
        <f t="shared" si="16"/>
        <v>-0.64309179473624589</v>
      </c>
      <c r="O30" s="11"/>
      <c r="P30" s="6">
        <v>-4012.79</v>
      </c>
      <c r="Q30" s="2"/>
      <c r="R30" s="7">
        <f t="shared" si="17"/>
        <v>-3.7544965208834986E-3</v>
      </c>
      <c r="S30" s="2"/>
      <c r="T30" s="6">
        <v>6967.07</v>
      </c>
      <c r="U30" s="2"/>
      <c r="V30" s="7">
        <f t="shared" si="18"/>
        <v>4.6441279874417955E-3</v>
      </c>
      <c r="W30" s="2"/>
      <c r="X30" s="6">
        <f t="shared" si="19"/>
        <v>-10979.86</v>
      </c>
      <c r="Y30" s="2"/>
      <c r="Z30" s="7">
        <f t="shared" si="20"/>
        <v>-1.5759652192385036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263</v>
      </c>
      <c r="E31" s="2"/>
      <c r="F31" s="7">
        <f t="shared" si="13"/>
        <v>0</v>
      </c>
      <c r="G31" s="2"/>
      <c r="H31" s="6">
        <v>448.52</v>
      </c>
      <c r="I31" s="2"/>
      <c r="J31" s="7">
        <f t="shared" si="14"/>
        <v>4.1308434437780433E-3</v>
      </c>
      <c r="K31" s="2"/>
      <c r="L31" s="6">
        <f t="shared" si="15"/>
        <v>-185.51999999999998</v>
      </c>
      <c r="M31" s="2"/>
      <c r="N31" s="7">
        <f t="shared" si="16"/>
        <v>-0.41362704004280743</v>
      </c>
      <c r="O31" s="11"/>
      <c r="P31" s="6">
        <v>4320.7700000000004</v>
      </c>
      <c r="Q31" s="2"/>
      <c r="R31" s="7">
        <f t="shared" si="17"/>
        <v>4.0426526014413402E-3</v>
      </c>
      <c r="S31" s="2"/>
      <c r="T31" s="6">
        <v>4834.3900000000003</v>
      </c>
      <c r="U31" s="2"/>
      <c r="V31" s="7">
        <f t="shared" si="18"/>
        <v>3.2225205001828235E-3</v>
      </c>
      <c r="W31" s="2"/>
      <c r="X31" s="6">
        <f t="shared" si="19"/>
        <v>-513.61999999999989</v>
      </c>
      <c r="Y31" s="2"/>
      <c r="Z31" s="7">
        <f t="shared" si="20"/>
        <v>-0.1062429799829968</v>
      </c>
    </row>
    <row r="32" spans="1:26" s="27" customFormat="1" outlineLevel="1" collapsed="1" x14ac:dyDescent="0.25">
      <c r="A32" s="25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4034.42</v>
      </c>
      <c r="E32" s="1"/>
      <c r="F32" s="5">
        <f t="shared" ref="F32:F38" si="21">IF(D$12=0,0,D32/D$12)</f>
        <v>0</v>
      </c>
      <c r="G32" s="1"/>
      <c r="H32" s="1">
        <f>SUM(OSRRefH22_1x_0)</f>
        <v>39414.939999999995</v>
      </c>
      <c r="I32" s="1"/>
      <c r="J32" s="5">
        <f t="shared" ref="J32:J38" si="22">IF(H$12=0,0,H32/H$12)</f>
        <v>0.36300933400050156</v>
      </c>
      <c r="K32" s="1"/>
      <c r="L32" s="1">
        <f t="shared" ref="L32:L38" si="23">+D32-H32</f>
        <v>-35380.519999999997</v>
      </c>
      <c r="M32" s="1"/>
      <c r="N32" s="5">
        <f t="shared" ref="N32:N38" si="24">IF(H32=0,0,L32/H32)</f>
        <v>-0.89764236606728309</v>
      </c>
      <c r="O32" s="13"/>
      <c r="P32" s="1">
        <f>SUM(OSRRefP22_1x_0)</f>
        <v>316688.39</v>
      </c>
      <c r="Q32" s="1"/>
      <c r="R32" s="5">
        <f t="shared" ref="R32:R38" si="25">IF(P$12=0,0,P32/P$12)</f>
        <v>0.29630393278970407</v>
      </c>
      <c r="S32" s="1"/>
      <c r="T32" s="1">
        <f>SUM(OSRRefT22_1x_0)</f>
        <v>362623.04</v>
      </c>
      <c r="U32" s="1"/>
      <c r="V32" s="5">
        <f t="shared" ref="V32:V38" si="26">IF(T$12=0,0,T32/T$12)</f>
        <v>0.24171822716798105</v>
      </c>
      <c r="W32" s="1"/>
      <c r="X32" s="1">
        <f t="shared" ref="X32:X38" si="27">+P32-T32</f>
        <v>-45934.649999999965</v>
      </c>
      <c r="Y32" s="1"/>
      <c r="Z32" s="5">
        <f t="shared" ref="Z32:Z38" si="28">IF(T32=0,0,X32/T32)</f>
        <v>-0.12667328032989841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4034.42</v>
      </c>
      <c r="E33" s="2"/>
      <c r="F33" s="7">
        <f t="shared" si="21"/>
        <v>0</v>
      </c>
      <c r="G33" s="2"/>
      <c r="H33" s="6">
        <v>10023.16</v>
      </c>
      <c r="I33" s="2"/>
      <c r="J33" s="7">
        <f t="shared" si="22"/>
        <v>9.2312728020909521E-2</v>
      </c>
      <c r="K33" s="2"/>
      <c r="L33" s="6">
        <f t="shared" si="23"/>
        <v>-5988.74</v>
      </c>
      <c r="M33" s="2"/>
      <c r="N33" s="7">
        <f t="shared" si="24"/>
        <v>-0.59749021266746216</v>
      </c>
      <c r="O33" s="11"/>
      <c r="P33" s="6">
        <v>84332.42</v>
      </c>
      <c r="Q33" s="2"/>
      <c r="R33" s="7">
        <f t="shared" si="25"/>
        <v>7.8904148357548234E-2</v>
      </c>
      <c r="S33" s="2"/>
      <c r="T33" s="6">
        <v>98602.48</v>
      </c>
      <c r="U33" s="2"/>
      <c r="V33" s="7">
        <f t="shared" si="26"/>
        <v>6.5726702473086956E-2</v>
      </c>
      <c r="W33" s="2"/>
      <c r="X33" s="6">
        <f t="shared" si="27"/>
        <v>-14270.059999999998</v>
      </c>
      <c r="Y33" s="2"/>
      <c r="Z33" s="7">
        <f t="shared" si="28"/>
        <v>-0.14472313475279727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1"/>
        <v>0</v>
      </c>
      <c r="G34" s="2"/>
      <c r="H34" s="6">
        <v>3621</v>
      </c>
      <c r="I34" s="2"/>
      <c r="J34" s="7">
        <f t="shared" si="22"/>
        <v>3.334920206439021E-2</v>
      </c>
      <c r="K34" s="2"/>
      <c r="L34" s="6">
        <f t="shared" si="23"/>
        <v>-3621</v>
      </c>
      <c r="M34" s="2"/>
      <c r="N34" s="7">
        <f t="shared" si="24"/>
        <v>-1</v>
      </c>
      <c r="O34" s="11"/>
      <c r="P34" s="6">
        <v>38197.160000000003</v>
      </c>
      <c r="Q34" s="2"/>
      <c r="R34" s="7">
        <f t="shared" si="25"/>
        <v>3.5738502221055762E-2</v>
      </c>
      <c r="S34" s="2"/>
      <c r="T34" s="6">
        <v>26695.63</v>
      </c>
      <c r="U34" s="2"/>
      <c r="V34" s="7">
        <f t="shared" si="26"/>
        <v>1.779484380455354E-2</v>
      </c>
      <c r="W34" s="2"/>
      <c r="X34" s="6">
        <f t="shared" si="27"/>
        <v>11501.530000000002</v>
      </c>
      <c r="Y34" s="2"/>
      <c r="Z34" s="7">
        <f t="shared" si="28"/>
        <v>0.43083942952460769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1"/>
        <v>0</v>
      </c>
      <c r="G35" s="2"/>
      <c r="H35" s="6">
        <v>9902.2099999999991</v>
      </c>
      <c r="I35" s="2"/>
      <c r="J35" s="7">
        <f t="shared" si="22"/>
        <v>9.1198785466452728E-2</v>
      </c>
      <c r="K35" s="2"/>
      <c r="L35" s="6">
        <f t="shared" si="23"/>
        <v>-9902.2099999999991</v>
      </c>
      <c r="M35" s="2"/>
      <c r="N35" s="7">
        <f t="shared" si="24"/>
        <v>-1</v>
      </c>
      <c r="O35" s="11"/>
      <c r="P35" s="6">
        <v>91629.97</v>
      </c>
      <c r="Q35" s="2"/>
      <c r="R35" s="7">
        <f t="shared" si="25"/>
        <v>8.5731972910034995E-2</v>
      </c>
      <c r="S35" s="2"/>
      <c r="T35" s="6">
        <v>67888.62000000001</v>
      </c>
      <c r="U35" s="2"/>
      <c r="V35" s="7">
        <f t="shared" si="26"/>
        <v>4.5253376264455636E-2</v>
      </c>
      <c r="W35" s="2"/>
      <c r="X35" s="6">
        <f t="shared" si="27"/>
        <v>23741.349999999991</v>
      </c>
      <c r="Y35" s="2"/>
      <c r="Z35" s="7">
        <f t="shared" si="28"/>
        <v>0.34971030490824512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7215.01</v>
      </c>
      <c r="Q36" s="2"/>
      <c r="R36" s="7">
        <f t="shared" si="25"/>
        <v>6.7505974504371404E-3</v>
      </c>
      <c r="S36" s="2"/>
      <c r="T36" s="6"/>
      <c r="U36" s="2"/>
      <c r="V36" s="7">
        <f t="shared" si="26"/>
        <v>0</v>
      </c>
      <c r="W36" s="2"/>
      <c r="X36" s="6">
        <f t="shared" si="27"/>
        <v>7215.01</v>
      </c>
      <c r="Y36" s="2"/>
      <c r="Z36" s="7">
        <f t="shared" si="28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1"/>
        <v>0</v>
      </c>
      <c r="G37" s="2"/>
      <c r="H37" s="6">
        <v>15124.76</v>
      </c>
      <c r="I37" s="2"/>
      <c r="J37" s="7">
        <f t="shared" si="22"/>
        <v>0.13929817106197362</v>
      </c>
      <c r="K37" s="2"/>
      <c r="L37" s="6">
        <f t="shared" si="23"/>
        <v>-15124.76</v>
      </c>
      <c r="M37" s="2"/>
      <c r="N37" s="7">
        <f t="shared" si="24"/>
        <v>-1</v>
      </c>
      <c r="O37" s="11"/>
      <c r="P37" s="6">
        <v>93483.83</v>
      </c>
      <c r="Q37" s="2"/>
      <c r="R37" s="7">
        <f t="shared" si="25"/>
        <v>8.7466504475405993E-2</v>
      </c>
      <c r="S37" s="2"/>
      <c r="T37" s="6">
        <v>158690.99</v>
      </c>
      <c r="U37" s="2"/>
      <c r="V37" s="7">
        <f t="shared" si="26"/>
        <v>0.1057806607388538</v>
      </c>
      <c r="W37" s="2"/>
      <c r="X37" s="6">
        <f t="shared" si="27"/>
        <v>-65207.159999999989</v>
      </c>
      <c r="Y37" s="2"/>
      <c r="Z37" s="7">
        <f t="shared" si="28"/>
        <v>-0.41090650452177524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1"/>
        <v>0</v>
      </c>
      <c r="G38" s="2"/>
      <c r="H38" s="6">
        <v>743.81</v>
      </c>
      <c r="I38" s="2"/>
      <c r="J38" s="7">
        <f t="shared" si="22"/>
        <v>6.8504473867754987E-3</v>
      </c>
      <c r="K38" s="2"/>
      <c r="L38" s="6">
        <f t="shared" si="23"/>
        <v>-743.81</v>
      </c>
      <c r="M38" s="2"/>
      <c r="N38" s="7">
        <f t="shared" si="24"/>
        <v>-1</v>
      </c>
      <c r="O38" s="11"/>
      <c r="P38" s="6">
        <v>1830</v>
      </c>
      <c r="Q38" s="2"/>
      <c r="R38" s="7">
        <f t="shared" si="25"/>
        <v>1.7122073752219285E-3</v>
      </c>
      <c r="S38" s="2"/>
      <c r="T38" s="6">
        <v>10745.32</v>
      </c>
      <c r="U38" s="2"/>
      <c r="V38" s="7">
        <f t="shared" si="26"/>
        <v>7.1626438870311445E-3</v>
      </c>
      <c r="W38" s="2"/>
      <c r="X38" s="6">
        <f t="shared" si="27"/>
        <v>-8915.32</v>
      </c>
      <c r="Y38" s="2"/>
      <c r="Z38" s="7">
        <f t="shared" si="28"/>
        <v>-0.82969329903623157</v>
      </c>
    </row>
    <row r="39" spans="1:26" s="27" customFormat="1" outlineLevel="1" collapsed="1" x14ac:dyDescent="0.25">
      <c r="A39" s="25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29">IF(D$12=0,0,D39/D$12)</f>
        <v>0</v>
      </c>
      <c r="G39" s="1"/>
      <c r="H39" s="1">
        <f>SUM(OSRRefH22_2x_0)</f>
        <v>214.05</v>
      </c>
      <c r="I39" s="1"/>
      <c r="J39" s="5">
        <f t="shared" ref="J39:J47" si="30">IF(H$12=0,0,H39/H$12)</f>
        <v>1.9713882081973831E-3</v>
      </c>
      <c r="K39" s="1"/>
      <c r="L39" s="1">
        <f t="shared" ref="L39:L47" si="31">+D39-H39</f>
        <v>-214.05</v>
      </c>
      <c r="M39" s="1"/>
      <c r="N39" s="5">
        <f t="shared" ref="N39:N47" si="32">IF(H39=0,0,L39/H39)</f>
        <v>-1</v>
      </c>
      <c r="O39" s="13"/>
      <c r="P39" s="1">
        <f>SUM(OSRRefP22_2x_0)</f>
        <v>4363.6499999999996</v>
      </c>
      <c r="Q39" s="1"/>
      <c r="R39" s="5">
        <f t="shared" ref="R39:R47" si="33">IF(P$12=0,0,P39/P$12)</f>
        <v>4.0827725207033703E-3</v>
      </c>
      <c r="S39" s="1"/>
      <c r="T39" s="1">
        <f>SUM(OSRRefT22_2x_0)</f>
        <v>5032.5</v>
      </c>
      <c r="U39" s="1"/>
      <c r="V39" s="5">
        <f t="shared" ref="V39:V47" si="34">IF(T$12=0,0,T39/T$12)</f>
        <v>3.3545771890910866E-3</v>
      </c>
      <c r="W39" s="1"/>
      <c r="X39" s="1">
        <f t="shared" ref="X39:X47" si="35">+P39-T39</f>
        <v>-668.85000000000036</v>
      </c>
      <c r="Y39" s="1"/>
      <c r="Z39" s="5">
        <f t="shared" ref="Z39:Z47" si="36">IF(T39=0,0,X39/T39)</f>
        <v>-0.13290611028315955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9"/>
        <v>0</v>
      </c>
      <c r="G40" s="2"/>
      <c r="H40" s="6">
        <v>214.05</v>
      </c>
      <c r="I40" s="2"/>
      <c r="J40" s="7">
        <f t="shared" si="30"/>
        <v>1.9713882081973831E-3</v>
      </c>
      <c r="K40" s="2"/>
      <c r="L40" s="6">
        <f t="shared" si="31"/>
        <v>-214.05</v>
      </c>
      <c r="M40" s="2"/>
      <c r="N40" s="7">
        <f t="shared" si="32"/>
        <v>-1</v>
      </c>
      <c r="O40" s="11"/>
      <c r="P40" s="6">
        <v>4363.6499999999996</v>
      </c>
      <c r="Q40" s="2"/>
      <c r="R40" s="7">
        <f t="shared" si="33"/>
        <v>4.0827725207033703E-3</v>
      </c>
      <c r="S40" s="2"/>
      <c r="T40" s="6">
        <v>5032.5</v>
      </c>
      <c r="U40" s="2"/>
      <c r="V40" s="7">
        <f t="shared" si="34"/>
        <v>3.3545771890910866E-3</v>
      </c>
      <c r="W40" s="2"/>
      <c r="X40" s="6">
        <f t="shared" si="35"/>
        <v>-668.85000000000036</v>
      </c>
      <c r="Y40" s="2"/>
      <c r="Z40" s="7">
        <f t="shared" si="36"/>
        <v>-0.13290611028315955</v>
      </c>
    </row>
    <row r="41" spans="1:26" s="27" customFormat="1" outlineLevel="1" collapsed="1" x14ac:dyDescent="0.25">
      <c r="A41" s="25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29"/>
        <v>0</v>
      </c>
      <c r="G41" s="1"/>
      <c r="H41" s="1">
        <f>SUM(OSRRefH22_3x_0)</f>
        <v>-127.7</v>
      </c>
      <c r="I41" s="1"/>
      <c r="J41" s="5">
        <f t="shared" si="30"/>
        <v>-1.1761096668386163E-3</v>
      </c>
      <c r="K41" s="1"/>
      <c r="L41" s="1">
        <f t="shared" si="31"/>
        <v>127.7</v>
      </c>
      <c r="M41" s="1"/>
      <c r="N41" s="5">
        <f t="shared" si="32"/>
        <v>-1</v>
      </c>
      <c r="O41" s="13"/>
      <c r="P41" s="1">
        <f>SUM(OSRRefP22_3x_0)</f>
        <v>-326.89</v>
      </c>
      <c r="Q41" s="1"/>
      <c r="R41" s="5">
        <f t="shared" si="33"/>
        <v>-3.0584889010180119E-4</v>
      </c>
      <c r="S41" s="1"/>
      <c r="T41" s="1">
        <f>SUM(OSRRefT22_3x_0)</f>
        <v>-206.6</v>
      </c>
      <c r="U41" s="1"/>
      <c r="V41" s="5">
        <f t="shared" si="34"/>
        <v>-1.3771597561176721E-4</v>
      </c>
      <c r="W41" s="1"/>
      <c r="X41" s="1">
        <f t="shared" si="35"/>
        <v>-120.28999999999999</v>
      </c>
      <c r="Y41" s="1"/>
      <c r="Z41" s="5">
        <f t="shared" si="36"/>
        <v>0.58223620522749275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/>
      <c r="E42" s="2"/>
      <c r="F42" s="7">
        <f t="shared" si="29"/>
        <v>0</v>
      </c>
      <c r="G42" s="2"/>
      <c r="H42" s="6">
        <v>-127.7</v>
      </c>
      <c r="I42" s="2"/>
      <c r="J42" s="7">
        <f t="shared" si="30"/>
        <v>-1.1761096668386163E-3</v>
      </c>
      <c r="K42" s="2"/>
      <c r="L42" s="6">
        <f t="shared" si="31"/>
        <v>127.7</v>
      </c>
      <c r="M42" s="2"/>
      <c r="N42" s="7">
        <f t="shared" si="32"/>
        <v>-1</v>
      </c>
      <c r="O42" s="11"/>
      <c r="P42" s="6">
        <v>-326.89</v>
      </c>
      <c r="Q42" s="2"/>
      <c r="R42" s="7">
        <f t="shared" si="33"/>
        <v>-3.0584889010180119E-4</v>
      </c>
      <c r="S42" s="2"/>
      <c r="T42" s="6">
        <v>-206.6</v>
      </c>
      <c r="U42" s="2"/>
      <c r="V42" s="7">
        <f t="shared" si="34"/>
        <v>-1.3771597561176721E-4</v>
      </c>
      <c r="W42" s="2"/>
      <c r="X42" s="6">
        <f t="shared" si="35"/>
        <v>-120.28999999999999</v>
      </c>
      <c r="Y42" s="2"/>
      <c r="Z42" s="7">
        <f t="shared" si="36"/>
        <v>0.58223620522749275</v>
      </c>
    </row>
    <row r="43" spans="1:26" s="27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29"/>
        <v>0</v>
      </c>
      <c r="G43" s="1"/>
      <c r="H43" s="1">
        <f>SUM(OSRRefH22_4x_0)</f>
        <v>6844.93</v>
      </c>
      <c r="I43" s="1"/>
      <c r="J43" s="5">
        <f t="shared" si="30"/>
        <v>6.3041412230490604E-2</v>
      </c>
      <c r="K43" s="1"/>
      <c r="L43" s="1">
        <f t="shared" si="31"/>
        <v>-6844.93</v>
      </c>
      <c r="M43" s="1"/>
      <c r="N43" s="5">
        <f t="shared" si="32"/>
        <v>-1</v>
      </c>
      <c r="O43" s="13"/>
      <c r="P43" s="1">
        <f>SUM(OSRRefP22_4x_0)</f>
        <v>42823.43</v>
      </c>
      <c r="Q43" s="1"/>
      <c r="R43" s="5">
        <f t="shared" si="33"/>
        <v>4.0066990534590161E-2</v>
      </c>
      <c r="S43" s="1"/>
      <c r="T43" s="1">
        <f>SUM(OSRRefT22_4x_0)</f>
        <v>61153.68</v>
      </c>
      <c r="U43" s="1"/>
      <c r="V43" s="5">
        <f t="shared" si="34"/>
        <v>4.0763982107695142E-2</v>
      </c>
      <c r="W43" s="1"/>
      <c r="X43" s="1">
        <f t="shared" si="35"/>
        <v>-18330.25</v>
      </c>
      <c r="Y43" s="1"/>
      <c r="Z43" s="5">
        <f t="shared" si="36"/>
        <v>-0.29974075149688456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9"/>
        <v>0</v>
      </c>
      <c r="G44" s="2"/>
      <c r="H44" s="6">
        <v>6844.93</v>
      </c>
      <c r="I44" s="2"/>
      <c r="J44" s="7">
        <f t="shared" si="30"/>
        <v>6.3041412230490604E-2</v>
      </c>
      <c r="K44" s="2"/>
      <c r="L44" s="6">
        <f t="shared" si="31"/>
        <v>-6844.93</v>
      </c>
      <c r="M44" s="2"/>
      <c r="N44" s="7">
        <f t="shared" si="32"/>
        <v>-1</v>
      </c>
      <c r="O44" s="11"/>
      <c r="P44" s="6">
        <v>42823.43</v>
      </c>
      <c r="Q44" s="2"/>
      <c r="R44" s="7">
        <f t="shared" si="33"/>
        <v>4.0066990534590161E-2</v>
      </c>
      <c r="S44" s="2"/>
      <c r="T44" s="6">
        <v>61153.68</v>
      </c>
      <c r="U44" s="2"/>
      <c r="V44" s="7">
        <f t="shared" si="34"/>
        <v>4.0763982107695142E-2</v>
      </c>
      <c r="W44" s="2"/>
      <c r="X44" s="6">
        <f t="shared" si="35"/>
        <v>-18330.25</v>
      </c>
      <c r="Y44" s="2"/>
      <c r="Z44" s="7">
        <f t="shared" si="36"/>
        <v>-0.29974075149688456</v>
      </c>
    </row>
    <row r="45" spans="1:26" s="27" customFormat="1" outlineLevel="1" collapsed="1" x14ac:dyDescent="0.25">
      <c r="A45" s="25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7177.55</v>
      </c>
      <c r="E45" s="1"/>
      <c r="F45" s="5">
        <f t="shared" si="29"/>
        <v>0</v>
      </c>
      <c r="G45" s="1"/>
      <c r="H45" s="1">
        <f>SUM(OSRRefH22_5x_0)</f>
        <v>8410.08</v>
      </c>
      <c r="I45" s="1"/>
      <c r="J45" s="5">
        <f t="shared" si="30"/>
        <v>7.7456353851888093E-2</v>
      </c>
      <c r="K45" s="1"/>
      <c r="L45" s="1">
        <f t="shared" si="31"/>
        <v>-1232.5299999999997</v>
      </c>
      <c r="M45" s="1"/>
      <c r="N45" s="5">
        <f t="shared" si="32"/>
        <v>-0.14655389722808818</v>
      </c>
      <c r="O45" s="13"/>
      <c r="P45" s="1">
        <f>SUM(OSRRefP22_5x_0)</f>
        <v>88934.449999999983</v>
      </c>
      <c r="Q45" s="1"/>
      <c r="R45" s="5">
        <f t="shared" si="33"/>
        <v>8.3209956940604263E-2</v>
      </c>
      <c r="S45" s="1"/>
      <c r="T45" s="1">
        <f>SUM(OSRRefT22_5x_0)</f>
        <v>92510.87999999999</v>
      </c>
      <c r="U45" s="1"/>
      <c r="V45" s="5">
        <f t="shared" si="34"/>
        <v>6.1666147598756646E-2</v>
      </c>
      <c r="W45" s="1"/>
      <c r="X45" s="1">
        <f t="shared" si="35"/>
        <v>-3576.4300000000076</v>
      </c>
      <c r="Y45" s="1"/>
      <c r="Z45" s="5">
        <f t="shared" si="36"/>
        <v>-3.865956090786303E-2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9"/>
        <v>0</v>
      </c>
      <c r="G46" s="2"/>
      <c r="H46" s="6">
        <v>6537.05</v>
      </c>
      <c r="I46" s="2"/>
      <c r="J46" s="7">
        <f t="shared" si="30"/>
        <v>6.0205855110472807E-2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71907.549999999988</v>
      </c>
      <c r="Q46" s="2"/>
      <c r="R46" s="7">
        <f t="shared" si="33"/>
        <v>6.7279036854721072E-2</v>
      </c>
      <c r="S46" s="2"/>
      <c r="T46" s="6">
        <v>71907.549999999988</v>
      </c>
      <c r="U46" s="2"/>
      <c r="V46" s="7">
        <f t="shared" si="34"/>
        <v>4.7932325276388819E-2</v>
      </c>
      <c r="W46" s="2"/>
      <c r="X46" s="6">
        <f t="shared" si="35"/>
        <v>0</v>
      </c>
      <c r="Y46" s="2"/>
      <c r="Z46" s="7">
        <f t="shared" si="36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640.5</v>
      </c>
      <c r="E47" s="2"/>
      <c r="F47" s="7">
        <f t="shared" si="29"/>
        <v>0</v>
      </c>
      <c r="G47" s="2"/>
      <c r="H47" s="6">
        <v>1873.03</v>
      </c>
      <c r="I47" s="2"/>
      <c r="J47" s="7">
        <f t="shared" si="30"/>
        <v>1.7250498741415297E-2</v>
      </c>
      <c r="K47" s="2"/>
      <c r="L47" s="6">
        <f t="shared" si="31"/>
        <v>-1232.53</v>
      </c>
      <c r="M47" s="2"/>
      <c r="N47" s="7">
        <f t="shared" si="32"/>
        <v>-0.65804071477765969</v>
      </c>
      <c r="O47" s="11"/>
      <c r="P47" s="6">
        <v>17026.900000000001</v>
      </c>
      <c r="Q47" s="2"/>
      <c r="R47" s="7">
        <f t="shared" si="33"/>
        <v>1.5930920085883201E-2</v>
      </c>
      <c r="S47" s="2"/>
      <c r="T47" s="6">
        <v>20603.329999999998</v>
      </c>
      <c r="U47" s="2"/>
      <c r="V47" s="7">
        <f t="shared" si="34"/>
        <v>1.373382232236782E-2</v>
      </c>
      <c r="W47" s="2"/>
      <c r="X47" s="6">
        <f t="shared" si="35"/>
        <v>-3576.4299999999967</v>
      </c>
      <c r="Y47" s="2"/>
      <c r="Z47" s="7">
        <f t="shared" si="36"/>
        <v>-0.1735850466890545</v>
      </c>
    </row>
    <row r="48" spans="1:26" s="27" customFormat="1" outlineLevel="1" collapsed="1" x14ac:dyDescent="0.25">
      <c r="A48" s="25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8" si="37">IF(D$12=0,0,D48/D$12)</f>
        <v>0</v>
      </c>
      <c r="G48" s="1"/>
      <c r="H48" s="1">
        <f>SUM(OSRRefH22_6x_0)</f>
        <v>0</v>
      </c>
      <c r="I48" s="1"/>
      <c r="J48" s="5">
        <f t="shared" ref="J48:J58" si="38">IF(H$12=0,0,H48/H$12)</f>
        <v>0</v>
      </c>
      <c r="K48" s="1"/>
      <c r="L48" s="1">
        <f t="shared" ref="L48:L58" si="39">+D48-H48</f>
        <v>0</v>
      </c>
      <c r="M48" s="1"/>
      <c r="N48" s="5">
        <f t="shared" ref="N48:N58" si="40">IF(H48=0,0,L48/H48)</f>
        <v>0</v>
      </c>
      <c r="O48" s="13"/>
      <c r="P48" s="1">
        <f>SUM(OSRRefP22_6x_0)</f>
        <v>0.09</v>
      </c>
      <c r="Q48" s="1"/>
      <c r="R48" s="5">
        <f t="shared" ref="R48:R58" si="41">IF(P$12=0,0,P48/P$12)</f>
        <v>8.4206920092881724E-8</v>
      </c>
      <c r="S48" s="1"/>
      <c r="T48" s="1">
        <f>SUM(OSRRefT22_6x_0)</f>
        <v>0</v>
      </c>
      <c r="U48" s="1"/>
      <c r="V48" s="5">
        <f t="shared" ref="V48:V58" si="42">IF(T$12=0,0,T48/T$12)</f>
        <v>0</v>
      </c>
      <c r="W48" s="1"/>
      <c r="X48" s="1">
        <f t="shared" ref="X48:X58" si="43">+P48-T48</f>
        <v>0.09</v>
      </c>
      <c r="Y48" s="1"/>
      <c r="Z48" s="5">
        <f t="shared" ref="Z48:Z58" si="44">IF(T48=0,0,X48/T48)</f>
        <v>0</v>
      </c>
    </row>
    <row r="49" spans="1:26" s="24" customFormat="1" hidden="1" outlineLevel="2" x14ac:dyDescent="0.25">
      <c r="A49" s="26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0.09</v>
      </c>
      <c r="Q49" s="2"/>
      <c r="R49" s="7">
        <f t="shared" si="41"/>
        <v>8.4206920092881724E-8</v>
      </c>
      <c r="S49" s="2"/>
      <c r="T49" s="6"/>
      <c r="U49" s="2"/>
      <c r="V49" s="7">
        <f t="shared" si="42"/>
        <v>0</v>
      </c>
      <c r="W49" s="2"/>
      <c r="X49" s="6">
        <f t="shared" si="43"/>
        <v>0.09</v>
      </c>
      <c r="Y49" s="2"/>
      <c r="Z49" s="7">
        <f t="shared" si="44"/>
        <v>0</v>
      </c>
    </row>
    <row r="50" spans="1:26" s="27" customFormat="1" outlineLevel="1" collapsed="1" x14ac:dyDescent="0.25">
      <c r="A50" s="25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SUM(OSRRefD22_7x_0)</f>
        <v>0</v>
      </c>
      <c r="E50" s="1"/>
      <c r="F50" s="5">
        <f t="shared" si="37"/>
        <v>0</v>
      </c>
      <c r="G50" s="1"/>
      <c r="H50" s="1">
        <f>SUM(OSRRefH22_7x_0)</f>
        <v>100</v>
      </c>
      <c r="I50" s="1"/>
      <c r="J50" s="5">
        <f t="shared" si="38"/>
        <v>9.2099425750870507E-4</v>
      </c>
      <c r="K50" s="1"/>
      <c r="L50" s="1">
        <f t="shared" si="39"/>
        <v>-100</v>
      </c>
      <c r="M50" s="1"/>
      <c r="N50" s="5">
        <f t="shared" si="40"/>
        <v>-1</v>
      </c>
      <c r="O50" s="13"/>
      <c r="P50" s="1">
        <f>SUM(OSRRefP22_7x_0)</f>
        <v>73</v>
      </c>
      <c r="Q50" s="1"/>
      <c r="R50" s="5">
        <f t="shared" si="41"/>
        <v>6.8301168519781851E-5</v>
      </c>
      <c r="S50" s="1"/>
      <c r="T50" s="1">
        <f>SUM(OSRRefT22_7x_0)</f>
        <v>162</v>
      </c>
      <c r="U50" s="1"/>
      <c r="V50" s="5">
        <f t="shared" si="42"/>
        <v>1.0798638939548059E-4</v>
      </c>
      <c r="W50" s="1"/>
      <c r="X50" s="1">
        <f t="shared" si="43"/>
        <v>-89</v>
      </c>
      <c r="Y50" s="1"/>
      <c r="Z50" s="5">
        <f t="shared" si="44"/>
        <v>-0.54938271604938271</v>
      </c>
    </row>
    <row r="51" spans="1:26" s="24" customFormat="1" hidden="1" outlineLevel="2" x14ac:dyDescent="0.25">
      <c r="A51" s="26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37"/>
        <v>0</v>
      </c>
      <c r="G51" s="2"/>
      <c r="H51" s="6">
        <v>100</v>
      </c>
      <c r="I51" s="2"/>
      <c r="J51" s="7">
        <f t="shared" si="38"/>
        <v>9.2099425750870507E-4</v>
      </c>
      <c r="K51" s="2"/>
      <c r="L51" s="6">
        <f t="shared" si="39"/>
        <v>-100</v>
      </c>
      <c r="M51" s="2"/>
      <c r="N51" s="7">
        <f t="shared" si="40"/>
        <v>-1</v>
      </c>
      <c r="O51" s="11"/>
      <c r="P51" s="6">
        <v>73</v>
      </c>
      <c r="Q51" s="2"/>
      <c r="R51" s="7">
        <f t="shared" si="41"/>
        <v>6.8301168519781851E-5</v>
      </c>
      <c r="S51" s="2"/>
      <c r="T51" s="6">
        <v>162</v>
      </c>
      <c r="U51" s="2"/>
      <c r="V51" s="7">
        <f t="shared" si="42"/>
        <v>1.0798638939548059E-4</v>
      </c>
      <c r="W51" s="2"/>
      <c r="X51" s="6">
        <f t="shared" si="43"/>
        <v>-89</v>
      </c>
      <c r="Y51" s="2"/>
      <c r="Z51" s="7">
        <f t="shared" si="44"/>
        <v>-0.54938271604938271</v>
      </c>
    </row>
    <row r="52" spans="1:26" s="27" customFormat="1" outlineLevel="1" collapsed="1" x14ac:dyDescent="0.25">
      <c r="A52" s="25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0</v>
      </c>
      <c r="I52" s="1"/>
      <c r="J52" s="5">
        <f t="shared" si="38"/>
        <v>0</v>
      </c>
      <c r="K52" s="1"/>
      <c r="L52" s="1">
        <f t="shared" si="39"/>
        <v>0</v>
      </c>
      <c r="M52" s="1"/>
      <c r="N52" s="5">
        <f t="shared" si="40"/>
        <v>0</v>
      </c>
      <c r="O52" s="13"/>
      <c r="P52" s="1">
        <f>SUM(OSRRefP22_8x_0)</f>
        <v>8.25</v>
      </c>
      <c r="Q52" s="1"/>
      <c r="R52" s="5">
        <f t="shared" si="41"/>
        <v>7.7189676751808245E-6</v>
      </c>
      <c r="S52" s="1"/>
      <c r="T52" s="1">
        <f>SUM(OSRRefT22_8x_0)</f>
        <v>402.64</v>
      </c>
      <c r="U52" s="1"/>
      <c r="V52" s="5">
        <f t="shared" si="42"/>
        <v>2.6839283843331052E-4</v>
      </c>
      <c r="W52" s="1"/>
      <c r="X52" s="1">
        <f t="shared" si="43"/>
        <v>-394.39</v>
      </c>
      <c r="Y52" s="1"/>
      <c r="Z52" s="5">
        <f t="shared" si="44"/>
        <v>-0.97951023246572622</v>
      </c>
    </row>
    <row r="53" spans="1:26" s="24" customFormat="1" hidden="1" outlineLevel="2" x14ac:dyDescent="0.25">
      <c r="A53" s="26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37"/>
        <v>0</v>
      </c>
      <c r="G53" s="2"/>
      <c r="H53" s="6"/>
      <c r="I53" s="2"/>
      <c r="J53" s="7">
        <f t="shared" si="38"/>
        <v>0</v>
      </c>
      <c r="K53" s="2"/>
      <c r="L53" s="6">
        <f t="shared" si="39"/>
        <v>0</v>
      </c>
      <c r="M53" s="2"/>
      <c r="N53" s="7">
        <f t="shared" si="40"/>
        <v>0</v>
      </c>
      <c r="O53" s="11"/>
      <c r="P53" s="6">
        <v>8.25</v>
      </c>
      <c r="Q53" s="2"/>
      <c r="R53" s="7">
        <f t="shared" si="41"/>
        <v>7.7189676751808245E-6</v>
      </c>
      <c r="S53" s="2"/>
      <c r="T53" s="6">
        <v>402.64</v>
      </c>
      <c r="U53" s="2"/>
      <c r="V53" s="7">
        <f t="shared" si="42"/>
        <v>2.6839283843331052E-4</v>
      </c>
      <c r="W53" s="2"/>
      <c r="X53" s="6">
        <f t="shared" si="43"/>
        <v>-394.39</v>
      </c>
      <c r="Y53" s="2"/>
      <c r="Z53" s="7">
        <f t="shared" si="44"/>
        <v>-0.97951023246572622</v>
      </c>
    </row>
    <row r="54" spans="1:26" s="27" customFormat="1" outlineLevel="1" collapsed="1" x14ac:dyDescent="0.25">
      <c r="A54" s="25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SUM(OSRRefD22_9x_0)</f>
        <v>263.72000000000003</v>
      </c>
      <c r="E54" s="1"/>
      <c r="F54" s="5">
        <f t="shared" si="37"/>
        <v>0</v>
      </c>
      <c r="G54" s="1"/>
      <c r="H54" s="1">
        <f>SUM(OSRRefH22_9x_0)</f>
        <v>68.319999999999993</v>
      </c>
      <c r="I54" s="1"/>
      <c r="J54" s="5">
        <f t="shared" si="38"/>
        <v>6.2922327672994716E-4</v>
      </c>
      <c r="K54" s="1"/>
      <c r="L54" s="1">
        <f t="shared" si="39"/>
        <v>195.40000000000003</v>
      </c>
      <c r="M54" s="1"/>
      <c r="N54" s="5">
        <f t="shared" si="40"/>
        <v>2.860070257611242</v>
      </c>
      <c r="O54" s="13"/>
      <c r="P54" s="1">
        <f>SUM(OSRRefP22_9x_0)</f>
        <v>6851.14</v>
      </c>
      <c r="Q54" s="1"/>
      <c r="R54" s="5">
        <f t="shared" si="41"/>
        <v>6.4101488725016196E-3</v>
      </c>
      <c r="S54" s="1"/>
      <c r="T54" s="1">
        <f>SUM(OSRRefT22_9x_0)</f>
        <v>118.32</v>
      </c>
      <c r="U54" s="1"/>
      <c r="V54" s="5">
        <f t="shared" si="42"/>
        <v>7.8870059217736192E-5</v>
      </c>
      <c r="W54" s="1"/>
      <c r="X54" s="1">
        <f t="shared" si="43"/>
        <v>6732.8200000000006</v>
      </c>
      <c r="Y54" s="1"/>
      <c r="Z54" s="5">
        <f t="shared" si="44"/>
        <v>56.903482082488175</v>
      </c>
    </row>
    <row r="55" spans="1:26" s="24" customFormat="1" hidden="1" outlineLevel="2" x14ac:dyDescent="0.25">
      <c r="A55" s="26"/>
      <c r="B55" s="11" t="str">
        <f>CONCATENATE("          ", "6351", " - ", "EQUIPMENT RENTAL")</f>
        <v xml:space="preserve">          6351 - EQUIPMENT RENTAL</v>
      </c>
      <c r="C55" s="11"/>
      <c r="D55" s="6">
        <v>263.72000000000003</v>
      </c>
      <c r="E55" s="2"/>
      <c r="F55" s="7">
        <f t="shared" si="37"/>
        <v>0</v>
      </c>
      <c r="G55" s="2"/>
      <c r="H55" s="6">
        <v>68.319999999999993</v>
      </c>
      <c r="I55" s="2"/>
      <c r="J55" s="7">
        <f t="shared" si="38"/>
        <v>6.2922327672994716E-4</v>
      </c>
      <c r="K55" s="2"/>
      <c r="L55" s="6">
        <f t="shared" si="39"/>
        <v>195.40000000000003</v>
      </c>
      <c r="M55" s="2"/>
      <c r="N55" s="7">
        <f t="shared" si="40"/>
        <v>2.860070257611242</v>
      </c>
      <c r="O55" s="11"/>
      <c r="P55" s="6">
        <v>6851.14</v>
      </c>
      <c r="Q55" s="2"/>
      <c r="R55" s="7">
        <f t="shared" si="41"/>
        <v>6.4101488725016196E-3</v>
      </c>
      <c r="S55" s="2"/>
      <c r="T55" s="6">
        <v>118.32</v>
      </c>
      <c r="U55" s="2"/>
      <c r="V55" s="7">
        <f t="shared" si="42"/>
        <v>7.8870059217736192E-5</v>
      </c>
      <c r="W55" s="2"/>
      <c r="X55" s="6">
        <f t="shared" si="43"/>
        <v>6732.8200000000006</v>
      </c>
      <c r="Y55" s="2"/>
      <c r="Z55" s="7">
        <f t="shared" si="44"/>
        <v>56.903482082488175</v>
      </c>
    </row>
    <row r="56" spans="1:26" s="27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si="37"/>
        <v>0</v>
      </c>
      <c r="G56" s="1"/>
      <c r="H56" s="1">
        <f>SUM(OSRRefH22_10x_0)</f>
        <v>220.13</v>
      </c>
      <c r="I56" s="1"/>
      <c r="J56" s="5">
        <f t="shared" si="38"/>
        <v>2.0273846590539123E-3</v>
      </c>
      <c r="K56" s="1"/>
      <c r="L56" s="1">
        <f t="shared" si="39"/>
        <v>-220.13</v>
      </c>
      <c r="M56" s="1"/>
      <c r="N56" s="5">
        <f t="shared" si="40"/>
        <v>-1</v>
      </c>
      <c r="O56" s="13"/>
      <c r="P56" s="1">
        <f>SUM(OSRRefP22_10x_0)</f>
        <v>13442.380000000001</v>
      </c>
      <c r="Q56" s="1"/>
      <c r="R56" s="5">
        <f t="shared" si="41"/>
        <v>1.2577126872423907E-2</v>
      </c>
      <c r="S56" s="1"/>
      <c r="T56" s="1">
        <f>SUM(OSRRefT22_10x_0)</f>
        <v>13664.14</v>
      </c>
      <c r="U56" s="1"/>
      <c r="V56" s="5">
        <f t="shared" si="42"/>
        <v>9.1082786592244572E-3</v>
      </c>
      <c r="W56" s="1"/>
      <c r="X56" s="1">
        <f t="shared" si="43"/>
        <v>-221.7599999999984</v>
      </c>
      <c r="Y56" s="1"/>
      <c r="Z56" s="5">
        <f t="shared" si="44"/>
        <v>-1.6229341912480287E-2</v>
      </c>
    </row>
    <row r="57" spans="1:26" s="24" customFormat="1" hidden="1" outlineLevel="2" x14ac:dyDescent="0.25">
      <c r="A57" s="26"/>
      <c r="B57" s="11" t="str">
        <f>CONCATENATE("          ", "6269", " - ", "ENTERTAINMENT")</f>
        <v xml:space="preserve">          6269 - ENTERTAINMENT</v>
      </c>
      <c r="C57" s="11"/>
      <c r="D57" s="6"/>
      <c r="E57" s="2"/>
      <c r="F57" s="7">
        <f t="shared" si="37"/>
        <v>0</v>
      </c>
      <c r="G57" s="2"/>
      <c r="H57" s="6">
        <v>164.27</v>
      </c>
      <c r="I57" s="2"/>
      <c r="J57" s="7">
        <f t="shared" si="38"/>
        <v>1.5129172668095498E-3</v>
      </c>
      <c r="K57" s="2"/>
      <c r="L57" s="6">
        <f t="shared" si="39"/>
        <v>-164.27</v>
      </c>
      <c r="M57" s="2"/>
      <c r="N57" s="7">
        <f t="shared" si="40"/>
        <v>-1</v>
      </c>
      <c r="O57" s="11"/>
      <c r="P57" s="6">
        <v>10050</v>
      </c>
      <c r="Q57" s="2"/>
      <c r="R57" s="7">
        <f t="shared" si="41"/>
        <v>9.4031060770384603E-3</v>
      </c>
      <c r="S57" s="2"/>
      <c r="T57" s="6">
        <v>10824.27</v>
      </c>
      <c r="U57" s="2"/>
      <c r="V57" s="7">
        <f t="shared" si="42"/>
        <v>7.2152705872951771E-3</v>
      </c>
      <c r="W57" s="2"/>
      <c r="X57" s="6">
        <f t="shared" si="43"/>
        <v>-774.27000000000044</v>
      </c>
      <c r="Y57" s="2"/>
      <c r="Z57" s="7">
        <f t="shared" si="44"/>
        <v>-7.1530920791887151E-2</v>
      </c>
    </row>
    <row r="58" spans="1:26" s="24" customFormat="1" hidden="1" outlineLevel="2" x14ac:dyDescent="0.25">
      <c r="A58" s="26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55.86</v>
      </c>
      <c r="I58" s="2"/>
      <c r="J58" s="7">
        <f t="shared" si="38"/>
        <v>5.1446739224436265E-4</v>
      </c>
      <c r="K58" s="2"/>
      <c r="L58" s="6">
        <f t="shared" si="39"/>
        <v>-55.86</v>
      </c>
      <c r="M58" s="2"/>
      <c r="N58" s="7">
        <f t="shared" si="40"/>
        <v>-1</v>
      </c>
      <c r="O58" s="11"/>
      <c r="P58" s="6">
        <v>3392.38</v>
      </c>
      <c r="Q58" s="2"/>
      <c r="R58" s="7">
        <f t="shared" si="41"/>
        <v>3.1740207953854459E-3</v>
      </c>
      <c r="S58" s="2"/>
      <c r="T58" s="6">
        <v>2839.87</v>
      </c>
      <c r="U58" s="2"/>
      <c r="V58" s="7">
        <f t="shared" si="42"/>
        <v>1.8930080719292805E-3</v>
      </c>
      <c r="W58" s="2"/>
      <c r="X58" s="6">
        <f t="shared" si="43"/>
        <v>552.51000000000022</v>
      </c>
      <c r="Y58" s="2"/>
      <c r="Z58" s="7">
        <f t="shared" si="44"/>
        <v>0.19455468031987388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ref="F59:F62" si="45">IF(D$12=0,0,D59/D$12)</f>
        <v>0</v>
      </c>
      <c r="G59" s="1"/>
      <c r="H59" s="1">
        <f>SUM(OSRRefH22_11x_0)</f>
        <v>840</v>
      </c>
      <c r="I59" s="1"/>
      <c r="J59" s="5">
        <f t="shared" ref="J59:J62" si="46">IF(H$12=0,0,H59/H$12)</f>
        <v>7.7363517630731219E-3</v>
      </c>
      <c r="K59" s="1"/>
      <c r="L59" s="1">
        <f t="shared" ref="L59:L62" si="47">+D59-H59</f>
        <v>-840</v>
      </c>
      <c r="M59" s="1"/>
      <c r="N59" s="5">
        <f t="shared" ref="N59:N62" si="48">IF(H59=0,0,L59/H59)</f>
        <v>-1</v>
      </c>
      <c r="O59" s="13"/>
      <c r="P59" s="1">
        <f>SUM(OSRRefP22_11x_0)</f>
        <v>17856.98</v>
      </c>
      <c r="Q59" s="1"/>
      <c r="R59" s="5">
        <f t="shared" ref="R59:R62" si="49">IF(P$12=0,0,P59/P$12)</f>
        <v>1.6707569866224303E-2</v>
      </c>
      <c r="S59" s="1"/>
      <c r="T59" s="1">
        <f>SUM(OSRRefT22_11x_0)</f>
        <v>19994.349999999999</v>
      </c>
      <c r="U59" s="1"/>
      <c r="V59" s="5">
        <f t="shared" ref="V59:V62" si="50">IF(T$12=0,0,T59/T$12)</f>
        <v>1.3327886819811896E-2</v>
      </c>
      <c r="W59" s="1"/>
      <c r="X59" s="1">
        <f t="shared" ref="X59:X62" si="51">+P59-T59</f>
        <v>-2137.369999999999</v>
      </c>
      <c r="Y59" s="1"/>
      <c r="Z59" s="5">
        <f t="shared" ref="Z59:Z62" si="52">IF(T59=0,0,X59/T59)</f>
        <v>-0.10689869888243425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5"/>
        <v>0</v>
      </c>
      <c r="G60" s="2"/>
      <c r="H60" s="6"/>
      <c r="I60" s="2"/>
      <c r="J60" s="7">
        <f t="shared" si="46"/>
        <v>0</v>
      </c>
      <c r="K60" s="2"/>
      <c r="L60" s="6">
        <f t="shared" si="47"/>
        <v>0</v>
      </c>
      <c r="M60" s="2"/>
      <c r="N60" s="7">
        <f t="shared" si="48"/>
        <v>0</v>
      </c>
      <c r="O60" s="11"/>
      <c r="P60" s="6">
        <v>2623.85</v>
      </c>
      <c r="Q60" s="2"/>
      <c r="R60" s="7">
        <f t="shared" si="49"/>
        <v>2.454959192063419E-3</v>
      </c>
      <c r="S60" s="2"/>
      <c r="T60" s="6">
        <v>324.45</v>
      </c>
      <c r="U60" s="2"/>
      <c r="V60" s="7">
        <f t="shared" si="50"/>
        <v>2.1627274098372638E-4</v>
      </c>
      <c r="W60" s="2"/>
      <c r="X60" s="6">
        <f t="shared" si="51"/>
        <v>2299.4</v>
      </c>
      <c r="Y60" s="2"/>
      <c r="Z60" s="7">
        <f t="shared" si="52"/>
        <v>7.0870704268762523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45"/>
        <v>0</v>
      </c>
      <c r="G61" s="2"/>
      <c r="H61" s="6">
        <v>840</v>
      </c>
      <c r="I61" s="2"/>
      <c r="J61" s="7">
        <f t="shared" si="46"/>
        <v>7.7363517630731219E-3</v>
      </c>
      <c r="K61" s="2"/>
      <c r="L61" s="6">
        <f t="shared" si="47"/>
        <v>-840</v>
      </c>
      <c r="M61" s="2"/>
      <c r="N61" s="7">
        <f t="shared" si="48"/>
        <v>-1</v>
      </c>
      <c r="O61" s="11"/>
      <c r="P61" s="6">
        <v>1443.95</v>
      </c>
      <c r="Q61" s="2"/>
      <c r="R61" s="7">
        <f t="shared" si="49"/>
        <v>1.3510064696457397E-3</v>
      </c>
      <c r="S61" s="2"/>
      <c r="T61" s="6">
        <v>2954.6</v>
      </c>
      <c r="U61" s="2"/>
      <c r="V61" s="7">
        <f t="shared" si="50"/>
        <v>1.969485099431401E-3</v>
      </c>
      <c r="W61" s="2"/>
      <c r="X61" s="6">
        <f t="shared" si="51"/>
        <v>-1510.6499999999999</v>
      </c>
      <c r="Y61" s="2"/>
      <c r="Z61" s="7">
        <f t="shared" si="52"/>
        <v>-0.51128748392337364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13789.18</v>
      </c>
      <c r="Q62" s="2"/>
      <c r="R62" s="7">
        <f t="shared" si="49"/>
        <v>1.2901604204515143E-2</v>
      </c>
      <c r="S62" s="2"/>
      <c r="T62" s="6">
        <v>16715.3</v>
      </c>
      <c r="U62" s="2"/>
      <c r="V62" s="7">
        <f t="shared" si="50"/>
        <v>1.114212897939677E-2</v>
      </c>
      <c r="W62" s="2"/>
      <c r="X62" s="6">
        <f t="shared" si="51"/>
        <v>-2926.119999999999</v>
      </c>
      <c r="Y62" s="2"/>
      <c r="Z62" s="7">
        <f t="shared" si="52"/>
        <v>-0.17505638546720664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0</v>
      </c>
      <c r="E63" s="1"/>
      <c r="F63" s="5">
        <f t="shared" ref="F63:F66" si="53">IF(D$12=0,0,D63/D$12)</f>
        <v>0</v>
      </c>
      <c r="G63" s="1"/>
      <c r="H63" s="1">
        <f>SUM(OSRRefH22_12x_0)</f>
        <v>1027.0999999999999</v>
      </c>
      <c r="I63" s="1"/>
      <c r="J63" s="5">
        <f t="shared" ref="J63:J66" si="54">IF(H$12=0,0,H63/H$12)</f>
        <v>9.4595320188719089E-3</v>
      </c>
      <c r="K63" s="1"/>
      <c r="L63" s="1">
        <f t="shared" ref="L63:L66" si="55">+D63-H63</f>
        <v>-1027.0999999999999</v>
      </c>
      <c r="M63" s="1"/>
      <c r="N63" s="5">
        <f t="shared" ref="N63:N66" si="56">IF(H63=0,0,L63/H63)</f>
        <v>-1</v>
      </c>
      <c r="O63" s="13"/>
      <c r="P63" s="1">
        <f>SUM(OSRRefP22_12x_0)</f>
        <v>3851.3999999999996</v>
      </c>
      <c r="Q63" s="1"/>
      <c r="R63" s="5">
        <f t="shared" ref="R63:R66" si="57">IF(P$12=0,0,P63/P$12)</f>
        <v>3.6034948005080518E-3</v>
      </c>
      <c r="S63" s="1"/>
      <c r="T63" s="1">
        <f>SUM(OSRRefT22_12x_0)</f>
        <v>3792.02</v>
      </c>
      <c r="U63" s="1"/>
      <c r="V63" s="5">
        <f t="shared" ref="V63:V66" si="58">IF(T$12=0,0,T63/T$12)</f>
        <v>2.527694742687965E-3</v>
      </c>
      <c r="W63" s="1"/>
      <c r="X63" s="1">
        <f t="shared" ref="X63:X66" si="59">+P63-T63</f>
        <v>59.379999999999654</v>
      </c>
      <c r="Y63" s="1"/>
      <c r="Z63" s="5">
        <f t="shared" ref="Z63:Z66" si="60">IF(T63=0,0,X63/T63)</f>
        <v>1.5659200109703973E-2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/>
      <c r="E64" s="2"/>
      <c r="F64" s="7">
        <f t="shared" si="53"/>
        <v>0</v>
      </c>
      <c r="G64" s="2"/>
      <c r="H64" s="6">
        <v>30</v>
      </c>
      <c r="I64" s="2"/>
      <c r="J64" s="7">
        <f t="shared" si="54"/>
        <v>2.7629827725261151E-4</v>
      </c>
      <c r="K64" s="2"/>
      <c r="L64" s="6">
        <f t="shared" si="55"/>
        <v>-30</v>
      </c>
      <c r="M64" s="2"/>
      <c r="N64" s="7">
        <f t="shared" si="56"/>
        <v>-1</v>
      </c>
      <c r="O64" s="11"/>
      <c r="P64" s="6">
        <v>357.75</v>
      </c>
      <c r="Q64" s="2"/>
      <c r="R64" s="7">
        <f t="shared" si="57"/>
        <v>3.3472250736920489E-4</v>
      </c>
      <c r="S64" s="2"/>
      <c r="T64" s="6">
        <v>330</v>
      </c>
      <c r="U64" s="2"/>
      <c r="V64" s="7">
        <f t="shared" si="58"/>
        <v>2.1997227469449751E-4</v>
      </c>
      <c r="W64" s="2"/>
      <c r="X64" s="6">
        <f t="shared" si="59"/>
        <v>27.75</v>
      </c>
      <c r="Y64" s="2"/>
      <c r="Z64" s="7">
        <f t="shared" si="60"/>
        <v>8.4090909090909091E-2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53"/>
        <v>0</v>
      </c>
      <c r="G65" s="2"/>
      <c r="H65" s="6">
        <v>584</v>
      </c>
      <c r="I65" s="2"/>
      <c r="J65" s="7">
        <f t="shared" si="54"/>
        <v>5.3786064638508373E-3</v>
      </c>
      <c r="K65" s="2"/>
      <c r="L65" s="6">
        <f t="shared" si="55"/>
        <v>-584</v>
      </c>
      <c r="M65" s="2"/>
      <c r="N65" s="7">
        <f t="shared" si="56"/>
        <v>-1</v>
      </c>
      <c r="O65" s="11"/>
      <c r="P65" s="6">
        <v>1876.6</v>
      </c>
      <c r="Q65" s="2"/>
      <c r="R65" s="7">
        <f t="shared" si="57"/>
        <v>1.7558078471811315E-3</v>
      </c>
      <c r="S65" s="2"/>
      <c r="T65" s="6">
        <v>1168</v>
      </c>
      <c r="U65" s="2"/>
      <c r="V65" s="7">
        <f t="shared" si="58"/>
        <v>7.785685358884033E-4</v>
      </c>
      <c r="W65" s="2"/>
      <c r="X65" s="6">
        <f t="shared" si="59"/>
        <v>708.59999999999991</v>
      </c>
      <c r="Y65" s="2"/>
      <c r="Z65" s="7">
        <f t="shared" si="60"/>
        <v>0.60667808219178077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53"/>
        <v>0</v>
      </c>
      <c r="G66" s="2"/>
      <c r="H66" s="6">
        <v>413.1</v>
      </c>
      <c r="I66" s="2"/>
      <c r="J66" s="7">
        <f t="shared" si="54"/>
        <v>3.8046272777684607E-3</v>
      </c>
      <c r="K66" s="2"/>
      <c r="L66" s="6">
        <f t="shared" si="55"/>
        <v>-413.1</v>
      </c>
      <c r="M66" s="2"/>
      <c r="N66" s="7">
        <f t="shared" si="56"/>
        <v>-1</v>
      </c>
      <c r="O66" s="11"/>
      <c r="P66" s="6">
        <v>1617.05</v>
      </c>
      <c r="Q66" s="2"/>
      <c r="R66" s="7">
        <f t="shared" si="57"/>
        <v>1.5129644459577155E-3</v>
      </c>
      <c r="S66" s="2"/>
      <c r="T66" s="6">
        <v>2294.02</v>
      </c>
      <c r="U66" s="2"/>
      <c r="V66" s="7">
        <f t="shared" si="58"/>
        <v>1.529153932105064E-3</v>
      </c>
      <c r="W66" s="2"/>
      <c r="X66" s="6">
        <f t="shared" si="59"/>
        <v>-676.97</v>
      </c>
      <c r="Y66" s="2"/>
      <c r="Z66" s="7">
        <f t="shared" si="60"/>
        <v>-0.29510204793332229</v>
      </c>
    </row>
    <row r="67" spans="1:26" s="27" customFormat="1" outlineLevel="1" collapsed="1" x14ac:dyDescent="0.25">
      <c r="A67" s="25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0</v>
      </c>
      <c r="E67" s="1"/>
      <c r="F67" s="5">
        <f t="shared" ref="F67:F69" si="61">IF(D$12=0,0,D67/D$12)</f>
        <v>0</v>
      </c>
      <c r="G67" s="1"/>
      <c r="H67" s="1">
        <f>SUM(OSRRefH22_13x_0)</f>
        <v>196.71</v>
      </c>
      <c r="I67" s="1"/>
      <c r="J67" s="5">
        <f t="shared" ref="J67:J69" si="62">IF(H$12=0,0,H67/H$12)</f>
        <v>1.8116878039453738E-3</v>
      </c>
      <c r="K67" s="1"/>
      <c r="L67" s="1">
        <f t="shared" ref="L67:L69" si="63">+D67-H67</f>
        <v>-196.71</v>
      </c>
      <c r="M67" s="1"/>
      <c r="N67" s="5">
        <f t="shared" ref="N67:N69" si="64">IF(H67=0,0,L67/H67)</f>
        <v>-1</v>
      </c>
      <c r="O67" s="13"/>
      <c r="P67" s="1">
        <f>SUM(OSRRefP22_13x_0)</f>
        <v>2642.69</v>
      </c>
      <c r="Q67" s="1"/>
      <c r="R67" s="5">
        <f t="shared" ref="R67:R69" si="65">IF(P$12=0,0,P67/P$12)</f>
        <v>2.4725865073361958E-3</v>
      </c>
      <c r="S67" s="1"/>
      <c r="T67" s="1">
        <f>SUM(OSRRefT22_13x_0)</f>
        <v>1725.48</v>
      </c>
      <c r="U67" s="1"/>
      <c r="V67" s="5">
        <f t="shared" ref="V67:V69" si="66">IF(T$12=0,0,T67/T$12)</f>
        <v>1.1501750319389743E-3</v>
      </c>
      <c r="W67" s="1"/>
      <c r="X67" s="1">
        <f t="shared" ref="X67:X69" si="67">+P67-T67</f>
        <v>917.21</v>
      </c>
      <c r="Y67" s="1"/>
      <c r="Z67" s="5">
        <f t="shared" ref="Z67:Z69" si="68">IF(T67=0,0,X67/T67)</f>
        <v>0.53156802744743492</v>
      </c>
    </row>
    <row r="68" spans="1:26" s="24" customFormat="1" hidden="1" outlineLevel="2" x14ac:dyDescent="0.25">
      <c r="A68" s="26"/>
      <c r="B68" s="11" t="str">
        <f>CONCATENATE("          ", "6258", " - ", "MEMBERSHIP DUES")</f>
        <v xml:space="preserve">          6258 - MEMBERSHIP DUES</v>
      </c>
      <c r="C68" s="11"/>
      <c r="D68" s="6"/>
      <c r="E68" s="2"/>
      <c r="F68" s="7">
        <f t="shared" si="61"/>
        <v>0</v>
      </c>
      <c r="G68" s="2"/>
      <c r="H68" s="6"/>
      <c r="I68" s="2"/>
      <c r="J68" s="7">
        <f t="shared" si="62"/>
        <v>0</v>
      </c>
      <c r="K68" s="2"/>
      <c r="L68" s="6">
        <f t="shared" si="63"/>
        <v>0</v>
      </c>
      <c r="M68" s="2"/>
      <c r="N68" s="7">
        <f t="shared" si="64"/>
        <v>0</v>
      </c>
      <c r="O68" s="11"/>
      <c r="P68" s="6">
        <v>978</v>
      </c>
      <c r="Q68" s="2"/>
      <c r="R68" s="7">
        <f t="shared" si="65"/>
        <v>9.1504853167598146E-4</v>
      </c>
      <c r="S68" s="2"/>
      <c r="T68" s="6"/>
      <c r="U68" s="2"/>
      <c r="V68" s="7">
        <f t="shared" si="66"/>
        <v>0</v>
      </c>
      <c r="W68" s="2"/>
      <c r="X68" s="6">
        <f t="shared" si="67"/>
        <v>978</v>
      </c>
      <c r="Y68" s="2"/>
      <c r="Z68" s="7">
        <f t="shared" si="68"/>
        <v>0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/>
      <c r="E69" s="2"/>
      <c r="F69" s="7">
        <f t="shared" si="61"/>
        <v>0</v>
      </c>
      <c r="G69" s="2"/>
      <c r="H69" s="6">
        <v>196.71</v>
      </c>
      <c r="I69" s="2"/>
      <c r="J69" s="7">
        <f t="shared" si="62"/>
        <v>1.8116878039453738E-3</v>
      </c>
      <c r="K69" s="2"/>
      <c r="L69" s="6">
        <f t="shared" si="63"/>
        <v>-196.71</v>
      </c>
      <c r="M69" s="2"/>
      <c r="N69" s="7">
        <f t="shared" si="64"/>
        <v>-1</v>
      </c>
      <c r="O69" s="11"/>
      <c r="P69" s="6">
        <v>1664.69</v>
      </c>
      <c r="Q69" s="2"/>
      <c r="R69" s="7">
        <f t="shared" si="65"/>
        <v>1.5575379756602144E-3</v>
      </c>
      <c r="S69" s="2"/>
      <c r="T69" s="6">
        <v>1725.48</v>
      </c>
      <c r="U69" s="2"/>
      <c r="V69" s="7">
        <f t="shared" si="66"/>
        <v>1.1501750319389743E-3</v>
      </c>
      <c r="W69" s="2"/>
      <c r="X69" s="6">
        <f t="shared" si="67"/>
        <v>-60.789999999999964</v>
      </c>
      <c r="Y69" s="2"/>
      <c r="Z69" s="7">
        <f t="shared" si="68"/>
        <v>-3.5230776363678488E-2</v>
      </c>
    </row>
    <row r="70" spans="1:26" s="27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0</v>
      </c>
      <c r="E70" s="1"/>
      <c r="F70" s="5">
        <f t="shared" ref="F70:F78" si="69">IF(D$12=0,0,D70/D$12)</f>
        <v>0</v>
      </c>
      <c r="G70" s="1"/>
      <c r="H70" s="1">
        <f>SUM(OSRRefH22_14x_0)</f>
        <v>897.92</v>
      </c>
      <c r="I70" s="1"/>
      <c r="J70" s="5">
        <f t="shared" ref="J70:J78" si="70">IF(H$12=0,0,H70/H$12)</f>
        <v>8.2697916370221645E-3</v>
      </c>
      <c r="K70" s="1"/>
      <c r="L70" s="1">
        <f t="shared" ref="L70:L78" si="71">+D70-H70</f>
        <v>-897.92</v>
      </c>
      <c r="M70" s="1"/>
      <c r="N70" s="5">
        <f t="shared" ref="N70:N78" si="72">IF(H70=0,0,L70/H70)</f>
        <v>-1</v>
      </c>
      <c r="O70" s="13"/>
      <c r="P70" s="1">
        <f>SUM(OSRRefP22_14x_0)</f>
        <v>8790.9</v>
      </c>
      <c r="Q70" s="1"/>
      <c r="R70" s="5">
        <f t="shared" ref="R70:R78" si="73">IF(P$12=0,0,P70/P$12)</f>
        <v>8.2250512649390435E-3</v>
      </c>
      <c r="S70" s="1"/>
      <c r="T70" s="1">
        <f>SUM(OSRRefT22_14x_0)</f>
        <v>14238.349999999999</v>
      </c>
      <c r="U70" s="1"/>
      <c r="V70" s="5">
        <f t="shared" ref="V70:V78" si="74">IF(T$12=0,0,T70/T$12)</f>
        <v>9.491037083019389E-3</v>
      </c>
      <c r="W70" s="1"/>
      <c r="X70" s="1">
        <f t="shared" ref="X70:X78" si="75">+P70-T70</f>
        <v>-5447.4499999999989</v>
      </c>
      <c r="Y70" s="1"/>
      <c r="Z70" s="5">
        <f t="shared" ref="Z70:Z78" si="76">IF(T70=0,0,X70/T70)</f>
        <v>-0.38258997706897213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69"/>
        <v>0</v>
      </c>
      <c r="G71" s="2"/>
      <c r="H71" s="6"/>
      <c r="I71" s="2"/>
      <c r="J71" s="7">
        <f t="shared" si="70"/>
        <v>0</v>
      </c>
      <c r="K71" s="2"/>
      <c r="L71" s="6">
        <f t="shared" si="71"/>
        <v>0</v>
      </c>
      <c r="M71" s="2"/>
      <c r="N71" s="7">
        <f t="shared" si="72"/>
        <v>0</v>
      </c>
      <c r="O71" s="11"/>
      <c r="P71" s="6">
        <v>333.92</v>
      </c>
      <c r="Q71" s="2"/>
      <c r="R71" s="7">
        <f t="shared" si="73"/>
        <v>3.1242638619350077E-4</v>
      </c>
      <c r="S71" s="2"/>
      <c r="T71" s="6">
        <v>14.99</v>
      </c>
      <c r="U71" s="2"/>
      <c r="V71" s="7">
        <f t="shared" si="74"/>
        <v>9.9920739323349011E-6</v>
      </c>
      <c r="W71" s="2"/>
      <c r="X71" s="6">
        <f t="shared" si="75"/>
        <v>318.93</v>
      </c>
      <c r="Y71" s="2"/>
      <c r="Z71" s="7">
        <f t="shared" si="76"/>
        <v>21.2761841227485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69"/>
        <v>0</v>
      </c>
      <c r="G72" s="2"/>
      <c r="H72" s="6"/>
      <c r="I72" s="2"/>
      <c r="J72" s="7">
        <f t="shared" si="70"/>
        <v>0</v>
      </c>
      <c r="K72" s="2"/>
      <c r="L72" s="6">
        <f t="shared" si="71"/>
        <v>0</v>
      </c>
      <c r="M72" s="2"/>
      <c r="N72" s="7">
        <f t="shared" si="72"/>
        <v>0</v>
      </c>
      <c r="O72" s="11"/>
      <c r="P72" s="6">
        <v>17.62</v>
      </c>
      <c r="Q72" s="2"/>
      <c r="R72" s="7">
        <f t="shared" si="73"/>
        <v>1.6485843689295292E-5</v>
      </c>
      <c r="S72" s="2"/>
      <c r="T72" s="6">
        <v>2578.09</v>
      </c>
      <c r="U72" s="2"/>
      <c r="V72" s="7">
        <f t="shared" si="74"/>
        <v>1.7185100656579911E-3</v>
      </c>
      <c r="W72" s="2"/>
      <c r="X72" s="6">
        <f t="shared" si="75"/>
        <v>-2560.4700000000003</v>
      </c>
      <c r="Y72" s="2"/>
      <c r="Z72" s="7">
        <f t="shared" si="76"/>
        <v>-0.99316548297382956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69"/>
        <v>0</v>
      </c>
      <c r="G73" s="2"/>
      <c r="H73" s="6">
        <v>18.940000000000001</v>
      </c>
      <c r="I73" s="2"/>
      <c r="J73" s="7">
        <f t="shared" si="70"/>
        <v>1.7443631237214875E-4</v>
      </c>
      <c r="K73" s="2"/>
      <c r="L73" s="6">
        <f t="shared" si="71"/>
        <v>-18.940000000000001</v>
      </c>
      <c r="M73" s="2"/>
      <c r="N73" s="7">
        <f t="shared" si="72"/>
        <v>-1</v>
      </c>
      <c r="O73" s="11"/>
      <c r="P73" s="6">
        <v>788.08</v>
      </c>
      <c r="Q73" s="2"/>
      <c r="R73" s="7">
        <f t="shared" si="73"/>
        <v>7.3735321763109148E-4</v>
      </c>
      <c r="S73" s="2"/>
      <c r="T73" s="6">
        <v>933.38</v>
      </c>
      <c r="U73" s="2"/>
      <c r="V73" s="7">
        <f t="shared" si="74"/>
        <v>6.2217491440712139E-4</v>
      </c>
      <c r="W73" s="2"/>
      <c r="X73" s="6">
        <f t="shared" si="75"/>
        <v>-145.29999999999995</v>
      </c>
      <c r="Y73" s="2"/>
      <c r="Z73" s="7">
        <f t="shared" si="76"/>
        <v>-0.15567078788917693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69"/>
        <v>0</v>
      </c>
      <c r="G74" s="2"/>
      <c r="H74" s="6">
        <v>65.959999999999994</v>
      </c>
      <c r="I74" s="2"/>
      <c r="J74" s="7">
        <f t="shared" si="70"/>
        <v>6.0748781225274183E-4</v>
      </c>
      <c r="K74" s="2"/>
      <c r="L74" s="6">
        <f t="shared" si="71"/>
        <v>-65.959999999999994</v>
      </c>
      <c r="M74" s="2"/>
      <c r="N74" s="7">
        <f t="shared" si="72"/>
        <v>-1</v>
      </c>
      <c r="O74" s="11"/>
      <c r="P74" s="6">
        <v>1698.1</v>
      </c>
      <c r="Q74" s="2"/>
      <c r="R74" s="7">
        <f t="shared" si="73"/>
        <v>1.5887974556635829E-3</v>
      </c>
      <c r="S74" s="2"/>
      <c r="T74" s="6">
        <v>1339.12</v>
      </c>
      <c r="U74" s="2"/>
      <c r="V74" s="7">
        <f t="shared" si="74"/>
        <v>8.9263415905725901E-4</v>
      </c>
      <c r="W74" s="2"/>
      <c r="X74" s="6">
        <f t="shared" si="75"/>
        <v>358.98</v>
      </c>
      <c r="Y74" s="2"/>
      <c r="Z74" s="7">
        <f t="shared" si="76"/>
        <v>0.2680715693888524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69"/>
        <v>0</v>
      </c>
      <c r="G75" s="2"/>
      <c r="H75" s="6">
        <v>813.02</v>
      </c>
      <c r="I75" s="2"/>
      <c r="J75" s="7">
        <f t="shared" si="70"/>
        <v>7.4878675123972735E-3</v>
      </c>
      <c r="K75" s="2"/>
      <c r="L75" s="6">
        <f t="shared" si="71"/>
        <v>-813.02</v>
      </c>
      <c r="M75" s="2"/>
      <c r="N75" s="7">
        <f t="shared" si="72"/>
        <v>-1</v>
      </c>
      <c r="O75" s="11"/>
      <c r="P75" s="6">
        <v>3574.75</v>
      </c>
      <c r="Q75" s="2"/>
      <c r="R75" s="7">
        <f t="shared" si="73"/>
        <v>3.3446520844669886E-3</v>
      </c>
      <c r="S75" s="2"/>
      <c r="T75" s="6">
        <v>6716.85</v>
      </c>
      <c r="U75" s="2"/>
      <c r="V75" s="7">
        <f t="shared" si="74"/>
        <v>4.4773356766113197E-3</v>
      </c>
      <c r="W75" s="2"/>
      <c r="X75" s="6">
        <f t="shared" si="75"/>
        <v>-3142.1000000000004</v>
      </c>
      <c r="Y75" s="2"/>
      <c r="Z75" s="7">
        <f t="shared" si="76"/>
        <v>-0.46779368305083485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69"/>
        <v>0</v>
      </c>
      <c r="G76" s="2"/>
      <c r="H76" s="6"/>
      <c r="I76" s="2"/>
      <c r="J76" s="7">
        <f t="shared" si="70"/>
        <v>0</v>
      </c>
      <c r="K76" s="2"/>
      <c r="L76" s="6">
        <f t="shared" si="71"/>
        <v>0</v>
      </c>
      <c r="M76" s="2"/>
      <c r="N76" s="7">
        <f t="shared" si="72"/>
        <v>0</v>
      </c>
      <c r="O76" s="11"/>
      <c r="P76" s="6">
        <v>22.05</v>
      </c>
      <c r="Q76" s="2"/>
      <c r="R76" s="7">
        <f t="shared" si="73"/>
        <v>2.0630695422756023E-5</v>
      </c>
      <c r="S76" s="2"/>
      <c r="T76" s="6"/>
      <c r="U76" s="2"/>
      <c r="V76" s="7">
        <f t="shared" si="74"/>
        <v>0</v>
      </c>
      <c r="W76" s="2"/>
      <c r="X76" s="6">
        <f t="shared" si="75"/>
        <v>22.05</v>
      </c>
      <c r="Y76" s="2"/>
      <c r="Z76" s="7">
        <f t="shared" si="76"/>
        <v>0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69"/>
        <v>0</v>
      </c>
      <c r="G77" s="2"/>
      <c r="H77" s="6"/>
      <c r="I77" s="2"/>
      <c r="J77" s="7">
        <f t="shared" si="70"/>
        <v>0</v>
      </c>
      <c r="K77" s="2"/>
      <c r="L77" s="6">
        <f t="shared" si="71"/>
        <v>0</v>
      </c>
      <c r="M77" s="2"/>
      <c r="N77" s="7">
        <f t="shared" si="72"/>
        <v>0</v>
      </c>
      <c r="O77" s="11"/>
      <c r="P77" s="6">
        <v>1534.61</v>
      </c>
      <c r="Q77" s="2"/>
      <c r="R77" s="7">
        <f t="shared" si="73"/>
        <v>1.4358309071526357E-3</v>
      </c>
      <c r="S77" s="2"/>
      <c r="T77" s="6">
        <v>1201.3</v>
      </c>
      <c r="U77" s="2"/>
      <c r="V77" s="7">
        <f t="shared" si="74"/>
        <v>8.0076573815302985E-4</v>
      </c>
      <c r="W77" s="2"/>
      <c r="X77" s="6">
        <f t="shared" si="75"/>
        <v>333.30999999999995</v>
      </c>
      <c r="Y77" s="2"/>
      <c r="Z77" s="7">
        <f t="shared" si="76"/>
        <v>0.27745775409972528</v>
      </c>
    </row>
    <row r="78" spans="1:26" s="24" customFormat="1" hidden="1" outlineLevel="2" x14ac:dyDescent="0.25">
      <c r="A78" s="26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69"/>
        <v>0</v>
      </c>
      <c r="G78" s="2"/>
      <c r="H78" s="6"/>
      <c r="I78" s="2"/>
      <c r="J78" s="7">
        <f t="shared" si="70"/>
        <v>0</v>
      </c>
      <c r="K78" s="2"/>
      <c r="L78" s="6">
        <f t="shared" si="71"/>
        <v>0</v>
      </c>
      <c r="M78" s="2"/>
      <c r="N78" s="7">
        <f t="shared" si="72"/>
        <v>0</v>
      </c>
      <c r="O78" s="11"/>
      <c r="P78" s="6">
        <v>821.77</v>
      </c>
      <c r="Q78" s="2"/>
      <c r="R78" s="7">
        <f t="shared" si="73"/>
        <v>7.6887467471919351E-4</v>
      </c>
      <c r="S78" s="2"/>
      <c r="T78" s="6">
        <v>1454.62</v>
      </c>
      <c r="U78" s="2"/>
      <c r="V78" s="7">
        <f t="shared" si="74"/>
        <v>9.6962445520033314E-4</v>
      </c>
      <c r="W78" s="2"/>
      <c r="X78" s="6">
        <f t="shared" si="75"/>
        <v>-632.84999999999991</v>
      </c>
      <c r="Y78" s="2"/>
      <c r="Z78" s="7">
        <f t="shared" si="76"/>
        <v>-0.43506207806849895</v>
      </c>
    </row>
    <row r="79" spans="1:26" s="27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106</v>
      </c>
      <c r="E79" s="1"/>
      <c r="F79" s="5">
        <f t="shared" ref="F79:F82" si="77">IF(D$12=0,0,D79/D$12)</f>
        <v>0</v>
      </c>
      <c r="G79" s="1"/>
      <c r="H79" s="1">
        <f>SUM(OSRRefH22_15x_0)</f>
        <v>161.80000000000001</v>
      </c>
      <c r="I79" s="1"/>
      <c r="J79" s="5">
        <f t="shared" ref="J79:J82" si="78">IF(H$12=0,0,H79/H$12)</f>
        <v>1.4901687086490848E-3</v>
      </c>
      <c r="K79" s="1"/>
      <c r="L79" s="1">
        <f t="shared" ref="L79:L82" si="79">+D79-H79</f>
        <v>-55.800000000000011</v>
      </c>
      <c r="M79" s="1"/>
      <c r="N79" s="5">
        <f t="shared" ref="N79:N82" si="80">IF(H79=0,0,L79/H79)</f>
        <v>-0.34487021013597036</v>
      </c>
      <c r="O79" s="13"/>
      <c r="P79" s="1">
        <f>SUM(OSRRefP22_15x_0)</f>
        <v>1566.34</v>
      </c>
      <c r="Q79" s="1"/>
      <c r="R79" s="5">
        <f t="shared" ref="R79:R82" si="81">IF(P$12=0,0,P79/P$12)</f>
        <v>1.4655185246476041E-3</v>
      </c>
      <c r="S79" s="1"/>
      <c r="T79" s="1">
        <f>SUM(OSRRefT22_15x_0)</f>
        <v>1748.5</v>
      </c>
      <c r="U79" s="1"/>
      <c r="V79" s="5">
        <f t="shared" ref="V79:V82" si="82">IF(T$12=0,0,T79/T$12)</f>
        <v>1.165519764555542E-3</v>
      </c>
      <c r="W79" s="1"/>
      <c r="X79" s="1">
        <f t="shared" ref="X79:X82" si="83">+P79-T79</f>
        <v>-182.16000000000008</v>
      </c>
      <c r="Y79" s="1"/>
      <c r="Z79" s="5">
        <f t="shared" ref="Z79:Z82" si="84">IF(T79=0,0,X79/T79)</f>
        <v>-0.10418072633686021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106</v>
      </c>
      <c r="E80" s="2"/>
      <c r="F80" s="7">
        <f t="shared" si="77"/>
        <v>0</v>
      </c>
      <c r="G80" s="2"/>
      <c r="H80" s="6">
        <v>161.80000000000001</v>
      </c>
      <c r="I80" s="2"/>
      <c r="J80" s="7">
        <f t="shared" si="78"/>
        <v>1.4901687086490848E-3</v>
      </c>
      <c r="K80" s="2"/>
      <c r="L80" s="6">
        <f t="shared" si="79"/>
        <v>-55.800000000000011</v>
      </c>
      <c r="M80" s="2"/>
      <c r="N80" s="7">
        <f t="shared" si="80"/>
        <v>-0.34487021013597036</v>
      </c>
      <c r="O80" s="11"/>
      <c r="P80" s="6">
        <v>1566.34</v>
      </c>
      <c r="Q80" s="2"/>
      <c r="R80" s="7">
        <f t="shared" si="81"/>
        <v>1.4655185246476041E-3</v>
      </c>
      <c r="S80" s="2"/>
      <c r="T80" s="6">
        <v>1748.5</v>
      </c>
      <c r="U80" s="2"/>
      <c r="V80" s="7">
        <f t="shared" si="82"/>
        <v>1.165519764555542E-3</v>
      </c>
      <c r="W80" s="2"/>
      <c r="X80" s="6">
        <f t="shared" si="83"/>
        <v>-182.16000000000008</v>
      </c>
      <c r="Y80" s="2"/>
      <c r="Z80" s="7">
        <f t="shared" si="84"/>
        <v>-0.10418072633686021</v>
      </c>
    </row>
    <row r="81" spans="1:26" s="27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si="77"/>
        <v>0</v>
      </c>
      <c r="G81" s="1"/>
      <c r="H81" s="1">
        <f>SUM(OSRRefH22_16x_0)</f>
        <v>0</v>
      </c>
      <c r="I81" s="1"/>
      <c r="J81" s="5">
        <f t="shared" si="78"/>
        <v>0</v>
      </c>
      <c r="K81" s="1"/>
      <c r="L81" s="1">
        <f t="shared" si="79"/>
        <v>0</v>
      </c>
      <c r="M81" s="1"/>
      <c r="N81" s="5">
        <f t="shared" si="80"/>
        <v>0</v>
      </c>
      <c r="O81" s="13"/>
      <c r="P81" s="1">
        <f>SUM(OSRRefP22_16x_0)</f>
        <v>279.95</v>
      </c>
      <c r="Q81" s="1"/>
      <c r="R81" s="5">
        <f t="shared" si="81"/>
        <v>2.6193030311113597E-4</v>
      </c>
      <c r="S81" s="1"/>
      <c r="T81" s="1">
        <f>SUM(OSRRefT22_16x_0)</f>
        <v>140</v>
      </c>
      <c r="U81" s="1"/>
      <c r="V81" s="5">
        <f t="shared" si="82"/>
        <v>9.3321571082514092E-5</v>
      </c>
      <c r="W81" s="1"/>
      <c r="X81" s="1">
        <f t="shared" si="83"/>
        <v>139.94999999999999</v>
      </c>
      <c r="Y81" s="1"/>
      <c r="Z81" s="5">
        <f t="shared" si="84"/>
        <v>0.99964285714285706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77"/>
        <v>0</v>
      </c>
      <c r="G82" s="2"/>
      <c r="H82" s="6"/>
      <c r="I82" s="2"/>
      <c r="J82" s="7">
        <f t="shared" si="78"/>
        <v>0</v>
      </c>
      <c r="K82" s="2"/>
      <c r="L82" s="6">
        <f t="shared" si="79"/>
        <v>0</v>
      </c>
      <c r="M82" s="2"/>
      <c r="N82" s="7">
        <f t="shared" si="80"/>
        <v>0</v>
      </c>
      <c r="O82" s="11"/>
      <c r="P82" s="6">
        <v>279.95</v>
      </c>
      <c r="Q82" s="2"/>
      <c r="R82" s="7">
        <f t="shared" si="81"/>
        <v>2.6193030311113597E-4</v>
      </c>
      <c r="S82" s="2"/>
      <c r="T82" s="6">
        <v>140</v>
      </c>
      <c r="U82" s="2"/>
      <c r="V82" s="7">
        <f t="shared" si="82"/>
        <v>9.3321571082514092E-5</v>
      </c>
      <c r="W82" s="2"/>
      <c r="X82" s="6">
        <f t="shared" si="83"/>
        <v>139.94999999999999</v>
      </c>
      <c r="Y82" s="2"/>
      <c r="Z82" s="7">
        <f t="shared" si="84"/>
        <v>0.99964285714285706</v>
      </c>
    </row>
    <row r="83" spans="1:26" s="58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8" t="s">
        <v>0</v>
      </c>
      <c r="C84" s="10"/>
      <c r="D84" s="4">
        <f>SUM(OSRRefD25x_0)</f>
        <v>0</v>
      </c>
      <c r="E84" s="4"/>
      <c r="F84" s="12">
        <f t="shared" ref="F84:F85" si="85">IF(D$12=0,0,D84/D$12)</f>
        <v>0</v>
      </c>
      <c r="G84" s="4"/>
      <c r="H84" s="4">
        <f>SUM(OSRRefH25x_0)</f>
        <v>0</v>
      </c>
      <c r="I84" s="4"/>
      <c r="J84" s="12">
        <f t="shared" ref="J84:J85" si="86">IF(H$12=0,0,H84/H$12)</f>
        <v>0</v>
      </c>
      <c r="K84" s="4"/>
      <c r="L84" s="4">
        <f t="shared" ref="L84:L85" si="87">+D84-H84</f>
        <v>0</v>
      </c>
      <c r="M84" s="4"/>
      <c r="N84" s="12">
        <f t="shared" ref="N84:N85" si="88">IF(H84=0,0,L84/H84)</f>
        <v>0</v>
      </c>
      <c r="O84" s="10"/>
      <c r="P84" s="4">
        <f>SUM(OSRRefP25x_0)</f>
        <v>0</v>
      </c>
      <c r="Q84" s="4"/>
      <c r="R84" s="12">
        <f t="shared" ref="R84:R85" si="89">IF(P$12=0,0,P84/P$12)</f>
        <v>0</v>
      </c>
      <c r="S84" s="4"/>
      <c r="T84" s="4">
        <f>SUM(OSRRefT25x_0)</f>
        <v>1269.75</v>
      </c>
      <c r="U84" s="4"/>
      <c r="V84" s="12">
        <f t="shared" ref="V84:V85" si="90">IF(T$12=0,0,T84/T$12)</f>
        <v>8.4639332058587336E-4</v>
      </c>
      <c r="W84" s="4"/>
      <c r="X84" s="4">
        <f t="shared" ref="X84:X85" si="91">+P84-T84</f>
        <v>-1269.75</v>
      </c>
      <c r="Y84" s="4"/>
      <c r="Z84" s="12">
        <f t="shared" ref="Z84:Z85" si="92">IF(T84=0,0,X84/T84)</f>
        <v>-1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0</f>
        <v>0</v>
      </c>
      <c r="E85" s="2"/>
      <c r="F85" s="19">
        <f t="shared" si="85"/>
        <v>0</v>
      </c>
      <c r="G85" s="2"/>
      <c r="H85" s="2">
        <f>0</f>
        <v>0</v>
      </c>
      <c r="I85" s="2"/>
      <c r="J85" s="19">
        <f t="shared" si="86"/>
        <v>0</v>
      </c>
      <c r="K85" s="2"/>
      <c r="L85" s="2">
        <f t="shared" si="87"/>
        <v>0</v>
      </c>
      <c r="M85" s="2"/>
      <c r="N85" s="19">
        <f t="shared" si="88"/>
        <v>0</v>
      </c>
      <c r="O85" s="11"/>
      <c r="P85" s="2">
        <f>0</f>
        <v>0</v>
      </c>
      <c r="Q85" s="2"/>
      <c r="R85" s="19">
        <f t="shared" si="89"/>
        <v>0</v>
      </c>
      <c r="S85" s="2"/>
      <c r="T85" s="2">
        <f>--1269.75</f>
        <v>1269.75</v>
      </c>
      <c r="U85" s="2"/>
      <c r="V85" s="19">
        <f t="shared" si="90"/>
        <v>8.4639332058587336E-4</v>
      </c>
      <c r="W85" s="2"/>
      <c r="X85" s="2">
        <f t="shared" si="91"/>
        <v>-1269.75</v>
      </c>
      <c r="Y85" s="2"/>
      <c r="Z85" s="19">
        <f t="shared" si="92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1">
        <f>+D20-D22+D84</f>
        <v>-18226.7</v>
      </c>
      <c r="E87" s="14"/>
      <c r="F87" s="20">
        <f>IF(D$12=0,0,D87/D$12)</f>
        <v>0</v>
      </c>
      <c r="G87" s="14"/>
      <c r="H87" s="21">
        <f>+H20-H22+H84</f>
        <v>4708.8999999999796</v>
      </c>
      <c r="I87" s="14"/>
      <c r="J87" s="20">
        <f>IF(H$12=0,0,H87/H$12)</f>
        <v>4.3368698591827223E-2</v>
      </c>
      <c r="K87" s="16"/>
      <c r="L87" s="21">
        <f>+D87-H87</f>
        <v>-22935.59999999998</v>
      </c>
      <c r="M87" s="16"/>
      <c r="N87" s="20">
        <f>IF(H87=0,0,L87/H87)</f>
        <v>-4.8706916689672912</v>
      </c>
      <c r="O87" s="28"/>
      <c r="P87" s="21">
        <f>+P20-P22+P84</f>
        <v>111998.41000000015</v>
      </c>
      <c r="Q87" s="14"/>
      <c r="R87" s="20">
        <f>IF(P$12=0,0,P87/P$12)</f>
        <v>0.10478934623777576</v>
      </c>
      <c r="S87" s="14"/>
      <c r="T87" s="21">
        <f>+T20-T22+T84</f>
        <v>353708.99</v>
      </c>
      <c r="U87" s="14"/>
      <c r="V87" s="20">
        <f>IF(T$12=0,0,T87/T$12)</f>
        <v>0.23577627609149474</v>
      </c>
      <c r="W87" s="16"/>
      <c r="X87" s="21">
        <f>+P87-T87</f>
        <v>-241710.57999999984</v>
      </c>
      <c r="Y87" s="16"/>
      <c r="Z87" s="20">
        <f>IF(T87=0,0,X87/T87)</f>
        <v>-0.68336001298694682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5208</v>
      </c>
      <c r="E89" s="4"/>
      <c r="F89" s="12">
        <f>IF(D$12=0,0,D89/D$12)</f>
        <v>0</v>
      </c>
      <c r="G89" s="4"/>
      <c r="H89" s="4">
        <v>11371.69</v>
      </c>
      <c r="I89" s="4"/>
      <c r="J89" s="12">
        <f>IF(H$12=0,0,H89/H$12)</f>
        <v>0.10473261188169167</v>
      </c>
      <c r="K89" s="4"/>
      <c r="L89" s="4">
        <f>+D89-H89</f>
        <v>-6163.6900000000005</v>
      </c>
      <c r="M89" s="4"/>
      <c r="N89" s="12">
        <f>IF(H89=0,0,L89/H89)</f>
        <v>-0.54202057917512703</v>
      </c>
      <c r="O89" s="10"/>
      <c r="P89" s="4">
        <v>126562.11000000002</v>
      </c>
      <c r="Q89" s="4"/>
      <c r="R89" s="12">
        <f>IF(P$12=0,0,P89/P$12)</f>
        <v>0.11841561648396121</v>
      </c>
      <c r="S89" s="4"/>
      <c r="T89" s="4">
        <v>156041.53</v>
      </c>
      <c r="U89" s="4"/>
      <c r="V89" s="12">
        <f>IF(T$12=0,0,T89/T$12)</f>
        <v>0.10401457666942325</v>
      </c>
      <c r="W89" s="4"/>
      <c r="X89" s="4">
        <f>+P89-T89</f>
        <v>-29479.419999999984</v>
      </c>
      <c r="Y89" s="4"/>
      <c r="Z89" s="12">
        <f>IF(T89=0,0,X89/T89)</f>
        <v>-0.18892034703838129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5">
        <f>+D87-D89</f>
        <v>-23434.7</v>
      </c>
      <c r="E91" s="14"/>
      <c r="F91" s="32">
        <f>IF(D$12=0,0,D91/D$12)</f>
        <v>0</v>
      </c>
      <c r="G91" s="14"/>
      <c r="H91" s="35">
        <f>+H87-H89</f>
        <v>-6662.7900000000209</v>
      </c>
      <c r="I91" s="14"/>
      <c r="J91" s="32">
        <f>IF(H$12=0,0,H91/H$12)</f>
        <v>-6.1363913289864437E-2</v>
      </c>
      <c r="K91" s="16"/>
      <c r="L91" s="35">
        <f>D91-H91</f>
        <v>-16771.909999999982</v>
      </c>
      <c r="M91" s="16"/>
      <c r="N91" s="32">
        <f>IF(H91=0,0,L91/H91)</f>
        <v>2.5172502810384132</v>
      </c>
      <c r="O91" s="28"/>
      <c r="P91" s="35">
        <f>+P87-P89</f>
        <v>-14563.699999999866</v>
      </c>
      <c r="Q91" s="14"/>
      <c r="R91" s="32">
        <f>IF(P$12=0,0,P91/P$12)</f>
        <v>-1.3626270246185448E-2</v>
      </c>
      <c r="S91" s="14"/>
      <c r="T91" s="35">
        <f>+T87-T89</f>
        <v>197667.46</v>
      </c>
      <c r="U91" s="14"/>
      <c r="V91" s="32">
        <f>IF(T$12=0,0,T91/T$12)</f>
        <v>0.1317616994220715</v>
      </c>
      <c r="W91" s="16"/>
      <c r="X91" s="35">
        <f>P91-T91</f>
        <v>-212231.15999999986</v>
      </c>
      <c r="Y91" s="16"/>
      <c r="Z91" s="32">
        <f>IF(T91=0,0,X91/T91)</f>
        <v>-1.0736777818665746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6">
        <f>SUM(D91:D93)</f>
        <v>-23434.7</v>
      </c>
      <c r="E94" s="14"/>
      <c r="F94" s="33">
        <f>IF(D$12=0,0,D94/D$12)</f>
        <v>0</v>
      </c>
      <c r="G94" s="14"/>
      <c r="H94" s="36">
        <f>SUM(H91:H93)</f>
        <v>-6662.7900000000209</v>
      </c>
      <c r="I94" s="14"/>
      <c r="J94" s="33">
        <f>IF(H$12=0,0,H94/H$12)</f>
        <v>-6.1363913289864437E-2</v>
      </c>
      <c r="K94" s="16"/>
      <c r="L94" s="36">
        <f>+D94-H94</f>
        <v>-16771.909999999982</v>
      </c>
      <c r="M94" s="16"/>
      <c r="N94" s="33">
        <f>IF(H94=0,0,L94/H94)</f>
        <v>2.5172502810384132</v>
      </c>
      <c r="O94" s="28"/>
      <c r="P94" s="36">
        <f>SUM(P91:P93)</f>
        <v>-14563.699999999866</v>
      </c>
      <c r="Q94" s="14"/>
      <c r="R94" s="33">
        <f>IF(P$12=0,0,P94/P$12)</f>
        <v>-1.3626270246185448E-2</v>
      </c>
      <c r="S94" s="14"/>
      <c r="T94" s="36">
        <f>SUM(T91:T93)</f>
        <v>197667.46</v>
      </c>
      <c r="U94" s="14"/>
      <c r="V94" s="33">
        <f>IF(T$12=0,0,T94/T$12)</f>
        <v>0.1317616994220715</v>
      </c>
      <c r="W94" s="16"/>
      <c r="X94" s="36">
        <f>+P94-T94</f>
        <v>-212231.15999999986</v>
      </c>
      <c r="Y94" s="16"/>
      <c r="Z94" s="33">
        <f>IF(T94=0,0,X94/T94)</f>
        <v>-1.0736777818665746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>
        <v>43992.375989085645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2" t="s">
        <v>313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3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-729.38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8"/>
      <c r="P17" s="21">
        <f>P12-P14</f>
        <v>729.38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6"/>
      <c r="X17" s="21">
        <f>+P17-T17</f>
        <v>729.38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15392.11</v>
      </c>
      <c r="E19" s="22"/>
      <c r="F19" s="31">
        <f t="shared" ref="F19:F28" si="8">IF(D$12=0,0,D19/D$12)</f>
        <v>0</v>
      </c>
      <c r="G19" s="22"/>
      <c r="H19" s="22">
        <f>SUM(OSRRefH22x_0)</f>
        <v>8642.1299999999992</v>
      </c>
      <c r="I19" s="22"/>
      <c r="J19" s="31">
        <f t="shared" ref="J19:J28" si="9">IF(H$12=0,0,H19/H$12)</f>
        <v>0</v>
      </c>
      <c r="K19" s="4"/>
      <c r="L19" s="22">
        <f t="shared" ref="L19:L28" si="10">+D19-H19</f>
        <v>6749.9800000000014</v>
      </c>
      <c r="M19" s="4"/>
      <c r="N19" s="31">
        <f t="shared" ref="N19:N28" si="11">IF(H19=0,0,L19/H19)</f>
        <v>0.78105513339882671</v>
      </c>
      <c r="O19" s="10"/>
      <c r="P19" s="22">
        <f>SUM(OSRRefP22x_0)</f>
        <v>152120.79999999999</v>
      </c>
      <c r="Q19" s="22"/>
      <c r="R19" s="31">
        <f t="shared" ref="R19:R28" si="12">IF(P$12=0,0,P19/P$12)</f>
        <v>0</v>
      </c>
      <c r="S19" s="22"/>
      <c r="T19" s="22">
        <f>SUM(OSRRefT22x_0)</f>
        <v>98704.45</v>
      </c>
      <c r="U19" s="22"/>
      <c r="V19" s="31">
        <f t="shared" ref="V19:V28" si="13">IF(T$12=0,0,T19/T$12)</f>
        <v>0</v>
      </c>
      <c r="W19" s="4"/>
      <c r="X19" s="22">
        <f t="shared" ref="X19:X28" si="14">+P19-T19</f>
        <v>53416.349999999991</v>
      </c>
      <c r="Y19" s="4"/>
      <c r="Z19" s="31">
        <f t="shared" ref="Z19:Z28" si="15">IF(T19=0,0,X19/T19)</f>
        <v>0.54117468867918306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5487.1100000000006</v>
      </c>
      <c r="E20" s="1"/>
      <c r="F20" s="5">
        <f t="shared" si="8"/>
        <v>0</v>
      </c>
      <c r="G20" s="1"/>
      <c r="H20" s="1">
        <f>SUM(OSRRefH22_0x_0)</f>
        <v>3178.2899999999995</v>
      </c>
      <c r="I20" s="1"/>
      <c r="J20" s="5">
        <f t="shared" si="9"/>
        <v>0</v>
      </c>
      <c r="K20" s="1"/>
      <c r="L20" s="1">
        <f t="shared" si="10"/>
        <v>2308.8200000000011</v>
      </c>
      <c r="M20" s="1"/>
      <c r="N20" s="5">
        <f t="shared" si="11"/>
        <v>0.72643465511328464</v>
      </c>
      <c r="O20" s="13"/>
      <c r="P20" s="1">
        <f>SUM(OSRRefP22_0x_0)</f>
        <v>64224.45</v>
      </c>
      <c r="Q20" s="1"/>
      <c r="R20" s="5">
        <f t="shared" si="12"/>
        <v>0</v>
      </c>
      <c r="S20" s="1"/>
      <c r="T20" s="1">
        <f>SUM(OSRRefT22_0x_0)</f>
        <v>34356.149999999994</v>
      </c>
      <c r="U20" s="1"/>
      <c r="V20" s="5">
        <f t="shared" si="13"/>
        <v>0</v>
      </c>
      <c r="W20" s="1"/>
      <c r="X20" s="1">
        <f t="shared" si="14"/>
        <v>29868.300000000003</v>
      </c>
      <c r="Y20" s="1"/>
      <c r="Z20" s="5">
        <f t="shared" si="15"/>
        <v>0.86937273239289059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846.8</v>
      </c>
      <c r="E21" s="2"/>
      <c r="F21" s="7">
        <f t="shared" si="8"/>
        <v>0</v>
      </c>
      <c r="G21" s="2"/>
      <c r="H21" s="6">
        <v>509.61</v>
      </c>
      <c r="I21" s="2"/>
      <c r="J21" s="7">
        <f t="shared" si="9"/>
        <v>0</v>
      </c>
      <c r="K21" s="2"/>
      <c r="L21" s="6">
        <f t="shared" si="10"/>
        <v>337.18999999999994</v>
      </c>
      <c r="M21" s="2"/>
      <c r="N21" s="7">
        <f t="shared" si="11"/>
        <v>0.66166284021114175</v>
      </c>
      <c r="O21" s="11"/>
      <c r="P21" s="6">
        <v>7522.95</v>
      </c>
      <c r="Q21" s="2"/>
      <c r="R21" s="7">
        <f t="shared" si="12"/>
        <v>0</v>
      </c>
      <c r="S21" s="2"/>
      <c r="T21" s="6">
        <v>5346.03</v>
      </c>
      <c r="U21" s="2"/>
      <c r="V21" s="7">
        <f t="shared" si="13"/>
        <v>0</v>
      </c>
      <c r="W21" s="2"/>
      <c r="X21" s="6">
        <f t="shared" si="14"/>
        <v>2176.92</v>
      </c>
      <c r="Y21" s="2"/>
      <c r="Z21" s="7">
        <f t="shared" si="15"/>
        <v>0.40720310211502747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56.45</v>
      </c>
      <c r="E22" s="2"/>
      <c r="F22" s="7">
        <f t="shared" si="8"/>
        <v>0</v>
      </c>
      <c r="G22" s="2"/>
      <c r="H22" s="6">
        <v>155.43</v>
      </c>
      <c r="I22" s="2"/>
      <c r="J22" s="7">
        <f t="shared" si="9"/>
        <v>0</v>
      </c>
      <c r="K22" s="2"/>
      <c r="L22" s="6">
        <f t="shared" si="10"/>
        <v>-98.98</v>
      </c>
      <c r="M22" s="2"/>
      <c r="N22" s="7">
        <f t="shared" si="11"/>
        <v>-0.6368139998713247</v>
      </c>
      <c r="O22" s="11"/>
      <c r="P22" s="6">
        <v>291.05</v>
      </c>
      <c r="Q22" s="2"/>
      <c r="R22" s="7">
        <f t="shared" si="12"/>
        <v>0</v>
      </c>
      <c r="S22" s="2"/>
      <c r="T22" s="6">
        <v>1929.75</v>
      </c>
      <c r="U22" s="2"/>
      <c r="V22" s="7">
        <f t="shared" si="13"/>
        <v>0</v>
      </c>
      <c r="W22" s="2"/>
      <c r="X22" s="6">
        <f t="shared" si="14"/>
        <v>-1638.7</v>
      </c>
      <c r="Y22" s="2"/>
      <c r="Z22" s="7">
        <f t="shared" si="15"/>
        <v>-0.84917735457960875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1868.2</v>
      </c>
      <c r="E23" s="2"/>
      <c r="F23" s="7">
        <f t="shared" si="8"/>
        <v>0</v>
      </c>
      <c r="G23" s="2"/>
      <c r="H23" s="6">
        <v>1011.43</v>
      </c>
      <c r="I23" s="2"/>
      <c r="J23" s="7">
        <f t="shared" si="9"/>
        <v>0</v>
      </c>
      <c r="K23" s="2"/>
      <c r="L23" s="6">
        <f t="shared" si="10"/>
        <v>856.7700000000001</v>
      </c>
      <c r="M23" s="2"/>
      <c r="N23" s="7">
        <f t="shared" si="11"/>
        <v>0.84708778659917161</v>
      </c>
      <c r="O23" s="11"/>
      <c r="P23" s="6">
        <v>12937.48</v>
      </c>
      <c r="Q23" s="2"/>
      <c r="R23" s="7">
        <f t="shared" si="12"/>
        <v>0</v>
      </c>
      <c r="S23" s="2"/>
      <c r="T23" s="6">
        <v>10594.46</v>
      </c>
      <c r="U23" s="2"/>
      <c r="V23" s="7">
        <f t="shared" si="13"/>
        <v>0</v>
      </c>
      <c r="W23" s="2"/>
      <c r="X23" s="6">
        <f t="shared" si="14"/>
        <v>2343.0200000000004</v>
      </c>
      <c r="Y23" s="2"/>
      <c r="Z23" s="7">
        <f t="shared" si="15"/>
        <v>0.22115520753299373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43.17</v>
      </c>
      <c r="E24" s="2"/>
      <c r="F24" s="7">
        <f t="shared" si="8"/>
        <v>0</v>
      </c>
      <c r="G24" s="2"/>
      <c r="H24" s="6">
        <v>11.55</v>
      </c>
      <c r="I24" s="2"/>
      <c r="J24" s="7">
        <f t="shared" si="9"/>
        <v>0</v>
      </c>
      <c r="K24" s="2"/>
      <c r="L24" s="6">
        <f t="shared" si="10"/>
        <v>31.62</v>
      </c>
      <c r="M24" s="2"/>
      <c r="N24" s="7">
        <f t="shared" si="11"/>
        <v>2.7376623376623375</v>
      </c>
      <c r="O24" s="11"/>
      <c r="P24" s="6">
        <v>235.04</v>
      </c>
      <c r="Q24" s="2"/>
      <c r="R24" s="7">
        <f t="shared" si="12"/>
        <v>0</v>
      </c>
      <c r="S24" s="2"/>
      <c r="T24" s="6">
        <v>160.93</v>
      </c>
      <c r="U24" s="2"/>
      <c r="V24" s="7">
        <f t="shared" si="13"/>
        <v>0</v>
      </c>
      <c r="W24" s="2"/>
      <c r="X24" s="6">
        <f t="shared" si="14"/>
        <v>74.109999999999985</v>
      </c>
      <c r="Y24" s="2"/>
      <c r="Z24" s="7">
        <f t="shared" si="15"/>
        <v>0.46051078108494364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1131.3900000000001</v>
      </c>
      <c r="E25" s="2"/>
      <c r="F25" s="7">
        <f t="shared" si="8"/>
        <v>0</v>
      </c>
      <c r="G25" s="2"/>
      <c r="H25" s="6">
        <v>417.84</v>
      </c>
      <c r="I25" s="2"/>
      <c r="J25" s="7">
        <f t="shared" si="9"/>
        <v>0</v>
      </c>
      <c r="K25" s="2"/>
      <c r="L25" s="6">
        <f t="shared" si="10"/>
        <v>713.55000000000018</v>
      </c>
      <c r="M25" s="2"/>
      <c r="N25" s="7">
        <f t="shared" si="11"/>
        <v>1.7077110855829989</v>
      </c>
      <c r="O25" s="11"/>
      <c r="P25" s="6">
        <v>8674.7800000000007</v>
      </c>
      <c r="Q25" s="2"/>
      <c r="R25" s="7">
        <f t="shared" si="12"/>
        <v>0</v>
      </c>
      <c r="S25" s="2"/>
      <c r="T25" s="6">
        <v>5822.79</v>
      </c>
      <c r="U25" s="2"/>
      <c r="V25" s="7">
        <f t="shared" si="13"/>
        <v>0</v>
      </c>
      <c r="W25" s="2"/>
      <c r="X25" s="6">
        <f t="shared" si="14"/>
        <v>2851.9900000000007</v>
      </c>
      <c r="Y25" s="2"/>
      <c r="Z25" s="7">
        <f t="shared" si="15"/>
        <v>0.48979784604974602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8"/>
        <v>0</v>
      </c>
      <c r="G26" s="2"/>
      <c r="H26" s="6">
        <v>615.33000000000004</v>
      </c>
      <c r="I26" s="2"/>
      <c r="J26" s="7">
        <f t="shared" si="9"/>
        <v>0</v>
      </c>
      <c r="K26" s="2"/>
      <c r="L26" s="6">
        <f t="shared" si="10"/>
        <v>407.18999999999994</v>
      </c>
      <c r="M26" s="2"/>
      <c r="N26" s="7">
        <f t="shared" si="11"/>
        <v>0.66174247964506838</v>
      </c>
      <c r="O26" s="11"/>
      <c r="P26" s="6">
        <v>11242.98</v>
      </c>
      <c r="Q26" s="2"/>
      <c r="R26" s="7">
        <f t="shared" si="12"/>
        <v>0</v>
      </c>
      <c r="S26" s="2"/>
      <c r="T26" s="6">
        <v>5278.35</v>
      </c>
      <c r="U26" s="2"/>
      <c r="V26" s="7">
        <f t="shared" si="13"/>
        <v>0</v>
      </c>
      <c r="W26" s="2"/>
      <c r="X26" s="6">
        <f t="shared" si="14"/>
        <v>5964.6299999999992</v>
      </c>
      <c r="Y26" s="2"/>
      <c r="Z26" s="7">
        <f t="shared" si="15"/>
        <v>1.1300179033220605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8"/>
        <v>0</v>
      </c>
      <c r="G27" s="2"/>
      <c r="H27" s="6">
        <v>307.24</v>
      </c>
      <c r="I27" s="2"/>
      <c r="J27" s="7">
        <f t="shared" si="9"/>
        <v>0</v>
      </c>
      <c r="K27" s="2"/>
      <c r="L27" s="6">
        <f t="shared" si="10"/>
        <v>203.33999999999997</v>
      </c>
      <c r="M27" s="2"/>
      <c r="N27" s="7">
        <f t="shared" si="11"/>
        <v>0.66182788699388095</v>
      </c>
      <c r="O27" s="11"/>
      <c r="P27" s="6">
        <v>22030.080000000002</v>
      </c>
      <c r="Q27" s="2"/>
      <c r="R27" s="7">
        <f t="shared" si="12"/>
        <v>0</v>
      </c>
      <c r="S27" s="2"/>
      <c r="T27" s="6">
        <v>3828.31</v>
      </c>
      <c r="U27" s="2"/>
      <c r="V27" s="7">
        <f t="shared" si="13"/>
        <v>0</v>
      </c>
      <c r="W27" s="2"/>
      <c r="X27" s="6">
        <f t="shared" si="14"/>
        <v>18201.77</v>
      </c>
      <c r="Y27" s="2"/>
      <c r="Z27" s="7">
        <f t="shared" si="15"/>
        <v>4.7545183122578898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8</v>
      </c>
      <c r="E28" s="2"/>
      <c r="F28" s="7">
        <f t="shared" si="8"/>
        <v>0</v>
      </c>
      <c r="G28" s="2"/>
      <c r="H28" s="6">
        <v>149.86000000000001</v>
      </c>
      <c r="I28" s="2"/>
      <c r="J28" s="7">
        <f t="shared" si="9"/>
        <v>0</v>
      </c>
      <c r="K28" s="2"/>
      <c r="L28" s="6">
        <f t="shared" si="10"/>
        <v>-141.86000000000001</v>
      </c>
      <c r="M28" s="2"/>
      <c r="N28" s="7">
        <f t="shared" si="11"/>
        <v>-0.94661684238622712</v>
      </c>
      <c r="O28" s="11"/>
      <c r="P28" s="6">
        <v>1290.0899999999999</v>
      </c>
      <c r="Q28" s="2"/>
      <c r="R28" s="7">
        <f t="shared" si="12"/>
        <v>0</v>
      </c>
      <c r="S28" s="2"/>
      <c r="T28" s="6">
        <v>1395.53</v>
      </c>
      <c r="U28" s="2"/>
      <c r="V28" s="7">
        <f t="shared" si="13"/>
        <v>0</v>
      </c>
      <c r="W28" s="2"/>
      <c r="X28" s="6">
        <f t="shared" si="14"/>
        <v>-105.44000000000005</v>
      </c>
      <c r="Y28" s="2"/>
      <c r="Z28" s="7">
        <f t="shared" si="15"/>
        <v>-7.5555523707838634E-2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9962.35</v>
      </c>
      <c r="E29" s="1"/>
      <c r="F29" s="5">
        <f t="shared" ref="F29:F31" si="16">IF(D$12=0,0,D29/D$12)</f>
        <v>0</v>
      </c>
      <c r="G29" s="1"/>
      <c r="H29" s="1">
        <f>SUM(OSRRefH22_1x_0)</f>
        <v>5329.24</v>
      </c>
      <c r="I29" s="1"/>
      <c r="J29" s="5">
        <f t="shared" ref="J29:J31" si="17">IF(H$12=0,0,H29/H$12)</f>
        <v>0</v>
      </c>
      <c r="K29" s="1"/>
      <c r="L29" s="1">
        <f t="shared" ref="L29:L31" si="18">+D29-H29</f>
        <v>4633.1100000000006</v>
      </c>
      <c r="M29" s="1"/>
      <c r="N29" s="5">
        <f t="shared" ref="N29:N31" si="19">IF(H29=0,0,L29/H29)</f>
        <v>0.86937537059693326</v>
      </c>
      <c r="O29" s="13"/>
      <c r="P29" s="1">
        <f>SUM(OSRRefP22_1x_0)</f>
        <v>70948.680000000008</v>
      </c>
      <c r="Q29" s="1"/>
      <c r="R29" s="5">
        <f t="shared" ref="R29:R31" si="20">IF(P$12=0,0,P29/P$12)</f>
        <v>0</v>
      </c>
      <c r="S29" s="1"/>
      <c r="T29" s="1">
        <f>SUM(OSRRefT22_1x_0)</f>
        <v>46851.07</v>
      </c>
      <c r="U29" s="1"/>
      <c r="V29" s="5">
        <f t="shared" ref="V29:V31" si="21">IF(T$12=0,0,T29/T$12)</f>
        <v>0</v>
      </c>
      <c r="W29" s="1"/>
      <c r="X29" s="1">
        <f t="shared" ref="X29:X31" si="22">+P29-T29</f>
        <v>24097.610000000008</v>
      </c>
      <c r="Y29" s="1"/>
      <c r="Z29" s="5">
        <f t="shared" ref="Z29:Z31" si="23">IF(T29=0,0,X29/T29)</f>
        <v>0.51434492317891578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9962.35</v>
      </c>
      <c r="E30" s="2"/>
      <c r="F30" s="7">
        <f t="shared" si="16"/>
        <v>0</v>
      </c>
      <c r="G30" s="2"/>
      <c r="H30" s="6">
        <v>5329.24</v>
      </c>
      <c r="I30" s="2"/>
      <c r="J30" s="7">
        <f t="shared" si="17"/>
        <v>0</v>
      </c>
      <c r="K30" s="2"/>
      <c r="L30" s="6">
        <f t="shared" si="18"/>
        <v>4633.1100000000006</v>
      </c>
      <c r="M30" s="2"/>
      <c r="N30" s="7">
        <f t="shared" si="19"/>
        <v>0.86937537059693326</v>
      </c>
      <c r="O30" s="11"/>
      <c r="P30" s="6">
        <v>74822.930000000008</v>
      </c>
      <c r="Q30" s="2"/>
      <c r="R30" s="7">
        <f t="shared" si="20"/>
        <v>0</v>
      </c>
      <c r="S30" s="2"/>
      <c r="T30" s="6">
        <v>46851.07</v>
      </c>
      <c r="U30" s="2"/>
      <c r="V30" s="7">
        <f t="shared" si="21"/>
        <v>0</v>
      </c>
      <c r="W30" s="2"/>
      <c r="X30" s="6">
        <f t="shared" si="22"/>
        <v>27971.860000000008</v>
      </c>
      <c r="Y30" s="2"/>
      <c r="Z30" s="7">
        <f t="shared" si="23"/>
        <v>0.59703780511309579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>
        <v>-3874.25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-3874.25</v>
      </c>
      <c r="Y31" s="2"/>
      <c r="Z31" s="7">
        <f t="shared" si="23"/>
        <v>0</v>
      </c>
    </row>
    <row r="32" spans="1:26" s="27" customFormat="1" outlineLevel="1" collapsed="1" x14ac:dyDescent="0.25">
      <c r="A32" s="25"/>
      <c r="B32" s="13" t="str">
        <f>CONCATENATE("     ","General                                           ")</f>
        <v xml:space="preserve">     General                                           </v>
      </c>
      <c r="C32" s="13"/>
      <c r="D32" s="1">
        <f>SUM(OSRRefD22_2x_0)</f>
        <v>0</v>
      </c>
      <c r="E32" s="1"/>
      <c r="F32" s="5">
        <f t="shared" ref="F32:F41" si="24">IF(D$12=0,0,D32/D$12)</f>
        <v>0</v>
      </c>
      <c r="G32" s="1"/>
      <c r="H32" s="1">
        <f>SUM(OSRRefH22_2x_0)</f>
        <v>0</v>
      </c>
      <c r="I32" s="1"/>
      <c r="J32" s="5">
        <f t="shared" ref="J32:J41" si="25">IF(H$12=0,0,H32/H$12)</f>
        <v>0</v>
      </c>
      <c r="K32" s="1"/>
      <c r="L32" s="1">
        <f t="shared" ref="L32:L41" si="26">+D32-H32</f>
        <v>0</v>
      </c>
      <c r="M32" s="1"/>
      <c r="N32" s="5">
        <f t="shared" ref="N32:N41" si="27">IF(H32=0,0,L32/H32)</f>
        <v>0</v>
      </c>
      <c r="O32" s="13"/>
      <c r="P32" s="1">
        <f>SUM(OSRRefP22_2x_0)</f>
        <v>2443.65</v>
      </c>
      <c r="Q32" s="1"/>
      <c r="R32" s="5">
        <f t="shared" ref="R32:R41" si="28">IF(P$12=0,0,P32/P$12)</f>
        <v>0</v>
      </c>
      <c r="S32" s="1"/>
      <c r="T32" s="1">
        <f>SUM(OSRRefT22_2x_0)</f>
        <v>2357.6</v>
      </c>
      <c r="U32" s="1"/>
      <c r="V32" s="5">
        <f t="shared" ref="V32:V41" si="29">IF(T$12=0,0,T32/T$12)</f>
        <v>0</v>
      </c>
      <c r="W32" s="1"/>
      <c r="X32" s="1">
        <f t="shared" ref="X32:X41" si="30">+P32-T32</f>
        <v>86.050000000000182</v>
      </c>
      <c r="Y32" s="1"/>
      <c r="Z32" s="5">
        <f t="shared" ref="Z32:Z41" si="31">IF(T32=0,0,X32/T32)</f>
        <v>3.6498982015609173E-2</v>
      </c>
    </row>
    <row r="33" spans="1:26" s="24" customFormat="1" hidden="1" outlineLevel="2" x14ac:dyDescent="0.25">
      <c r="A33" s="26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24"/>
        <v>0</v>
      </c>
      <c r="G33" s="2"/>
      <c r="H33" s="6"/>
      <c r="I33" s="2"/>
      <c r="J33" s="7">
        <f t="shared" si="25"/>
        <v>0</v>
      </c>
      <c r="K33" s="2"/>
      <c r="L33" s="6">
        <f t="shared" si="26"/>
        <v>0</v>
      </c>
      <c r="M33" s="2"/>
      <c r="N33" s="7">
        <f t="shared" si="27"/>
        <v>0</v>
      </c>
      <c r="O33" s="11"/>
      <c r="P33" s="6">
        <v>2443.65</v>
      </c>
      <c r="Q33" s="2"/>
      <c r="R33" s="7">
        <f t="shared" si="28"/>
        <v>0</v>
      </c>
      <c r="S33" s="2"/>
      <c r="T33" s="6">
        <v>2357.6</v>
      </c>
      <c r="U33" s="2"/>
      <c r="V33" s="7">
        <f t="shared" si="29"/>
        <v>0</v>
      </c>
      <c r="W33" s="2"/>
      <c r="X33" s="6">
        <f t="shared" si="30"/>
        <v>86.050000000000182</v>
      </c>
      <c r="Y33" s="2"/>
      <c r="Z33" s="7">
        <f t="shared" si="31"/>
        <v>3.6498982015609173E-2</v>
      </c>
    </row>
    <row r="34" spans="1:26" s="27" customFormat="1" outlineLevel="1" collapsed="1" x14ac:dyDescent="0.25">
      <c r="A34" s="25"/>
      <c r="B34" s="13" t="str">
        <f>CONCATENATE("     ","Royalty &amp; Commissions                             ")</f>
        <v xml:space="preserve">     Royalty &amp; Commissions                             </v>
      </c>
      <c r="C34" s="13"/>
      <c r="D34" s="1">
        <f>SUM(OSRRefD22_3x_0)</f>
        <v>0</v>
      </c>
      <c r="E34" s="1"/>
      <c r="F34" s="5">
        <f t="shared" si="24"/>
        <v>0</v>
      </c>
      <c r="G34" s="1"/>
      <c r="H34" s="1">
        <f>SUM(OSRRefH22_3x_0)</f>
        <v>0</v>
      </c>
      <c r="I34" s="1"/>
      <c r="J34" s="5">
        <f t="shared" si="25"/>
        <v>0</v>
      </c>
      <c r="K34" s="1"/>
      <c r="L34" s="1">
        <f t="shared" si="26"/>
        <v>0</v>
      </c>
      <c r="M34" s="1"/>
      <c r="N34" s="5">
        <f t="shared" si="27"/>
        <v>0</v>
      </c>
      <c r="O34" s="13"/>
      <c r="P34" s="1">
        <f>SUM(OSRRefP22_3x_0)</f>
        <v>10393.31</v>
      </c>
      <c r="Q34" s="1"/>
      <c r="R34" s="5">
        <f t="shared" si="28"/>
        <v>0</v>
      </c>
      <c r="S34" s="1"/>
      <c r="T34" s="1">
        <f>SUM(OSRRefT22_3x_0)</f>
        <v>11506.26</v>
      </c>
      <c r="U34" s="1"/>
      <c r="V34" s="5">
        <f t="shared" si="29"/>
        <v>0</v>
      </c>
      <c r="W34" s="1"/>
      <c r="X34" s="1">
        <f t="shared" si="30"/>
        <v>-1112.9500000000007</v>
      </c>
      <c r="Y34" s="1"/>
      <c r="Z34" s="5">
        <f t="shared" si="31"/>
        <v>-9.6725608494854162E-2</v>
      </c>
    </row>
    <row r="35" spans="1:26" s="24" customFormat="1" hidden="1" outlineLevel="2" x14ac:dyDescent="0.25">
      <c r="A35" s="26"/>
      <c r="B35" s="11" t="str">
        <f>CONCATENATE("          ", "6254", " - ", "ROYALTY &amp; COMMISSIONS")</f>
        <v xml:space="preserve">          6254 - ROYALTY &amp; COMMISSIONS</v>
      </c>
      <c r="C35" s="11"/>
      <c r="D35" s="6"/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0</v>
      </c>
      <c r="M35" s="2"/>
      <c r="N35" s="7">
        <f t="shared" si="27"/>
        <v>0</v>
      </c>
      <c r="O35" s="11"/>
      <c r="P35" s="6">
        <v>10393.31</v>
      </c>
      <c r="Q35" s="2"/>
      <c r="R35" s="7">
        <f t="shared" si="28"/>
        <v>0</v>
      </c>
      <c r="S35" s="2"/>
      <c r="T35" s="6">
        <v>11506.26</v>
      </c>
      <c r="U35" s="2"/>
      <c r="V35" s="7">
        <f t="shared" si="29"/>
        <v>0</v>
      </c>
      <c r="W35" s="2"/>
      <c r="X35" s="6">
        <f t="shared" si="30"/>
        <v>-1112.9500000000007</v>
      </c>
      <c r="Y35" s="2"/>
      <c r="Z35" s="7">
        <f t="shared" si="31"/>
        <v>-9.6725608494854162E-2</v>
      </c>
    </row>
    <row r="36" spans="1:26" s="27" customFormat="1" outlineLevel="1" collapsed="1" x14ac:dyDescent="0.25">
      <c r="A36" s="25"/>
      <c r="B36" s="13" t="str">
        <f>CONCATENATE("     ","Supplies                                          ")</f>
        <v xml:space="preserve">     Supplies                                          </v>
      </c>
      <c r="C36" s="13"/>
      <c r="D36" s="1">
        <f>SUM(OSRRefD22_4x_0)</f>
        <v>0</v>
      </c>
      <c r="E36" s="1"/>
      <c r="F36" s="5">
        <f t="shared" si="24"/>
        <v>0</v>
      </c>
      <c r="G36" s="1"/>
      <c r="H36" s="1">
        <f>SUM(OSRRefH22_4x_0)</f>
        <v>46.85</v>
      </c>
      <c r="I36" s="1"/>
      <c r="J36" s="5">
        <f t="shared" si="25"/>
        <v>0</v>
      </c>
      <c r="K36" s="1"/>
      <c r="L36" s="1">
        <f t="shared" si="26"/>
        <v>-46.85</v>
      </c>
      <c r="M36" s="1"/>
      <c r="N36" s="5">
        <f t="shared" si="27"/>
        <v>-1</v>
      </c>
      <c r="O36" s="13"/>
      <c r="P36" s="1">
        <f>SUM(OSRRefP22_4x_0)</f>
        <v>140.55000000000001</v>
      </c>
      <c r="Q36" s="1"/>
      <c r="R36" s="5">
        <f t="shared" si="28"/>
        <v>0</v>
      </c>
      <c r="S36" s="1"/>
      <c r="T36" s="1">
        <f>SUM(OSRRefT22_4x_0)</f>
        <v>2696.22</v>
      </c>
      <c r="U36" s="1"/>
      <c r="V36" s="5">
        <f t="shared" si="29"/>
        <v>0</v>
      </c>
      <c r="W36" s="1"/>
      <c r="X36" s="1">
        <f t="shared" si="30"/>
        <v>-2555.6699999999996</v>
      </c>
      <c r="Y36" s="1"/>
      <c r="Z36" s="5">
        <f t="shared" si="31"/>
        <v>-0.94787146449473703</v>
      </c>
    </row>
    <row r="37" spans="1:26" s="24" customFormat="1" hidden="1" outlineLevel="2" x14ac:dyDescent="0.25">
      <c r="A37" s="26"/>
      <c r="B37" s="11" t="str">
        <f>CONCATENATE("          ", "6241", " - ", "OFFICE EXPENSE")</f>
        <v xml:space="preserve">          6241 - OFFICE EXPENSE</v>
      </c>
      <c r="C37" s="11"/>
      <c r="D37" s="6"/>
      <c r="E37" s="2"/>
      <c r="F37" s="7">
        <f t="shared" si="24"/>
        <v>0</v>
      </c>
      <c r="G37" s="2"/>
      <c r="H37" s="6">
        <v>46.85</v>
      </c>
      <c r="I37" s="2"/>
      <c r="J37" s="7">
        <f t="shared" si="25"/>
        <v>0</v>
      </c>
      <c r="K37" s="2"/>
      <c r="L37" s="6">
        <f t="shared" si="26"/>
        <v>-46.85</v>
      </c>
      <c r="M37" s="2"/>
      <c r="N37" s="7">
        <f t="shared" si="27"/>
        <v>-1</v>
      </c>
      <c r="O37" s="11"/>
      <c r="P37" s="6">
        <v>140.55000000000001</v>
      </c>
      <c r="Q37" s="2"/>
      <c r="R37" s="7">
        <f t="shared" si="28"/>
        <v>0</v>
      </c>
      <c r="S37" s="2"/>
      <c r="T37" s="6">
        <v>2696.22</v>
      </c>
      <c r="U37" s="2"/>
      <c r="V37" s="7">
        <f t="shared" si="29"/>
        <v>0</v>
      </c>
      <c r="W37" s="2"/>
      <c r="X37" s="6">
        <f t="shared" si="30"/>
        <v>-2555.6699999999996</v>
      </c>
      <c r="Y37" s="2"/>
      <c r="Z37" s="7">
        <f t="shared" si="31"/>
        <v>-0.94787146449473703</v>
      </c>
    </row>
    <row r="38" spans="1:26" s="27" customFormat="1" outlineLevel="1" collapsed="1" x14ac:dyDescent="0.25">
      <c r="A38" s="25"/>
      <c r="B38" s="13" t="str">
        <f>CONCATENATE("     ","Telephone/Data Lines                              ")</f>
        <v xml:space="preserve">     Telephone/Data Lines                              </v>
      </c>
      <c r="C38" s="13"/>
      <c r="D38" s="1">
        <f>SUM(OSRRefD22_5x_0)</f>
        <v>-57.35</v>
      </c>
      <c r="E38" s="1"/>
      <c r="F38" s="5">
        <f t="shared" si="24"/>
        <v>0</v>
      </c>
      <c r="G38" s="1"/>
      <c r="H38" s="1">
        <f>SUM(OSRRefH22_5x_0)</f>
        <v>87.75</v>
      </c>
      <c r="I38" s="1"/>
      <c r="J38" s="5">
        <f t="shared" si="25"/>
        <v>0</v>
      </c>
      <c r="K38" s="1"/>
      <c r="L38" s="1">
        <f t="shared" si="26"/>
        <v>-145.1</v>
      </c>
      <c r="M38" s="1"/>
      <c r="N38" s="5">
        <f t="shared" si="27"/>
        <v>-1.6535612535612534</v>
      </c>
      <c r="O38" s="13"/>
      <c r="P38" s="1">
        <f>SUM(OSRRefP22_5x_0)</f>
        <v>1210.3499999999999</v>
      </c>
      <c r="Q38" s="1"/>
      <c r="R38" s="5">
        <f t="shared" si="28"/>
        <v>0</v>
      </c>
      <c r="S38" s="1"/>
      <c r="T38" s="1">
        <f>SUM(OSRRefT22_5x_0)</f>
        <v>937.15</v>
      </c>
      <c r="U38" s="1"/>
      <c r="V38" s="5">
        <f t="shared" si="29"/>
        <v>0</v>
      </c>
      <c r="W38" s="1"/>
      <c r="X38" s="1">
        <f t="shared" si="30"/>
        <v>273.19999999999993</v>
      </c>
      <c r="Y38" s="1"/>
      <c r="Z38" s="5">
        <f t="shared" si="31"/>
        <v>0.29152216827615635</v>
      </c>
    </row>
    <row r="39" spans="1:26" s="24" customFormat="1" hidden="1" outlineLevel="2" x14ac:dyDescent="0.25">
      <c r="A39" s="26"/>
      <c r="B39" s="11" t="str">
        <f>CONCATENATE("          ", "6309", " - ", "TELEPHONE")</f>
        <v xml:space="preserve">          6309 - TELEPHONE</v>
      </c>
      <c r="C39" s="11"/>
      <c r="D39" s="6">
        <v>-57.35</v>
      </c>
      <c r="E39" s="2"/>
      <c r="F39" s="7">
        <f t="shared" si="24"/>
        <v>0</v>
      </c>
      <c r="G39" s="2"/>
      <c r="H39" s="6">
        <v>87.75</v>
      </c>
      <c r="I39" s="2"/>
      <c r="J39" s="7">
        <f t="shared" si="25"/>
        <v>0</v>
      </c>
      <c r="K39" s="2"/>
      <c r="L39" s="6">
        <f t="shared" si="26"/>
        <v>-145.1</v>
      </c>
      <c r="M39" s="2"/>
      <c r="N39" s="7">
        <f t="shared" si="27"/>
        <v>-1.6535612535612534</v>
      </c>
      <c r="O39" s="11"/>
      <c r="P39" s="6">
        <v>1210.3499999999999</v>
      </c>
      <c r="Q39" s="2"/>
      <c r="R39" s="7">
        <f t="shared" si="28"/>
        <v>0</v>
      </c>
      <c r="S39" s="2"/>
      <c r="T39" s="6">
        <v>937.15</v>
      </c>
      <c r="U39" s="2"/>
      <c r="V39" s="7">
        <f t="shared" si="29"/>
        <v>0</v>
      </c>
      <c r="W39" s="2"/>
      <c r="X39" s="6">
        <f t="shared" si="30"/>
        <v>273.19999999999993</v>
      </c>
      <c r="Y39" s="2"/>
      <c r="Z39" s="7">
        <f t="shared" si="31"/>
        <v>0.29152216827615635</v>
      </c>
    </row>
    <row r="40" spans="1:26" s="27" customFormat="1" outlineLevel="1" collapsed="1" x14ac:dyDescent="0.25">
      <c r="A40" s="25"/>
      <c r="B40" s="13" t="str">
        <f>CONCATENATE("     ","Travel                                            ")</f>
        <v xml:space="preserve">     Travel                                            </v>
      </c>
      <c r="C40" s="13"/>
      <c r="D40" s="1">
        <f>SUM(OSRRefD22_6x_0)</f>
        <v>0</v>
      </c>
      <c r="E40" s="1"/>
      <c r="F40" s="5">
        <f t="shared" si="24"/>
        <v>0</v>
      </c>
      <c r="G40" s="1"/>
      <c r="H40" s="1">
        <f>SUM(OSRRefH22_6x_0)</f>
        <v>0</v>
      </c>
      <c r="I40" s="1"/>
      <c r="J40" s="5">
        <f t="shared" si="25"/>
        <v>0</v>
      </c>
      <c r="K40" s="1"/>
      <c r="L40" s="1">
        <f t="shared" si="26"/>
        <v>0</v>
      </c>
      <c r="M40" s="1"/>
      <c r="N40" s="5">
        <f t="shared" si="27"/>
        <v>0</v>
      </c>
      <c r="O40" s="13"/>
      <c r="P40" s="1">
        <f>SUM(OSRRefP22_6x_0)</f>
        <v>2759.81</v>
      </c>
      <c r="Q40" s="1"/>
      <c r="R40" s="5">
        <f t="shared" si="28"/>
        <v>0</v>
      </c>
      <c r="S40" s="1"/>
      <c r="T40" s="1">
        <f>SUM(OSRRefT22_6x_0)</f>
        <v>0</v>
      </c>
      <c r="U40" s="1"/>
      <c r="V40" s="5">
        <f t="shared" si="29"/>
        <v>0</v>
      </c>
      <c r="W40" s="1"/>
      <c r="X40" s="1">
        <f t="shared" si="30"/>
        <v>2759.81</v>
      </c>
      <c r="Y40" s="1"/>
      <c r="Z40" s="5">
        <f t="shared" si="31"/>
        <v>0</v>
      </c>
    </row>
    <row r="41" spans="1:26" s="24" customFormat="1" hidden="1" outlineLevel="2" x14ac:dyDescent="0.25">
      <c r="A41" s="26"/>
      <c r="B41" s="11" t="str">
        <f>CONCATENATE("          ", "6292", " - ", "TRAVEL/CONFERENCE")</f>
        <v xml:space="preserve">          6292 - TRAVEL/CONFERENCE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>
        <v>2759.81</v>
      </c>
      <c r="Q41" s="2"/>
      <c r="R41" s="7">
        <f t="shared" si="28"/>
        <v>0</v>
      </c>
      <c r="S41" s="2"/>
      <c r="T41" s="6"/>
      <c r="U41" s="2"/>
      <c r="V41" s="7">
        <f t="shared" si="29"/>
        <v>0</v>
      </c>
      <c r="W41" s="2"/>
      <c r="X41" s="6">
        <f t="shared" si="30"/>
        <v>2759.81</v>
      </c>
      <c r="Y41" s="2"/>
      <c r="Z41" s="7">
        <f t="shared" si="31"/>
        <v>0</v>
      </c>
    </row>
    <row r="42" spans="1:26" s="58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collapsed="1" x14ac:dyDescent="0.25">
      <c r="A43" s="10"/>
      <c r="B43" s="28" t="s">
        <v>0</v>
      </c>
      <c r="C43" s="10"/>
      <c r="D43" s="4">
        <f>SUM(OSRRefD25x_0)</f>
        <v>0</v>
      </c>
      <c r="E43" s="4"/>
      <c r="F43" s="12">
        <f t="shared" ref="F43:F44" si="32">IF(D$12=0,0,D43/D$12)</f>
        <v>0</v>
      </c>
      <c r="G43" s="4"/>
      <c r="H43" s="4">
        <f>SUM(OSRRefH25x_0)</f>
        <v>24194.52</v>
      </c>
      <c r="I43" s="4"/>
      <c r="J43" s="12">
        <f t="shared" ref="J43:J44" si="33">IF(H$12=0,0,H43/H$12)</f>
        <v>0</v>
      </c>
      <c r="K43" s="4"/>
      <c r="L43" s="4">
        <f t="shared" ref="L43:L44" si="34">+D43-H43</f>
        <v>-24194.52</v>
      </c>
      <c r="M43" s="4"/>
      <c r="N43" s="12">
        <f t="shared" ref="N43:N44" si="35">IF(H43=0,0,L43/H43)</f>
        <v>-1</v>
      </c>
      <c r="O43" s="10"/>
      <c r="P43" s="4">
        <f>SUM(OSRRefP25x_0)</f>
        <v>155658.1</v>
      </c>
      <c r="Q43" s="4"/>
      <c r="R43" s="12">
        <f t="shared" ref="R43:R44" si="36">IF(P$12=0,0,P43/P$12)</f>
        <v>0</v>
      </c>
      <c r="S43" s="4"/>
      <c r="T43" s="4">
        <f>SUM(OSRRefT25x_0)</f>
        <v>180679.69</v>
      </c>
      <c r="U43" s="4"/>
      <c r="V43" s="12">
        <f t="shared" ref="V43:V44" si="37">IF(T$12=0,0,T43/T$12)</f>
        <v>0</v>
      </c>
      <c r="W43" s="4"/>
      <c r="X43" s="4">
        <f t="shared" ref="X43:X44" si="38">+P43-T43</f>
        <v>-25021.589999999997</v>
      </c>
      <c r="Y43" s="4"/>
      <c r="Z43" s="12">
        <f t="shared" ref="Z43:Z44" si="39">IF(T43=0,0,X43/T43)</f>
        <v>-0.13848590287043328</v>
      </c>
    </row>
    <row r="44" spans="1:26" s="24" customFormat="1" hidden="1" outlineLevel="1" x14ac:dyDescent="0.25">
      <c r="A44" s="44"/>
      <c r="B44" s="11" t="str">
        <f>CONCATENATE("          ", "9150", " - ", "MISC. INCOME")</f>
        <v xml:space="preserve">          9150 - MISC. INCOME</v>
      </c>
      <c r="C44" s="11"/>
      <c r="D44" s="2">
        <f>0</f>
        <v>0</v>
      </c>
      <c r="E44" s="2"/>
      <c r="F44" s="19">
        <f t="shared" si="32"/>
        <v>0</v>
      </c>
      <c r="G44" s="2"/>
      <c r="H44" s="2">
        <f>--24194.52</f>
        <v>24194.52</v>
      </c>
      <c r="I44" s="2"/>
      <c r="J44" s="19">
        <f t="shared" si="33"/>
        <v>0</v>
      </c>
      <c r="K44" s="2"/>
      <c r="L44" s="2">
        <f t="shared" si="34"/>
        <v>-24194.52</v>
      </c>
      <c r="M44" s="2"/>
      <c r="N44" s="19">
        <f t="shared" si="35"/>
        <v>-1</v>
      </c>
      <c r="O44" s="11"/>
      <c r="P44" s="2">
        <f>--155658.1</f>
        <v>155658.1</v>
      </c>
      <c r="Q44" s="2"/>
      <c r="R44" s="19">
        <f t="shared" si="36"/>
        <v>0</v>
      </c>
      <c r="S44" s="2"/>
      <c r="T44" s="2">
        <f>--180679.69</f>
        <v>180679.69</v>
      </c>
      <c r="U44" s="2"/>
      <c r="V44" s="19">
        <f t="shared" si="37"/>
        <v>0</v>
      </c>
      <c r="W44" s="2"/>
      <c r="X44" s="2">
        <f t="shared" si="38"/>
        <v>-25021.589999999997</v>
      </c>
      <c r="Y44" s="2"/>
      <c r="Z44" s="19">
        <f t="shared" si="39"/>
        <v>-0.13848590287043328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1">
        <f>+D17-D19+D43</f>
        <v>-15392.11</v>
      </c>
      <c r="E46" s="14"/>
      <c r="F46" s="20">
        <f>IF(D$12=0,0,D46/D$12)</f>
        <v>0</v>
      </c>
      <c r="G46" s="14"/>
      <c r="H46" s="21">
        <f>+H17-H19+H43</f>
        <v>15552.390000000001</v>
      </c>
      <c r="I46" s="14"/>
      <c r="J46" s="20">
        <f>IF(H$12=0,0,H46/H$12)</f>
        <v>0</v>
      </c>
      <c r="K46" s="16"/>
      <c r="L46" s="21">
        <f>+D46-H46</f>
        <v>-30944.5</v>
      </c>
      <c r="M46" s="16"/>
      <c r="N46" s="20">
        <f>IF(H46=0,0,L46/H46)</f>
        <v>-1.9896941884816415</v>
      </c>
      <c r="O46" s="28"/>
      <c r="P46" s="21">
        <f>+P17-P19+P43</f>
        <v>4266.6800000000221</v>
      </c>
      <c r="Q46" s="14"/>
      <c r="R46" s="20">
        <f>IF(P$12=0,0,P46/P$12)</f>
        <v>0</v>
      </c>
      <c r="S46" s="14"/>
      <c r="T46" s="21">
        <f>+T17-T19+T43</f>
        <v>81975.240000000005</v>
      </c>
      <c r="U46" s="14"/>
      <c r="V46" s="20">
        <f>IF(T$12=0,0,T46/T$12)</f>
        <v>0</v>
      </c>
      <c r="W46" s="16"/>
      <c r="X46" s="21">
        <f>+P46-T46</f>
        <v>-77708.559999999983</v>
      </c>
      <c r="Y46" s="16"/>
      <c r="Z46" s="20">
        <f>IF(T46=0,0,X46/T46)</f>
        <v>-0.94795160099561748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5">
        <f>+D46-D48</f>
        <v>-15392.11</v>
      </c>
      <c r="E50" s="14"/>
      <c r="F50" s="32">
        <f>IF(D$12=0,0,D50/D$12)</f>
        <v>0</v>
      </c>
      <c r="G50" s="14"/>
      <c r="H50" s="35">
        <f>+H46-H48</f>
        <v>15552.390000000001</v>
      </c>
      <c r="I50" s="14"/>
      <c r="J50" s="32">
        <f>IF(H$12=0,0,H50/H$12)</f>
        <v>0</v>
      </c>
      <c r="K50" s="16"/>
      <c r="L50" s="35">
        <f>D50-H50</f>
        <v>-30944.5</v>
      </c>
      <c r="M50" s="16"/>
      <c r="N50" s="32">
        <f>IF(H50=0,0,L50/H50)</f>
        <v>-1.9896941884816415</v>
      </c>
      <c r="O50" s="28"/>
      <c r="P50" s="35">
        <f>+P46-P48</f>
        <v>4266.6800000000221</v>
      </c>
      <c r="Q50" s="14"/>
      <c r="R50" s="32">
        <f>IF(P$12=0,0,P50/P$12)</f>
        <v>0</v>
      </c>
      <c r="S50" s="14"/>
      <c r="T50" s="35">
        <f>+T46-T48</f>
        <v>81975.240000000005</v>
      </c>
      <c r="U50" s="14"/>
      <c r="V50" s="32">
        <f>IF(T$12=0,0,T50/T$12)</f>
        <v>0</v>
      </c>
      <c r="W50" s="16"/>
      <c r="X50" s="35">
        <f>P50-T50</f>
        <v>-77708.559999999983</v>
      </c>
      <c r="Y50" s="16"/>
      <c r="Z50" s="32">
        <f>IF(T50=0,0,X50/T50)</f>
        <v>-0.94795160099561748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6">
        <f>SUM(D50:D52)</f>
        <v>-15392.11</v>
      </c>
      <c r="E53" s="14"/>
      <c r="F53" s="33">
        <f>IF(D$12=0,0,D53/D$12)</f>
        <v>0</v>
      </c>
      <c r="G53" s="14"/>
      <c r="H53" s="36">
        <f>SUM(H50:H52)</f>
        <v>15552.390000000001</v>
      </c>
      <c r="I53" s="14"/>
      <c r="J53" s="33">
        <f>IF(H$12=0,0,H53/H$12)</f>
        <v>0</v>
      </c>
      <c r="K53" s="16"/>
      <c r="L53" s="36">
        <f>+D53-H53</f>
        <v>-30944.5</v>
      </c>
      <c r="M53" s="16"/>
      <c r="N53" s="33">
        <f>IF(H53=0,0,L53/H53)</f>
        <v>-1.9896941884816415</v>
      </c>
      <c r="O53" s="28"/>
      <c r="P53" s="36">
        <f>SUM(P50:P52)</f>
        <v>4266.6800000000221</v>
      </c>
      <c r="Q53" s="14"/>
      <c r="R53" s="33">
        <f>IF(P$12=0,0,P53/P$12)</f>
        <v>0</v>
      </c>
      <c r="S53" s="14"/>
      <c r="T53" s="36">
        <f>SUM(T50:T52)</f>
        <v>81975.240000000005</v>
      </c>
      <c r="U53" s="14"/>
      <c r="V53" s="33">
        <f>IF(T$12=0,0,T53/T$12)</f>
        <v>0</v>
      </c>
      <c r="W53" s="16"/>
      <c r="X53" s="36">
        <f>+P53-T53</f>
        <v>-77708.559999999983</v>
      </c>
      <c r="Y53" s="16"/>
      <c r="Z53" s="33">
        <f>IF(T53=0,0,X53/T53)</f>
        <v>-0.94795160099561748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55">
        <v>43992.376023032404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62" t="s">
        <v>313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3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20681.04</v>
      </c>
      <c r="I12" s="4"/>
      <c r="J12" s="12"/>
      <c r="K12" s="4"/>
      <c r="L12" s="4">
        <f t="shared" ref="L12:L16" si="0">+D12-H12</f>
        <v>-20681.04</v>
      </c>
      <c r="M12" s="4"/>
      <c r="N12" s="12">
        <f t="shared" ref="N12:N16" si="1">IF(H12=0,0,L12/H12)</f>
        <v>-1</v>
      </c>
      <c r="O12" s="10"/>
      <c r="P12" s="4">
        <f>SUM(OSRRefP13x_0)</f>
        <v>157290.23000000001</v>
      </c>
      <c r="Q12" s="4"/>
      <c r="R12" s="12"/>
      <c r="S12" s="4"/>
      <c r="T12" s="4">
        <f>SUM(OSRRefT13x_0)</f>
        <v>214328.97999999998</v>
      </c>
      <c r="U12" s="4"/>
      <c r="V12" s="12"/>
      <c r="W12" s="4"/>
      <c r="X12" s="4">
        <f t="shared" ref="X12:X16" si="2">+P12-T12</f>
        <v>-57038.749999999971</v>
      </c>
      <c r="Y12" s="4"/>
      <c r="Z12" s="12">
        <f t="shared" ref="Z12:Z16" si="3">IF(T12=0,0,X12/T12)</f>
        <v>-0.26612710049756211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>
        <f>--20681.04</f>
        <v>20681.04</v>
      </c>
      <c r="I13" s="2"/>
      <c r="J13" s="19"/>
      <c r="K13" s="2"/>
      <c r="L13" s="2">
        <f t="shared" si="0"/>
        <v>-20681.04</v>
      </c>
      <c r="M13" s="2"/>
      <c r="N13" s="19">
        <f t="shared" si="1"/>
        <v>-1</v>
      </c>
      <c r="O13" s="11"/>
      <c r="P13" s="2">
        <f>--157788.64</f>
        <v>157788.64000000001</v>
      </c>
      <c r="Q13" s="2"/>
      <c r="R13" s="19"/>
      <c r="S13" s="2"/>
      <c r="T13" s="2">
        <f>--202614.9</f>
        <v>202614.9</v>
      </c>
      <c r="U13" s="2"/>
      <c r="V13" s="19"/>
      <c r="W13" s="2"/>
      <c r="X13" s="2">
        <f t="shared" si="2"/>
        <v>-44826.25999999998</v>
      </c>
      <c r="Y13" s="2"/>
      <c r="Z13" s="19">
        <f t="shared" si="3"/>
        <v>-0.22123871442820831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ref="H14:H16" si="5"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-498.41</f>
        <v>-498.41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-498.41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"4157", " - ", "NON-TAXABLE SALES-FOOD")</f>
        <v xml:space="preserve">          4157 - NON-TAXABLE SALES-FOOD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--208</f>
        <v>208</v>
      </c>
      <c r="U16" s="2"/>
      <c r="V16" s="19"/>
      <c r="W16" s="2"/>
      <c r="X16" s="2">
        <f t="shared" si="2"/>
        <v>-208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2">
        <f t="shared" ref="F18:F20" si="6">IF(D$12=0,0,D18/D$12)</f>
        <v>0</v>
      </c>
      <c r="G18" s="4"/>
      <c r="H18" s="4">
        <f>SUM(OSRRefH16x_0)</f>
        <v>4585.87</v>
      </c>
      <c r="I18" s="4"/>
      <c r="J18" s="12">
        <f t="shared" ref="J18:J20" si="7">IF(H$12=0,0,H18/H$12)</f>
        <v>0.2217427170006924</v>
      </c>
      <c r="K18" s="4"/>
      <c r="L18" s="4">
        <f t="shared" ref="L18:L20" si="8">+D18-H18</f>
        <v>-4585.87</v>
      </c>
      <c r="M18" s="4"/>
      <c r="N18" s="12">
        <f t="shared" ref="N18:N20" si="9">IF(H18=0,0,L18/H18)</f>
        <v>-1</v>
      </c>
      <c r="O18" s="10"/>
      <c r="P18" s="4">
        <f>SUM(OSRRefP16x_0)</f>
        <v>43321.25</v>
      </c>
      <c r="Q18" s="4"/>
      <c r="R18" s="12">
        <f t="shared" ref="R18:R20" si="10">IF(P$12=0,0,P18/P$12)</f>
        <v>0.27542238319570134</v>
      </c>
      <c r="S18" s="4"/>
      <c r="T18" s="4">
        <f>SUM(OSRRefT16x_0)</f>
        <v>50933</v>
      </c>
      <c r="U18" s="4"/>
      <c r="V18" s="12">
        <f t="shared" ref="V18:V20" si="11">IF(T$12=0,0,T18/T$12)</f>
        <v>0.23763935236382874</v>
      </c>
      <c r="W18" s="4"/>
      <c r="X18" s="4">
        <f t="shared" ref="X18:X20" si="12">+P18-T18</f>
        <v>-7611.75</v>
      </c>
      <c r="Y18" s="4"/>
      <c r="Z18" s="12">
        <f t="shared" ref="Z18:Z20" si="13">IF(T18=0,0,X18/T18)</f>
        <v>-0.14944633145504879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6"/>
        <v>0</v>
      </c>
      <c r="G19" s="2"/>
      <c r="H19" s="2">
        <v>858.87</v>
      </c>
      <c r="I19" s="2"/>
      <c r="J19" s="19">
        <f t="shared" si="7"/>
        <v>4.1529342818349559E-2</v>
      </c>
      <c r="K19" s="2"/>
      <c r="L19" s="2">
        <f t="shared" si="8"/>
        <v>-858.87</v>
      </c>
      <c r="M19" s="2"/>
      <c r="N19" s="19">
        <f t="shared" si="9"/>
        <v>-1</v>
      </c>
      <c r="O19" s="11"/>
      <c r="P19" s="2">
        <v>43126.25</v>
      </c>
      <c r="Q19" s="2"/>
      <c r="R19" s="19">
        <f t="shared" si="10"/>
        <v>0.27418263677279892</v>
      </c>
      <c r="S19" s="2"/>
      <c r="T19" s="2">
        <v>53161</v>
      </c>
      <c r="U19" s="2"/>
      <c r="V19" s="19">
        <f t="shared" si="11"/>
        <v>0.2480345868300218</v>
      </c>
      <c r="W19" s="2"/>
      <c r="X19" s="2">
        <f t="shared" si="12"/>
        <v>-10034.75</v>
      </c>
      <c r="Y19" s="2"/>
      <c r="Z19" s="19">
        <f t="shared" si="13"/>
        <v>-0.18876149809070558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6"/>
        <v>0</v>
      </c>
      <c r="G20" s="2"/>
      <c r="H20" s="2">
        <v>3727</v>
      </c>
      <c r="I20" s="2"/>
      <c r="J20" s="19">
        <f t="shared" si="7"/>
        <v>0.18021337418234284</v>
      </c>
      <c r="K20" s="2"/>
      <c r="L20" s="2">
        <f t="shared" si="8"/>
        <v>-3727</v>
      </c>
      <c r="M20" s="2"/>
      <c r="N20" s="19">
        <f t="shared" si="9"/>
        <v>-1</v>
      </c>
      <c r="O20" s="11"/>
      <c r="P20" s="2">
        <v>195</v>
      </c>
      <c r="Q20" s="2"/>
      <c r="R20" s="19">
        <f t="shared" si="10"/>
        <v>1.239746422902427E-3</v>
      </c>
      <c r="S20" s="2"/>
      <c r="T20" s="2">
        <v>-2228</v>
      </c>
      <c r="U20" s="2"/>
      <c r="V20" s="19">
        <f t="shared" si="11"/>
        <v>-1.0395234466193047E-2</v>
      </c>
      <c r="W20" s="2"/>
      <c r="X20" s="2">
        <f t="shared" si="12"/>
        <v>2423</v>
      </c>
      <c r="Y20" s="2"/>
      <c r="Z20" s="19">
        <f t="shared" si="13"/>
        <v>-1.0875224416517055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D12-D18</f>
        <v>0</v>
      </c>
      <c r="E22" s="14"/>
      <c r="F22" s="20">
        <f>IF(D$12=0,0,D22/D$12)</f>
        <v>0</v>
      </c>
      <c r="G22" s="14"/>
      <c r="H22" s="21">
        <f>H12-H18</f>
        <v>16095.170000000002</v>
      </c>
      <c r="I22" s="14"/>
      <c r="J22" s="20">
        <f>IF(H$12=0,0,H22/H$12)</f>
        <v>0.77825728299930763</v>
      </c>
      <c r="K22" s="16"/>
      <c r="L22" s="21">
        <f>+D22-H22</f>
        <v>-16095.170000000002</v>
      </c>
      <c r="M22" s="16"/>
      <c r="N22" s="20">
        <f>IF(H22=0,0,L22/H22)</f>
        <v>-1</v>
      </c>
      <c r="O22" s="28"/>
      <c r="P22" s="21">
        <f>P12-P18</f>
        <v>113968.98000000001</v>
      </c>
      <c r="Q22" s="14"/>
      <c r="R22" s="20">
        <f>IF(P$12=0,0,P22/P$12)</f>
        <v>0.72457761680429866</v>
      </c>
      <c r="S22" s="14"/>
      <c r="T22" s="21">
        <f>T12-T18</f>
        <v>163395.97999999998</v>
      </c>
      <c r="U22" s="14"/>
      <c r="V22" s="20">
        <f>IF(T$12=0,0,T22/T$12)</f>
        <v>0.76236064763617128</v>
      </c>
      <c r="W22" s="16"/>
      <c r="X22" s="21">
        <f>+P22-T22</f>
        <v>-49426.999999999971</v>
      </c>
      <c r="Y22" s="16"/>
      <c r="Z22" s="20">
        <f>IF(T22=0,0,X22/T22)</f>
        <v>-0.30249826219714815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693.3</v>
      </c>
      <c r="E24" s="22"/>
      <c r="F24" s="31">
        <f t="shared" ref="F24:F28" si="14">IF(D$12=0,0,D24/D$12)</f>
        <v>0</v>
      </c>
      <c r="G24" s="22"/>
      <c r="H24" s="22">
        <f>SUM(OSRRefH22x_0)</f>
        <v>37322.510000000009</v>
      </c>
      <c r="I24" s="22"/>
      <c r="J24" s="31">
        <f t="shared" ref="J24:J28" si="15">IF(H$12=0,0,H24/H$12)</f>
        <v>1.804672782413264</v>
      </c>
      <c r="K24" s="4"/>
      <c r="L24" s="22">
        <f t="shared" ref="L24:L28" si="16">+D24-H24</f>
        <v>-36629.210000000006</v>
      </c>
      <c r="M24" s="4"/>
      <c r="N24" s="31">
        <f t="shared" ref="N24:N28" si="17">IF(H24=0,0,L24/H24)</f>
        <v>-0.98142407892716743</v>
      </c>
      <c r="O24" s="10"/>
      <c r="P24" s="22">
        <f>SUM(OSRRefP22x_0)</f>
        <v>90232.239999999991</v>
      </c>
      <c r="Q24" s="22"/>
      <c r="R24" s="31">
        <f t="shared" ref="R24:R28" si="18">IF(P$12=0,0,P24/P$12)</f>
        <v>0.5736671629255039</v>
      </c>
      <c r="S24" s="22"/>
      <c r="T24" s="22">
        <f>SUM(OSRRefT22x_0)</f>
        <v>137767.88000000003</v>
      </c>
      <c r="U24" s="22"/>
      <c r="V24" s="31">
        <f t="shared" ref="V24:V28" si="19">IF(T$12=0,0,T24/T$12)</f>
        <v>0.6427869903547343</v>
      </c>
      <c r="W24" s="4"/>
      <c r="X24" s="22">
        <f t="shared" ref="X24:X28" si="20">+P24-T24</f>
        <v>-47535.640000000043</v>
      </c>
      <c r="Y24" s="4"/>
      <c r="Z24" s="31">
        <f t="shared" ref="Z24:Z28" si="21">IF(T24=0,0,X24/T24)</f>
        <v>-0.34504152927373227</v>
      </c>
    </row>
    <row r="25" spans="1:26" s="27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4"/>
        <v>0</v>
      </c>
      <c r="G25" s="1"/>
      <c r="H25" s="1">
        <f>SUM(OSRRefH22_0x_0)</f>
        <v>328.85</v>
      </c>
      <c r="I25" s="1"/>
      <c r="J25" s="5">
        <f t="shared" si="15"/>
        <v>1.5901037858831086E-2</v>
      </c>
      <c r="K25" s="1"/>
      <c r="L25" s="1">
        <f t="shared" si="16"/>
        <v>-328.85</v>
      </c>
      <c r="M25" s="1"/>
      <c r="N25" s="5">
        <f t="shared" si="17"/>
        <v>-1</v>
      </c>
      <c r="O25" s="13"/>
      <c r="P25" s="1">
        <f>SUM(OSRRefP22_0x_0)</f>
        <v>1171.8399999999999</v>
      </c>
      <c r="Q25" s="1"/>
      <c r="R25" s="5">
        <f t="shared" si="18"/>
        <v>7.4501766575075885E-3</v>
      </c>
      <c r="S25" s="1"/>
      <c r="T25" s="1">
        <f>SUM(OSRRefT22_0x_0)</f>
        <v>957.34</v>
      </c>
      <c r="U25" s="1"/>
      <c r="V25" s="5">
        <f t="shared" si="19"/>
        <v>4.4666848132249781E-3</v>
      </c>
      <c r="W25" s="1"/>
      <c r="X25" s="1">
        <f t="shared" si="20"/>
        <v>214.49999999999989</v>
      </c>
      <c r="Y25" s="1"/>
      <c r="Z25" s="5">
        <f t="shared" si="21"/>
        <v>0.22405832828462185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4"/>
        <v>0</v>
      </c>
      <c r="G26" s="2"/>
      <c r="H26" s="6">
        <v>328.85</v>
      </c>
      <c r="I26" s="2"/>
      <c r="J26" s="7">
        <f t="shared" si="15"/>
        <v>1.5901037858831086E-2</v>
      </c>
      <c r="K26" s="2"/>
      <c r="L26" s="6">
        <f t="shared" si="16"/>
        <v>-328.85</v>
      </c>
      <c r="M26" s="2"/>
      <c r="N26" s="7">
        <f t="shared" si="17"/>
        <v>-1</v>
      </c>
      <c r="O26" s="11"/>
      <c r="P26" s="6">
        <v>1182.24</v>
      </c>
      <c r="Q26" s="2"/>
      <c r="R26" s="7">
        <f t="shared" si="18"/>
        <v>7.5162964667290517E-3</v>
      </c>
      <c r="S26" s="2"/>
      <c r="T26" s="6">
        <v>1003.49</v>
      </c>
      <c r="U26" s="2"/>
      <c r="V26" s="7">
        <f t="shared" si="19"/>
        <v>4.6820080047037978E-3</v>
      </c>
      <c r="W26" s="2"/>
      <c r="X26" s="6">
        <f t="shared" si="20"/>
        <v>178.75</v>
      </c>
      <c r="Y26" s="2"/>
      <c r="Z26" s="7">
        <f t="shared" si="21"/>
        <v>0.17812833212089807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4"/>
        <v>0</v>
      </c>
      <c r="G27" s="2"/>
      <c r="H27" s="6"/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-10.4</v>
      </c>
      <c r="Q27" s="2"/>
      <c r="R27" s="7">
        <f t="shared" si="18"/>
        <v>-6.6119809221462769E-5</v>
      </c>
      <c r="S27" s="2"/>
      <c r="T27" s="6">
        <v>-51.59</v>
      </c>
      <c r="U27" s="2"/>
      <c r="V27" s="7">
        <f t="shared" si="19"/>
        <v>-2.4070473344295302E-4</v>
      </c>
      <c r="W27" s="2"/>
      <c r="X27" s="6">
        <f t="shared" si="20"/>
        <v>41.190000000000005</v>
      </c>
      <c r="Y27" s="2"/>
      <c r="Z27" s="7">
        <f t="shared" si="21"/>
        <v>-0.79841054467920147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5.44</v>
      </c>
      <c r="U28" s="2"/>
      <c r="V28" s="7">
        <f t="shared" si="19"/>
        <v>2.5381541964133832E-5</v>
      </c>
      <c r="W28" s="2"/>
      <c r="X28" s="6">
        <f t="shared" si="20"/>
        <v>-5.44</v>
      </c>
      <c r="Y28" s="2"/>
      <c r="Z28" s="7">
        <f t="shared" si="21"/>
        <v>-1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4" si="22">IF(D$12=0,0,D29/D$12)</f>
        <v>0</v>
      </c>
      <c r="G29" s="1"/>
      <c r="H29" s="1">
        <f>SUM(OSRRefH22_1x_0)</f>
        <v>4116.8</v>
      </c>
      <c r="I29" s="1"/>
      <c r="J29" s="5">
        <f t="shared" ref="J29:J34" si="23">IF(H$12=0,0,H29/H$12)</f>
        <v>0.19906155589854282</v>
      </c>
      <c r="K29" s="1"/>
      <c r="L29" s="1">
        <f t="shared" ref="L29:L34" si="24">+D29-H29</f>
        <v>-4116.8</v>
      </c>
      <c r="M29" s="1"/>
      <c r="N29" s="5">
        <f t="shared" ref="N29:N34" si="25">IF(H29=0,0,L29/H29)</f>
        <v>-1</v>
      </c>
      <c r="O29" s="13"/>
      <c r="P29" s="1">
        <f>SUM(OSRRefP22_1x_0)</f>
        <v>29540.829999999998</v>
      </c>
      <c r="Q29" s="1"/>
      <c r="R29" s="5">
        <f t="shared" ref="R29:R34" si="26">IF(P$12=0,0,P29/P$12)</f>
        <v>0.18781096575419845</v>
      </c>
      <c r="S29" s="1"/>
      <c r="T29" s="1">
        <f>SUM(OSRRefT22_1x_0)</f>
        <v>33456.01</v>
      </c>
      <c r="U29" s="1"/>
      <c r="V29" s="5">
        <f t="shared" ref="V29:V34" si="27">IF(T$12=0,0,T29/T$12)</f>
        <v>0.15609652973666932</v>
      </c>
      <c r="W29" s="1"/>
      <c r="X29" s="1">
        <f t="shared" ref="X29:X34" si="28">+P29-T29</f>
        <v>-3915.1800000000039</v>
      </c>
      <c r="Y29" s="1"/>
      <c r="Z29" s="5">
        <f t="shared" ref="Z29:Z34" si="29">IF(T29=0,0,X29/T29)</f>
        <v>-0.11702471394526734</v>
      </c>
    </row>
    <row r="30" spans="1:26" s="24" customFormat="1" hidden="1" outlineLevel="2" x14ac:dyDescent="0.25">
      <c r="A30" s="26"/>
      <c r="B30" s="11" t="str">
        <f>CONCATENATE("          ", "6004", " - ", "STAFF HOURLY")</f>
        <v xml:space="preserve">          6004 - STAFF HOURLY</v>
      </c>
      <c r="C30" s="11"/>
      <c r="D30" s="6"/>
      <c r="E30" s="2"/>
      <c r="F30" s="7">
        <f t="shared" si="22"/>
        <v>0</v>
      </c>
      <c r="G30" s="2"/>
      <c r="H30" s="6"/>
      <c r="I30" s="2"/>
      <c r="J30" s="7">
        <f t="shared" si="23"/>
        <v>0</v>
      </c>
      <c r="K30" s="2"/>
      <c r="L30" s="6">
        <f t="shared" si="24"/>
        <v>0</v>
      </c>
      <c r="M30" s="2"/>
      <c r="N30" s="7">
        <f t="shared" si="25"/>
        <v>0</v>
      </c>
      <c r="O30" s="11"/>
      <c r="P30" s="6">
        <v>3193.41</v>
      </c>
      <c r="Q30" s="2"/>
      <c r="R30" s="7">
        <f t="shared" si="26"/>
        <v>2.0302659612106866E-2</v>
      </c>
      <c r="S30" s="2"/>
      <c r="T30" s="6"/>
      <c r="U30" s="2"/>
      <c r="V30" s="7">
        <f t="shared" si="27"/>
        <v>0</v>
      </c>
      <c r="W30" s="2"/>
      <c r="X30" s="6">
        <f t="shared" si="28"/>
        <v>3193.41</v>
      </c>
      <c r="Y30" s="2"/>
      <c r="Z30" s="7">
        <f t="shared" si="29"/>
        <v>0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/>
      <c r="E31" s="2"/>
      <c r="F31" s="7">
        <f t="shared" si="22"/>
        <v>0</v>
      </c>
      <c r="G31" s="2"/>
      <c r="H31" s="6">
        <v>1871.83</v>
      </c>
      <c r="I31" s="2"/>
      <c r="J31" s="7">
        <f t="shared" si="23"/>
        <v>9.0509471477256451E-2</v>
      </c>
      <c r="K31" s="2"/>
      <c r="L31" s="6">
        <f t="shared" si="24"/>
        <v>-1871.83</v>
      </c>
      <c r="M31" s="2"/>
      <c r="N31" s="7">
        <f t="shared" si="25"/>
        <v>-1</v>
      </c>
      <c r="O31" s="11"/>
      <c r="P31" s="6">
        <v>9782.57</v>
      </c>
      <c r="Q31" s="2"/>
      <c r="R31" s="7">
        <f t="shared" si="26"/>
        <v>6.2194390586115866E-2</v>
      </c>
      <c r="S31" s="2"/>
      <c r="T31" s="6">
        <v>11485.98</v>
      </c>
      <c r="U31" s="2"/>
      <c r="V31" s="7">
        <f t="shared" si="27"/>
        <v>5.3590419736985639E-2</v>
      </c>
      <c r="W31" s="2"/>
      <c r="X31" s="6">
        <f t="shared" si="28"/>
        <v>-1703.4099999999999</v>
      </c>
      <c r="Y31" s="2"/>
      <c r="Z31" s="7">
        <f t="shared" si="29"/>
        <v>-0.14830340989623872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22"/>
        <v>0</v>
      </c>
      <c r="G32" s="2"/>
      <c r="H32" s="6"/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>
        <v>247.5</v>
      </c>
      <c r="Q32" s="2"/>
      <c r="R32" s="7">
        <f t="shared" si="26"/>
        <v>1.5735243059915418E-3</v>
      </c>
      <c r="S32" s="2"/>
      <c r="T32" s="6"/>
      <c r="U32" s="2"/>
      <c r="V32" s="7">
        <f t="shared" si="27"/>
        <v>0</v>
      </c>
      <c r="W32" s="2"/>
      <c r="X32" s="6">
        <f t="shared" si="28"/>
        <v>247.5</v>
      </c>
      <c r="Y32" s="2"/>
      <c r="Z32" s="7">
        <f t="shared" si="29"/>
        <v>0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22"/>
        <v>0</v>
      </c>
      <c r="G33" s="2"/>
      <c r="H33" s="6">
        <v>2004.97</v>
      </c>
      <c r="I33" s="2"/>
      <c r="J33" s="7">
        <f t="shared" si="23"/>
        <v>9.6947252169136564E-2</v>
      </c>
      <c r="K33" s="2"/>
      <c r="L33" s="6">
        <f t="shared" si="24"/>
        <v>-2004.97</v>
      </c>
      <c r="M33" s="2"/>
      <c r="N33" s="7">
        <f t="shared" si="25"/>
        <v>-1</v>
      </c>
      <c r="O33" s="11"/>
      <c r="P33" s="6">
        <v>13228</v>
      </c>
      <c r="Q33" s="2"/>
      <c r="R33" s="7">
        <f t="shared" si="26"/>
        <v>8.4099311190529755E-2</v>
      </c>
      <c r="S33" s="2"/>
      <c r="T33" s="6">
        <v>20932.030000000002</v>
      </c>
      <c r="U33" s="2"/>
      <c r="V33" s="7">
        <f t="shared" si="27"/>
        <v>9.766308783814491E-2</v>
      </c>
      <c r="W33" s="2"/>
      <c r="X33" s="6">
        <f t="shared" si="28"/>
        <v>-7704.0300000000025</v>
      </c>
      <c r="Y33" s="2"/>
      <c r="Z33" s="7">
        <f t="shared" si="29"/>
        <v>-0.36804982603216224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22"/>
        <v>0</v>
      </c>
      <c r="G34" s="2"/>
      <c r="H34" s="6">
        <v>240</v>
      </c>
      <c r="I34" s="2"/>
      <c r="J34" s="7">
        <f t="shared" si="23"/>
        <v>1.1604832252149795E-2</v>
      </c>
      <c r="K34" s="2"/>
      <c r="L34" s="6">
        <f t="shared" si="24"/>
        <v>-240</v>
      </c>
      <c r="M34" s="2"/>
      <c r="N34" s="7">
        <f t="shared" si="25"/>
        <v>-1</v>
      </c>
      <c r="O34" s="11"/>
      <c r="P34" s="6">
        <v>3089.35</v>
      </c>
      <c r="Q34" s="2"/>
      <c r="R34" s="7">
        <f t="shared" si="26"/>
        <v>1.9641080059454422E-2</v>
      </c>
      <c r="S34" s="2"/>
      <c r="T34" s="6">
        <v>1038</v>
      </c>
      <c r="U34" s="2"/>
      <c r="V34" s="7">
        <f t="shared" si="27"/>
        <v>4.8430221615387717E-3</v>
      </c>
      <c r="W34" s="2"/>
      <c r="X34" s="6">
        <f t="shared" si="28"/>
        <v>2051.35</v>
      </c>
      <c r="Y34" s="2"/>
      <c r="Z34" s="7">
        <f t="shared" si="29"/>
        <v>1.9762524084778419</v>
      </c>
    </row>
    <row r="35" spans="1:26" s="27" customFormat="1" outlineLevel="1" collapsed="1" x14ac:dyDescent="0.25">
      <c r="A35" s="25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1" si="30">IF(D$12=0,0,D35/D$12)</f>
        <v>0</v>
      </c>
      <c r="G35" s="1"/>
      <c r="H35" s="1">
        <f>SUM(OSRRefH22_2x_0)</f>
        <v>46.38</v>
      </c>
      <c r="I35" s="1"/>
      <c r="J35" s="5">
        <f t="shared" ref="J35:J51" si="31">IF(H$12=0,0,H35/H$12)</f>
        <v>2.2426338327279477E-3</v>
      </c>
      <c r="K35" s="1"/>
      <c r="L35" s="1">
        <f t="shared" ref="L35:L51" si="32">+D35-H35</f>
        <v>-46.38</v>
      </c>
      <c r="M35" s="1"/>
      <c r="N35" s="5">
        <f t="shared" ref="N35:N51" si="33">IF(H35=0,0,L35/H35)</f>
        <v>-1</v>
      </c>
      <c r="O35" s="13"/>
      <c r="P35" s="1">
        <f>SUM(OSRRefP22_2x_0)</f>
        <v>3023.77</v>
      </c>
      <c r="Q35" s="1"/>
      <c r="R35" s="5">
        <f t="shared" ref="R35:R51" si="34">IF(P$12=0,0,P35/P$12)</f>
        <v>1.9224143800921391E-2</v>
      </c>
      <c r="S35" s="1"/>
      <c r="T35" s="1">
        <f>SUM(OSRRefT22_2x_0)</f>
        <v>2561.98</v>
      </c>
      <c r="U35" s="1"/>
      <c r="V35" s="5">
        <f t="shared" ref="V35:V51" si="35">IF(T$12=0,0,T35/T$12)</f>
        <v>1.1953493176704336E-2</v>
      </c>
      <c r="W35" s="1"/>
      <c r="X35" s="1">
        <f t="shared" ref="X35:X51" si="36">+P35-T35</f>
        <v>461.78999999999996</v>
      </c>
      <c r="Y35" s="1"/>
      <c r="Z35" s="5">
        <f t="shared" ref="Z35:Z51" si="37">IF(T35=0,0,X35/T35)</f>
        <v>0.18024730872216019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30"/>
        <v>0</v>
      </c>
      <c r="G36" s="2"/>
      <c r="H36" s="6">
        <v>46.38</v>
      </c>
      <c r="I36" s="2"/>
      <c r="J36" s="7">
        <f t="shared" si="31"/>
        <v>2.2426338327279477E-3</v>
      </c>
      <c r="K36" s="2"/>
      <c r="L36" s="6">
        <f t="shared" si="32"/>
        <v>-46.38</v>
      </c>
      <c r="M36" s="2"/>
      <c r="N36" s="7">
        <f t="shared" si="33"/>
        <v>-1</v>
      </c>
      <c r="O36" s="11"/>
      <c r="P36" s="6">
        <v>3023.77</v>
      </c>
      <c r="Q36" s="2"/>
      <c r="R36" s="7">
        <f t="shared" si="34"/>
        <v>1.9224143800921391E-2</v>
      </c>
      <c r="S36" s="2"/>
      <c r="T36" s="6">
        <v>2561.98</v>
      </c>
      <c r="U36" s="2"/>
      <c r="V36" s="7">
        <f t="shared" si="35"/>
        <v>1.1953493176704336E-2</v>
      </c>
      <c r="W36" s="2"/>
      <c r="X36" s="6">
        <f t="shared" si="36"/>
        <v>461.78999999999996</v>
      </c>
      <c r="Y36" s="2"/>
      <c r="Z36" s="7">
        <f t="shared" si="37"/>
        <v>0.18024730872216019</v>
      </c>
    </row>
    <row r="37" spans="1:26" s="27" customFormat="1" outlineLevel="1" collapsed="1" x14ac:dyDescent="0.25">
      <c r="A37" s="25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SUM(OSRRefD22_3x_0)</f>
        <v>0</v>
      </c>
      <c r="E37" s="1"/>
      <c r="F37" s="5">
        <f t="shared" si="30"/>
        <v>0</v>
      </c>
      <c r="G37" s="1"/>
      <c r="H37" s="1">
        <f>SUM(OSRRefH22_3x_0)</f>
        <v>57.3</v>
      </c>
      <c r="I37" s="1"/>
      <c r="J37" s="5">
        <f t="shared" si="31"/>
        <v>2.7706537002007633E-3</v>
      </c>
      <c r="K37" s="1"/>
      <c r="L37" s="1">
        <f t="shared" si="32"/>
        <v>-57.3</v>
      </c>
      <c r="M37" s="1"/>
      <c r="N37" s="5">
        <f t="shared" si="33"/>
        <v>-1</v>
      </c>
      <c r="O37" s="13"/>
      <c r="P37" s="1">
        <f>SUM(OSRRefP22_3x_0)</f>
        <v>19.399999999999999</v>
      </c>
      <c r="Q37" s="1"/>
      <c r="R37" s="5">
        <f t="shared" si="34"/>
        <v>1.2333887489388246E-4</v>
      </c>
      <c r="S37" s="1"/>
      <c r="T37" s="1">
        <f>SUM(OSRRefT22_3x_0)</f>
        <v>-47.59</v>
      </c>
      <c r="U37" s="1"/>
      <c r="V37" s="5">
        <f t="shared" si="35"/>
        <v>-2.2204183493991343E-4</v>
      </c>
      <c r="W37" s="1"/>
      <c r="X37" s="1">
        <f t="shared" si="36"/>
        <v>66.990000000000009</v>
      </c>
      <c r="Y37" s="1"/>
      <c r="Z37" s="5">
        <f t="shared" si="37"/>
        <v>-1.4076486656860685</v>
      </c>
    </row>
    <row r="38" spans="1:26" s="24" customFormat="1" hidden="1" outlineLevel="2" x14ac:dyDescent="0.25">
      <c r="A38" s="26"/>
      <c r="B38" s="11" t="str">
        <f>CONCATENATE("          ", "6272", " - ", "CASH (OVER/SHORT)")</f>
        <v xml:space="preserve">          6272 - CASH (OVER/SHORT)</v>
      </c>
      <c r="C38" s="11"/>
      <c r="D38" s="6"/>
      <c r="E38" s="2"/>
      <c r="F38" s="7">
        <f t="shared" si="30"/>
        <v>0</v>
      </c>
      <c r="G38" s="2"/>
      <c r="H38" s="6">
        <v>57.3</v>
      </c>
      <c r="I38" s="2"/>
      <c r="J38" s="7">
        <f t="shared" si="31"/>
        <v>2.7706537002007633E-3</v>
      </c>
      <c r="K38" s="2"/>
      <c r="L38" s="6">
        <f t="shared" si="32"/>
        <v>-57.3</v>
      </c>
      <c r="M38" s="2"/>
      <c r="N38" s="7">
        <f t="shared" si="33"/>
        <v>-1</v>
      </c>
      <c r="O38" s="11"/>
      <c r="P38" s="6">
        <v>19.399999999999999</v>
      </c>
      <c r="Q38" s="2"/>
      <c r="R38" s="7">
        <f t="shared" si="34"/>
        <v>1.2333887489388246E-4</v>
      </c>
      <c r="S38" s="2"/>
      <c r="T38" s="6">
        <v>-47.59</v>
      </c>
      <c r="U38" s="2"/>
      <c r="V38" s="7">
        <f t="shared" si="35"/>
        <v>-2.2204183493991343E-4</v>
      </c>
      <c r="W38" s="2"/>
      <c r="X38" s="6">
        <f t="shared" si="36"/>
        <v>66.990000000000009</v>
      </c>
      <c r="Y38" s="2"/>
      <c r="Z38" s="7">
        <f t="shared" si="37"/>
        <v>-1.4076486656860685</v>
      </c>
    </row>
    <row r="39" spans="1:26" s="27" customFormat="1" outlineLevel="1" collapsed="1" x14ac:dyDescent="0.25">
      <c r="A39" s="25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SUM(OSRRefD22_4x_0)</f>
        <v>0</v>
      </c>
      <c r="E39" s="1"/>
      <c r="F39" s="5">
        <f t="shared" si="30"/>
        <v>0</v>
      </c>
      <c r="G39" s="1"/>
      <c r="H39" s="1">
        <f>SUM(OSRRefH22_4x_0)</f>
        <v>1126.28</v>
      </c>
      <c r="I39" s="1"/>
      <c r="J39" s="5">
        <f t="shared" si="31"/>
        <v>5.4459543620630296E-2</v>
      </c>
      <c r="K39" s="1"/>
      <c r="L39" s="1">
        <f t="shared" si="32"/>
        <v>-1126.28</v>
      </c>
      <c r="M39" s="1"/>
      <c r="N39" s="5">
        <f t="shared" si="33"/>
        <v>-1</v>
      </c>
      <c r="O39" s="13"/>
      <c r="P39" s="1">
        <f>SUM(OSRRefP22_4x_0)</f>
        <v>4064.54</v>
      </c>
      <c r="Q39" s="1"/>
      <c r="R39" s="5">
        <f t="shared" si="34"/>
        <v>2.5841020132019641E-2</v>
      </c>
      <c r="S39" s="1"/>
      <c r="T39" s="1">
        <f>SUM(OSRRefT22_4x_0)</f>
        <v>5464.26</v>
      </c>
      <c r="U39" s="1"/>
      <c r="V39" s="5">
        <f t="shared" si="35"/>
        <v>2.5494732443554765E-2</v>
      </c>
      <c r="W39" s="1"/>
      <c r="X39" s="1">
        <f t="shared" si="36"/>
        <v>-1399.7200000000003</v>
      </c>
      <c r="Y39" s="1"/>
      <c r="Z39" s="5">
        <f t="shared" si="37"/>
        <v>-0.25615911395138596</v>
      </c>
    </row>
    <row r="40" spans="1:26" s="24" customFormat="1" hidden="1" outlineLevel="2" x14ac:dyDescent="0.25">
      <c r="A40" s="26"/>
      <c r="B40" s="11" t="str">
        <f>CONCATENATE("          ", "6381", " - ", "BANK/CREDIT CARD FEES")</f>
        <v xml:space="preserve">          6381 - BANK/CREDIT CARD FEES</v>
      </c>
      <c r="C40" s="11"/>
      <c r="D40" s="6"/>
      <c r="E40" s="2"/>
      <c r="F40" s="7">
        <f t="shared" si="30"/>
        <v>0</v>
      </c>
      <c r="G40" s="2"/>
      <c r="H40" s="6">
        <v>1126.28</v>
      </c>
      <c r="I40" s="2"/>
      <c r="J40" s="7">
        <f t="shared" si="31"/>
        <v>5.4459543620630296E-2</v>
      </c>
      <c r="K40" s="2"/>
      <c r="L40" s="6">
        <f t="shared" si="32"/>
        <v>-1126.28</v>
      </c>
      <c r="M40" s="2"/>
      <c r="N40" s="7">
        <f t="shared" si="33"/>
        <v>-1</v>
      </c>
      <c r="O40" s="11"/>
      <c r="P40" s="6">
        <v>4064.54</v>
      </c>
      <c r="Q40" s="2"/>
      <c r="R40" s="7">
        <f t="shared" si="34"/>
        <v>2.5841020132019641E-2</v>
      </c>
      <c r="S40" s="2"/>
      <c r="T40" s="6">
        <v>5464.26</v>
      </c>
      <c r="U40" s="2"/>
      <c r="V40" s="7">
        <f t="shared" si="35"/>
        <v>2.5494732443554765E-2</v>
      </c>
      <c r="W40" s="2"/>
      <c r="X40" s="6">
        <f t="shared" si="36"/>
        <v>-1399.7200000000003</v>
      </c>
      <c r="Y40" s="2"/>
      <c r="Z40" s="7">
        <f t="shared" si="37"/>
        <v>-0.25615911395138596</v>
      </c>
    </row>
    <row r="41" spans="1:26" s="27" customFormat="1" outlineLevel="1" collapsed="1" x14ac:dyDescent="0.25">
      <c r="A41" s="25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SUM(OSRRefD22_5x_0)</f>
        <v>479.29</v>
      </c>
      <c r="E41" s="1"/>
      <c r="F41" s="5">
        <f t="shared" si="30"/>
        <v>0</v>
      </c>
      <c r="G41" s="1"/>
      <c r="H41" s="1">
        <f>SUM(OSRRefH22_5x_0)</f>
        <v>0</v>
      </c>
      <c r="I41" s="1"/>
      <c r="J41" s="5">
        <f t="shared" si="31"/>
        <v>0</v>
      </c>
      <c r="K41" s="1"/>
      <c r="L41" s="1">
        <f t="shared" si="32"/>
        <v>479.29</v>
      </c>
      <c r="M41" s="1"/>
      <c r="N41" s="5">
        <f t="shared" si="33"/>
        <v>0</v>
      </c>
      <c r="O41" s="13"/>
      <c r="P41" s="1">
        <f>SUM(OSRRefP22_5x_0)</f>
        <v>1437.87</v>
      </c>
      <c r="Q41" s="1"/>
      <c r="R41" s="5">
        <f t="shared" si="34"/>
        <v>9.1415086620446791E-3</v>
      </c>
      <c r="S41" s="1"/>
      <c r="T41" s="1">
        <f>SUM(OSRRefT22_5x_0)</f>
        <v>0</v>
      </c>
      <c r="U41" s="1"/>
      <c r="V41" s="5">
        <f t="shared" si="35"/>
        <v>0</v>
      </c>
      <c r="W41" s="1"/>
      <c r="X41" s="1">
        <f t="shared" si="36"/>
        <v>1437.87</v>
      </c>
      <c r="Y41" s="1"/>
      <c r="Z41" s="5">
        <f t="shared" si="37"/>
        <v>0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479.29</v>
      </c>
      <c r="E42" s="2"/>
      <c r="F42" s="7">
        <f t="shared" si="30"/>
        <v>0</v>
      </c>
      <c r="G42" s="2"/>
      <c r="H42" s="6"/>
      <c r="I42" s="2"/>
      <c r="J42" s="7">
        <f t="shared" si="31"/>
        <v>0</v>
      </c>
      <c r="K42" s="2"/>
      <c r="L42" s="6">
        <f t="shared" si="32"/>
        <v>479.29</v>
      </c>
      <c r="M42" s="2"/>
      <c r="N42" s="7">
        <f t="shared" si="33"/>
        <v>0</v>
      </c>
      <c r="O42" s="11"/>
      <c r="P42" s="6">
        <v>1437.87</v>
      </c>
      <c r="Q42" s="2"/>
      <c r="R42" s="7">
        <f t="shared" si="34"/>
        <v>9.1415086620446791E-3</v>
      </c>
      <c r="S42" s="2"/>
      <c r="T42" s="6"/>
      <c r="U42" s="2"/>
      <c r="V42" s="7">
        <f t="shared" si="35"/>
        <v>0</v>
      </c>
      <c r="W42" s="2"/>
      <c r="X42" s="6">
        <f t="shared" si="36"/>
        <v>1437.87</v>
      </c>
      <c r="Y42" s="2"/>
      <c r="Z42" s="7">
        <f t="shared" si="37"/>
        <v>0</v>
      </c>
    </row>
    <row r="43" spans="1:26" s="27" customFormat="1" outlineLevel="1" collapsed="1" x14ac:dyDescent="0.25">
      <c r="A43" s="25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SUM(OSRRefD22_6x_0)</f>
        <v>0</v>
      </c>
      <c r="E43" s="1"/>
      <c r="F43" s="5">
        <f t="shared" si="30"/>
        <v>0</v>
      </c>
      <c r="G43" s="1"/>
      <c r="H43" s="1">
        <f>SUM(OSRRefH22_6x_0)</f>
        <v>60.49</v>
      </c>
      <c r="I43" s="1"/>
      <c r="J43" s="5">
        <f t="shared" si="31"/>
        <v>2.9249012622189212E-3</v>
      </c>
      <c r="K43" s="1"/>
      <c r="L43" s="1">
        <f t="shared" si="32"/>
        <v>-60.49</v>
      </c>
      <c r="M43" s="1"/>
      <c r="N43" s="5">
        <f t="shared" si="33"/>
        <v>-1</v>
      </c>
      <c r="O43" s="13"/>
      <c r="P43" s="1">
        <f>SUM(OSRRefP22_6x_0)</f>
        <v>307.2</v>
      </c>
      <c r="Q43" s="1"/>
      <c r="R43" s="5">
        <f t="shared" si="34"/>
        <v>1.9530774416185923E-3</v>
      </c>
      <c r="S43" s="1"/>
      <c r="T43" s="1">
        <f>SUM(OSRRefT22_6x_0)</f>
        <v>182.42</v>
      </c>
      <c r="U43" s="1"/>
      <c r="V43" s="5">
        <f t="shared" si="35"/>
        <v>8.5112148623112008E-4</v>
      </c>
      <c r="W43" s="1"/>
      <c r="X43" s="1">
        <f t="shared" si="36"/>
        <v>124.78</v>
      </c>
      <c r="Y43" s="1"/>
      <c r="Z43" s="5">
        <f t="shared" si="37"/>
        <v>0.68402587435588214</v>
      </c>
    </row>
    <row r="44" spans="1:26" s="24" customFormat="1" hidden="1" outlineLevel="2" x14ac:dyDescent="0.25">
      <c r="A44" s="26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30"/>
        <v>0</v>
      </c>
      <c r="G44" s="2"/>
      <c r="H44" s="6">
        <v>60.49</v>
      </c>
      <c r="I44" s="2"/>
      <c r="J44" s="7">
        <f t="shared" si="31"/>
        <v>2.9249012622189212E-3</v>
      </c>
      <c r="K44" s="2"/>
      <c r="L44" s="6">
        <f t="shared" si="32"/>
        <v>-60.49</v>
      </c>
      <c r="M44" s="2"/>
      <c r="N44" s="7">
        <f t="shared" si="33"/>
        <v>-1</v>
      </c>
      <c r="O44" s="11"/>
      <c r="P44" s="6">
        <v>307.2</v>
      </c>
      <c r="Q44" s="2"/>
      <c r="R44" s="7">
        <f t="shared" si="34"/>
        <v>1.9530774416185923E-3</v>
      </c>
      <c r="S44" s="2"/>
      <c r="T44" s="6">
        <v>182.42</v>
      </c>
      <c r="U44" s="2"/>
      <c r="V44" s="7">
        <f t="shared" si="35"/>
        <v>8.5112148623112008E-4</v>
      </c>
      <c r="W44" s="2"/>
      <c r="X44" s="6">
        <f t="shared" si="36"/>
        <v>124.78</v>
      </c>
      <c r="Y44" s="2"/>
      <c r="Z44" s="7">
        <f t="shared" si="37"/>
        <v>0.68402587435588214</v>
      </c>
    </row>
    <row r="45" spans="1:26" s="27" customFormat="1" outlineLevel="1" collapsed="1" x14ac:dyDescent="0.25">
      <c r="A45" s="25"/>
      <c r="B45" s="13" t="str">
        <f>CONCATENATE("     ","Equipment Rental                                  ")</f>
        <v xml:space="preserve">     Equipment Rental                                  </v>
      </c>
      <c r="C45" s="13"/>
      <c r="D45" s="1">
        <f>SUM(OSRRefD22_7x_0)</f>
        <v>0</v>
      </c>
      <c r="E45" s="1"/>
      <c r="F45" s="5">
        <f t="shared" si="30"/>
        <v>0</v>
      </c>
      <c r="G45" s="1"/>
      <c r="H45" s="1">
        <f>SUM(OSRRefH22_7x_0)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SUM(OSRRefP22_7x_0)</f>
        <v>0</v>
      </c>
      <c r="Q45" s="1"/>
      <c r="R45" s="5">
        <f t="shared" si="34"/>
        <v>0</v>
      </c>
      <c r="S45" s="1"/>
      <c r="T45" s="1">
        <f>SUM(OSRRefT22_7x_0)</f>
        <v>100</v>
      </c>
      <c r="U45" s="1"/>
      <c r="V45" s="5">
        <f t="shared" si="35"/>
        <v>4.6657246257598951E-4</v>
      </c>
      <c r="W45" s="1"/>
      <c r="X45" s="1">
        <f t="shared" si="36"/>
        <v>-100</v>
      </c>
      <c r="Y45" s="1"/>
      <c r="Z45" s="5">
        <f t="shared" si="37"/>
        <v>-1</v>
      </c>
    </row>
    <row r="46" spans="1:26" s="24" customFormat="1" hidden="1" outlineLevel="2" x14ac:dyDescent="0.25">
      <c r="A46" s="26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30"/>
        <v>0</v>
      </c>
      <c r="G46" s="2"/>
      <c r="H46" s="6"/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100</v>
      </c>
      <c r="U46" s="2"/>
      <c r="V46" s="7">
        <f t="shared" si="35"/>
        <v>4.6657246257598951E-4</v>
      </c>
      <c r="W46" s="2"/>
      <c r="X46" s="6">
        <f t="shared" si="36"/>
        <v>-100</v>
      </c>
      <c r="Y46" s="2"/>
      <c r="Z46" s="7">
        <f t="shared" si="37"/>
        <v>-1</v>
      </c>
    </row>
    <row r="47" spans="1:26" s="27" customFormat="1" outlineLevel="1" collapsed="1" x14ac:dyDescent="0.25">
      <c r="A47" s="25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SUM(OSRRefD22_8x_0)</f>
        <v>0</v>
      </c>
      <c r="E47" s="1"/>
      <c r="F47" s="5">
        <f t="shared" si="30"/>
        <v>0</v>
      </c>
      <c r="G47" s="1"/>
      <c r="H47" s="1">
        <f>SUM(OSRRefH22_8x_0)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3"/>
      <c r="P47" s="1">
        <f>SUM(OSRRefP22_8x_0)</f>
        <v>5005.68</v>
      </c>
      <c r="Q47" s="1"/>
      <c r="R47" s="5">
        <f t="shared" si="34"/>
        <v>3.1824481406124205E-2</v>
      </c>
      <c r="S47" s="1"/>
      <c r="T47" s="1">
        <f>SUM(OSRRefT22_8x_0)</f>
        <v>2412.66</v>
      </c>
      <c r="U47" s="1"/>
      <c r="V47" s="5">
        <f t="shared" si="35"/>
        <v>1.1256807175585868E-2</v>
      </c>
      <c r="W47" s="1"/>
      <c r="X47" s="1">
        <f t="shared" si="36"/>
        <v>2593.0200000000004</v>
      </c>
      <c r="Y47" s="1"/>
      <c r="Z47" s="5">
        <f t="shared" si="37"/>
        <v>1.0747556638730698</v>
      </c>
    </row>
    <row r="48" spans="1:26" s="24" customFormat="1" hidden="1" outlineLevel="2" x14ac:dyDescent="0.25">
      <c r="A48" s="26"/>
      <c r="B48" s="11" t="str">
        <f>CONCATENATE("          ", "6279", " - ", "GENERAL EXPENSE")</f>
        <v xml:space="preserve">          6279 - GENERAL EXPENSE</v>
      </c>
      <c r="C48" s="11"/>
      <c r="D48" s="6"/>
      <c r="E48" s="2"/>
      <c r="F48" s="7">
        <f t="shared" si="30"/>
        <v>0</v>
      </c>
      <c r="G48" s="2"/>
      <c r="H48" s="6"/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>
        <v>5005.68</v>
      </c>
      <c r="Q48" s="2"/>
      <c r="R48" s="7">
        <f t="shared" si="34"/>
        <v>3.1824481406124205E-2</v>
      </c>
      <c r="S48" s="2"/>
      <c r="T48" s="6">
        <v>2412.66</v>
      </c>
      <c r="U48" s="2"/>
      <c r="V48" s="7">
        <f t="shared" si="35"/>
        <v>1.1256807175585868E-2</v>
      </c>
      <c r="W48" s="2"/>
      <c r="X48" s="6">
        <f t="shared" si="36"/>
        <v>2593.0200000000004</v>
      </c>
      <c r="Y48" s="2"/>
      <c r="Z48" s="7">
        <f t="shared" si="37"/>
        <v>1.0747556638730698</v>
      </c>
    </row>
    <row r="49" spans="1:26" s="27" customFormat="1" outlineLevel="1" collapsed="1" x14ac:dyDescent="0.25">
      <c r="A49" s="25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SUM(OSRRefD22_9x_0)</f>
        <v>0</v>
      </c>
      <c r="E49" s="1"/>
      <c r="F49" s="5">
        <f t="shared" si="30"/>
        <v>0</v>
      </c>
      <c r="G49" s="1"/>
      <c r="H49" s="1">
        <f>SUM(OSRRefH22_9x_0)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3"/>
      <c r="P49" s="1">
        <f>SUM(OSRRefP22_9x_0)</f>
        <v>1797.2199999999998</v>
      </c>
      <c r="Q49" s="1"/>
      <c r="R49" s="5">
        <f t="shared" si="34"/>
        <v>1.1426138800865125E-2</v>
      </c>
      <c r="S49" s="1"/>
      <c r="T49" s="1">
        <f>SUM(OSRRefT22_9x_0)</f>
        <v>2683.5099999999998</v>
      </c>
      <c r="U49" s="1"/>
      <c r="V49" s="5">
        <f t="shared" si="35"/>
        <v>1.2520518690472935E-2</v>
      </c>
      <c r="W49" s="1"/>
      <c r="X49" s="1">
        <f t="shared" si="36"/>
        <v>-886.29</v>
      </c>
      <c r="Y49" s="1"/>
      <c r="Z49" s="5">
        <f t="shared" si="37"/>
        <v>-0.33027266527793825</v>
      </c>
    </row>
    <row r="50" spans="1:26" s="24" customFormat="1" hidden="1" outlineLevel="2" x14ac:dyDescent="0.25">
      <c r="A50" s="26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0</v>
      </c>
      <c r="M50" s="2"/>
      <c r="N50" s="7">
        <f t="shared" si="33"/>
        <v>0</v>
      </c>
      <c r="O50" s="11"/>
      <c r="P50" s="6">
        <v>296.64</v>
      </c>
      <c r="Q50" s="2"/>
      <c r="R50" s="7">
        <f t="shared" si="34"/>
        <v>1.8859404045629532E-3</v>
      </c>
      <c r="S50" s="2"/>
      <c r="T50" s="6">
        <v>580.14</v>
      </c>
      <c r="U50" s="2"/>
      <c r="V50" s="7">
        <f t="shared" si="35"/>
        <v>2.7067734843883454E-3</v>
      </c>
      <c r="W50" s="2"/>
      <c r="X50" s="6">
        <f t="shared" si="36"/>
        <v>-283.5</v>
      </c>
      <c r="Y50" s="2"/>
      <c r="Z50" s="7">
        <f t="shared" si="37"/>
        <v>-0.48867514737821904</v>
      </c>
    </row>
    <row r="51" spans="1:26" s="24" customFormat="1" hidden="1" outlineLevel="2" x14ac:dyDescent="0.25">
      <c r="A51" s="26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1500.58</v>
      </c>
      <c r="Q51" s="2"/>
      <c r="R51" s="7">
        <f t="shared" si="34"/>
        <v>9.5401983963021731E-3</v>
      </c>
      <c r="S51" s="2"/>
      <c r="T51" s="6">
        <v>2103.37</v>
      </c>
      <c r="U51" s="2"/>
      <c r="V51" s="7">
        <f t="shared" si="35"/>
        <v>9.8137452060845908E-3</v>
      </c>
      <c r="W51" s="2"/>
      <c r="X51" s="6">
        <f t="shared" si="36"/>
        <v>-602.79</v>
      </c>
      <c r="Y51" s="2"/>
      <c r="Z51" s="7">
        <f t="shared" si="37"/>
        <v>-0.28658295972653408</v>
      </c>
    </row>
    <row r="52" spans="1:26" s="27" customFormat="1" outlineLevel="1" collapsed="1" x14ac:dyDescent="0.25">
      <c r="A52" s="25"/>
      <c r="B52" s="13" t="str">
        <f>CONCATENATE("     ","Royalty &amp; Commissions                             ")</f>
        <v xml:space="preserve">     Royalty &amp; Commissions                             </v>
      </c>
      <c r="C52" s="13"/>
      <c r="D52" s="1">
        <f>SUM(OSRRefD22_10x_0)</f>
        <v>0</v>
      </c>
      <c r="E52" s="1"/>
      <c r="F52" s="5">
        <f t="shared" ref="F52:F63" si="38">IF(D$12=0,0,D52/D$12)</f>
        <v>0</v>
      </c>
      <c r="G52" s="1"/>
      <c r="H52" s="1">
        <f>SUM(OSRRefH22_10x_0)</f>
        <v>30802.37</v>
      </c>
      <c r="I52" s="1"/>
      <c r="J52" s="5">
        <f t="shared" ref="J52:J63" si="39">IF(H$12=0,0,H52/H$12)</f>
        <v>1.489401403411047</v>
      </c>
      <c r="K52" s="1"/>
      <c r="L52" s="1">
        <f t="shared" ref="L52:L63" si="40">+D52-H52</f>
        <v>-30802.37</v>
      </c>
      <c r="M52" s="1"/>
      <c r="N52" s="5">
        <f t="shared" ref="N52:N63" si="41">IF(H52=0,0,L52/H52)</f>
        <v>-1</v>
      </c>
      <c r="O52" s="13"/>
      <c r="P52" s="1">
        <f>SUM(OSRRefP22_10x_0)</f>
        <v>35313.08</v>
      </c>
      <c r="Q52" s="1"/>
      <c r="R52" s="5">
        <f t="shared" ref="R52:R63" si="42">IF(P$12=0,0,P52/P$12)</f>
        <v>0.2245090492906012</v>
      </c>
      <c r="S52" s="1"/>
      <c r="T52" s="1">
        <f>SUM(OSRRefT22_10x_0)</f>
        <v>78608.920000000013</v>
      </c>
      <c r="U52" s="1"/>
      <c r="V52" s="5">
        <f t="shared" ref="V52:V63" si="43">IF(T$12=0,0,T52/T$12)</f>
        <v>0.36676757384838959</v>
      </c>
      <c r="W52" s="1"/>
      <c r="X52" s="1">
        <f t="shared" ref="X52:X63" si="44">+P52-T52</f>
        <v>-43295.840000000011</v>
      </c>
      <c r="Y52" s="1"/>
      <c r="Z52" s="5">
        <f t="shared" ref="Z52:Z63" si="45">IF(T52=0,0,X52/T52)</f>
        <v>-0.55077515376117625</v>
      </c>
    </row>
    <row r="53" spans="1:26" s="24" customFormat="1" hidden="1" outlineLevel="2" x14ac:dyDescent="0.25">
      <c r="A53" s="26"/>
      <c r="B53" s="11" t="str">
        <f>CONCATENATE("          ", "6254", " - ", "ROYALTY &amp; COMMISSIONS")</f>
        <v xml:space="preserve">          6254 - ROYALTY &amp; COMMISSIONS</v>
      </c>
      <c r="C53" s="11"/>
      <c r="D53" s="6"/>
      <c r="E53" s="2"/>
      <c r="F53" s="7">
        <f t="shared" si="38"/>
        <v>0</v>
      </c>
      <c r="G53" s="2"/>
      <c r="H53" s="6">
        <v>30802.37</v>
      </c>
      <c r="I53" s="2"/>
      <c r="J53" s="7">
        <f t="shared" si="39"/>
        <v>1.489401403411047</v>
      </c>
      <c r="K53" s="2"/>
      <c r="L53" s="6">
        <f t="shared" si="40"/>
        <v>-30802.37</v>
      </c>
      <c r="M53" s="2"/>
      <c r="N53" s="7">
        <f t="shared" si="41"/>
        <v>-1</v>
      </c>
      <c r="O53" s="11"/>
      <c r="P53" s="6">
        <v>35313.08</v>
      </c>
      <c r="Q53" s="2"/>
      <c r="R53" s="7">
        <f t="shared" si="42"/>
        <v>0.2245090492906012</v>
      </c>
      <c r="S53" s="2"/>
      <c r="T53" s="6">
        <v>78608.920000000013</v>
      </c>
      <c r="U53" s="2"/>
      <c r="V53" s="7">
        <f t="shared" si="43"/>
        <v>0.36676757384838959</v>
      </c>
      <c r="W53" s="2"/>
      <c r="X53" s="6">
        <f t="shared" si="44"/>
        <v>-43295.840000000011</v>
      </c>
      <c r="Y53" s="2"/>
      <c r="Z53" s="7">
        <f t="shared" si="45"/>
        <v>-0.55077515376117625</v>
      </c>
    </row>
    <row r="54" spans="1:26" s="27" customFormat="1" outlineLevel="1" collapsed="1" x14ac:dyDescent="0.25">
      <c r="A54" s="25"/>
      <c r="B54" s="13" t="str">
        <f>CONCATENATE("     ","Services                                          ")</f>
        <v xml:space="preserve">     Services                                          </v>
      </c>
      <c r="C54" s="13"/>
      <c r="D54" s="1">
        <f>SUM(OSRRefD22_11x_0)</f>
        <v>0</v>
      </c>
      <c r="E54" s="1"/>
      <c r="F54" s="5">
        <f t="shared" si="38"/>
        <v>0</v>
      </c>
      <c r="G54" s="1"/>
      <c r="H54" s="1">
        <f>SUM(OSRRefH22_11x_0)</f>
        <v>117.01</v>
      </c>
      <c r="I54" s="1"/>
      <c r="J54" s="5">
        <f t="shared" si="39"/>
        <v>5.6578392576001977E-3</v>
      </c>
      <c r="K54" s="1"/>
      <c r="L54" s="1">
        <f t="shared" si="40"/>
        <v>-117.01</v>
      </c>
      <c r="M54" s="1"/>
      <c r="N54" s="5">
        <f t="shared" si="41"/>
        <v>-1</v>
      </c>
      <c r="O54" s="13"/>
      <c r="P54" s="1">
        <f>SUM(OSRRefP22_11x_0)</f>
        <v>126</v>
      </c>
      <c r="Q54" s="1"/>
      <c r="R54" s="5">
        <f t="shared" si="42"/>
        <v>8.0106691941387578E-4</v>
      </c>
      <c r="S54" s="1"/>
      <c r="T54" s="1">
        <f>SUM(OSRRefT22_11x_0)</f>
        <v>240.51</v>
      </c>
      <c r="U54" s="1"/>
      <c r="V54" s="5">
        <f t="shared" si="43"/>
        <v>1.1221534297415124E-3</v>
      </c>
      <c r="W54" s="1"/>
      <c r="X54" s="1">
        <f t="shared" si="44"/>
        <v>-114.50999999999999</v>
      </c>
      <c r="Y54" s="1"/>
      <c r="Z54" s="5">
        <f t="shared" si="45"/>
        <v>-0.47611325932393661</v>
      </c>
    </row>
    <row r="55" spans="1:26" s="24" customFormat="1" hidden="1" outlineLevel="2" x14ac:dyDescent="0.25">
      <c r="A55" s="26"/>
      <c r="B55" s="11" t="str">
        <f>CONCATENATE("          ", "6286", " - ", "LAUNDRY EXPENSE")</f>
        <v xml:space="preserve">          6286 - LAUNDRY EXPENSE</v>
      </c>
      <c r="C55" s="11"/>
      <c r="D55" s="6"/>
      <c r="E55" s="2"/>
      <c r="F55" s="7">
        <f t="shared" si="38"/>
        <v>0</v>
      </c>
      <c r="G55" s="2"/>
      <c r="H55" s="6">
        <v>117.01</v>
      </c>
      <c r="I55" s="2"/>
      <c r="J55" s="7">
        <f t="shared" si="39"/>
        <v>5.6578392576001977E-3</v>
      </c>
      <c r="K55" s="2"/>
      <c r="L55" s="6">
        <f t="shared" si="40"/>
        <v>-117.01</v>
      </c>
      <c r="M55" s="2"/>
      <c r="N55" s="7">
        <f t="shared" si="41"/>
        <v>-1</v>
      </c>
      <c r="O55" s="11"/>
      <c r="P55" s="6">
        <v>126</v>
      </c>
      <c r="Q55" s="2"/>
      <c r="R55" s="7">
        <f t="shared" si="42"/>
        <v>8.0106691941387578E-4</v>
      </c>
      <c r="S55" s="2"/>
      <c r="T55" s="6">
        <v>240.51</v>
      </c>
      <c r="U55" s="2"/>
      <c r="V55" s="7">
        <f t="shared" si="43"/>
        <v>1.1221534297415124E-3</v>
      </c>
      <c r="W55" s="2"/>
      <c r="X55" s="6">
        <f t="shared" si="44"/>
        <v>-114.50999999999999</v>
      </c>
      <c r="Y55" s="2"/>
      <c r="Z55" s="7">
        <f t="shared" si="45"/>
        <v>-0.47611325932393661</v>
      </c>
    </row>
    <row r="56" spans="1:26" s="27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0</v>
      </c>
      <c r="E56" s="1"/>
      <c r="F56" s="5">
        <f t="shared" si="38"/>
        <v>0</v>
      </c>
      <c r="G56" s="1"/>
      <c r="H56" s="1">
        <f>SUM(OSRRefH22_12x_0)</f>
        <v>453.02</v>
      </c>
      <c r="I56" s="1"/>
      <c r="J56" s="5">
        <f t="shared" si="39"/>
        <v>2.1905087945287081E-2</v>
      </c>
      <c r="K56" s="1"/>
      <c r="L56" s="1">
        <f t="shared" si="40"/>
        <v>-453.02</v>
      </c>
      <c r="M56" s="1"/>
      <c r="N56" s="5">
        <f t="shared" si="41"/>
        <v>-1</v>
      </c>
      <c r="O56" s="13"/>
      <c r="P56" s="1">
        <f>SUM(OSRRefP22_12x_0)</f>
        <v>6070.7100000000009</v>
      </c>
      <c r="Q56" s="1"/>
      <c r="R56" s="5">
        <f t="shared" si="42"/>
        <v>3.8595594907579453E-2</v>
      </c>
      <c r="S56" s="1"/>
      <c r="T56" s="1">
        <f>SUM(OSRRefT22_12x_0)</f>
        <v>8505.75</v>
      </c>
      <c r="U56" s="1"/>
      <c r="V56" s="5">
        <f t="shared" si="43"/>
        <v>3.9685487235557232E-2</v>
      </c>
      <c r="W56" s="1"/>
      <c r="X56" s="1">
        <f t="shared" si="44"/>
        <v>-2435.0399999999991</v>
      </c>
      <c r="Y56" s="1"/>
      <c r="Z56" s="5">
        <f t="shared" si="45"/>
        <v>-0.28628163301296172</v>
      </c>
    </row>
    <row r="57" spans="1:26" s="24" customFormat="1" hidden="1" outlineLevel="2" x14ac:dyDescent="0.25">
      <c r="A57" s="26"/>
      <c r="B57" s="11" t="str">
        <f>CONCATENATE("          ", "6234", " - ", "EXPENDABLE SUPPLIES &amp; EQUIPMEN")</f>
        <v xml:space="preserve">          6234 - EXPENDABLE SUPPLIES &amp; EQUIPMEN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/>
      <c r="Q57" s="2"/>
      <c r="R57" s="7">
        <f t="shared" si="42"/>
        <v>0</v>
      </c>
      <c r="S57" s="2"/>
      <c r="T57" s="6">
        <v>106.94</v>
      </c>
      <c r="U57" s="2"/>
      <c r="V57" s="7">
        <f t="shared" si="43"/>
        <v>4.989525914787632E-4</v>
      </c>
      <c r="W57" s="2"/>
      <c r="X57" s="6">
        <f t="shared" si="44"/>
        <v>-106.94</v>
      </c>
      <c r="Y57" s="2"/>
      <c r="Z57" s="7">
        <f t="shared" si="45"/>
        <v>-1</v>
      </c>
    </row>
    <row r="58" spans="1:26" s="24" customFormat="1" hidden="1" outlineLevel="2" x14ac:dyDescent="0.25">
      <c r="A58" s="26"/>
      <c r="B58" s="11" t="str">
        <f>CONCATENATE("          ", "6237", " - ", "JANITORIAL SUPPLIES")</f>
        <v xml:space="preserve">          6237 - JANITORIAL SUPPLIES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>
        <v>78.81</v>
      </c>
      <c r="Q58" s="2"/>
      <c r="R58" s="7">
        <f t="shared" si="42"/>
        <v>5.0104828507148858E-4</v>
      </c>
      <c r="S58" s="2"/>
      <c r="T58" s="6">
        <v>505.41</v>
      </c>
      <c r="U58" s="2"/>
      <c r="V58" s="7">
        <f t="shared" si="43"/>
        <v>2.3581038831053088E-3</v>
      </c>
      <c r="W58" s="2"/>
      <c r="X58" s="6">
        <f t="shared" si="44"/>
        <v>-426.6</v>
      </c>
      <c r="Y58" s="2"/>
      <c r="Z58" s="7">
        <f t="shared" si="45"/>
        <v>-0.84406719297204247</v>
      </c>
    </row>
    <row r="59" spans="1:26" s="24" customFormat="1" hidden="1" outlineLevel="2" x14ac:dyDescent="0.25">
      <c r="A59" s="26"/>
      <c r="B59" s="11" t="str">
        <f>CONCATENATE("          ", "6239", " - ", "KITCHEN SUPPLIES")</f>
        <v xml:space="preserve">          6239 - KITCHEN SUPPLIES</v>
      </c>
      <c r="C59" s="11"/>
      <c r="D59" s="6"/>
      <c r="E59" s="2"/>
      <c r="F59" s="7">
        <f t="shared" si="38"/>
        <v>0</v>
      </c>
      <c r="G59" s="2"/>
      <c r="H59" s="6">
        <v>427.76</v>
      </c>
      <c r="I59" s="2"/>
      <c r="J59" s="7">
        <f t="shared" si="39"/>
        <v>2.0683679350748316E-2</v>
      </c>
      <c r="K59" s="2"/>
      <c r="L59" s="6">
        <f t="shared" si="40"/>
        <v>-427.76</v>
      </c>
      <c r="M59" s="2"/>
      <c r="N59" s="7">
        <f t="shared" si="41"/>
        <v>-1</v>
      </c>
      <c r="O59" s="11"/>
      <c r="P59" s="6">
        <v>4802.42</v>
      </c>
      <c r="Q59" s="2"/>
      <c r="R59" s="7">
        <f t="shared" si="42"/>
        <v>3.0532220596282425E-2</v>
      </c>
      <c r="S59" s="2"/>
      <c r="T59" s="6">
        <v>5716.11</v>
      </c>
      <c r="U59" s="2"/>
      <c r="V59" s="7">
        <f t="shared" si="43"/>
        <v>2.6669795190552393E-2</v>
      </c>
      <c r="W59" s="2"/>
      <c r="X59" s="6">
        <f t="shared" si="44"/>
        <v>-913.6899999999996</v>
      </c>
      <c r="Y59" s="2"/>
      <c r="Z59" s="7">
        <f t="shared" si="45"/>
        <v>-0.15984471957327617</v>
      </c>
    </row>
    <row r="60" spans="1:26" s="24" customFormat="1" hidden="1" outlineLevel="2" x14ac:dyDescent="0.25">
      <c r="A60" s="26"/>
      <c r="B60" s="11" t="str">
        <f>CONCATENATE("          ", "6241", " - ", "OFFICE EXPENSE")</f>
        <v xml:space="preserve">          6241 - OFFICE EXPENSE</v>
      </c>
      <c r="C60" s="11"/>
      <c r="D60" s="6"/>
      <c r="E60" s="2"/>
      <c r="F60" s="7">
        <f t="shared" si="38"/>
        <v>0</v>
      </c>
      <c r="G60" s="2"/>
      <c r="H60" s="6"/>
      <c r="I60" s="2"/>
      <c r="J60" s="7">
        <f t="shared" si="39"/>
        <v>0</v>
      </c>
      <c r="K60" s="2"/>
      <c r="L60" s="6">
        <f t="shared" si="40"/>
        <v>0</v>
      </c>
      <c r="M60" s="2"/>
      <c r="N60" s="7">
        <f t="shared" si="41"/>
        <v>0</v>
      </c>
      <c r="O60" s="11"/>
      <c r="P60" s="6">
        <v>135.93</v>
      </c>
      <c r="Q60" s="2"/>
      <c r="R60" s="7">
        <f t="shared" si="42"/>
        <v>8.6419862187244562E-4</v>
      </c>
      <c r="S60" s="2"/>
      <c r="T60" s="6">
        <v>147.29</v>
      </c>
      <c r="U60" s="2"/>
      <c r="V60" s="7">
        <f t="shared" si="43"/>
        <v>6.8721458012817489E-4</v>
      </c>
      <c r="W60" s="2"/>
      <c r="X60" s="6">
        <f t="shared" si="44"/>
        <v>-11.359999999999985</v>
      </c>
      <c r="Y60" s="2"/>
      <c r="Z60" s="7">
        <f t="shared" si="45"/>
        <v>-7.7126756738407132E-2</v>
      </c>
    </row>
    <row r="61" spans="1:26" s="24" customFormat="1" hidden="1" outlineLevel="2" x14ac:dyDescent="0.25">
      <c r="A61" s="26"/>
      <c r="B61" s="11" t="str">
        <f>CONCATENATE("          ", "6243", " - ", "PAPER SUPPLIES")</f>
        <v xml:space="preserve">          6243 - PAPER SUPPLIES</v>
      </c>
      <c r="C61" s="11"/>
      <c r="D61" s="6"/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0</v>
      </c>
      <c r="M61" s="2"/>
      <c r="N61" s="7">
        <f t="shared" si="41"/>
        <v>0</v>
      </c>
      <c r="O61" s="11"/>
      <c r="P61" s="6">
        <v>-642.03</v>
      </c>
      <c r="Q61" s="2"/>
      <c r="R61" s="7">
        <f t="shared" si="42"/>
        <v>-4.0818174148515131E-3</v>
      </c>
      <c r="S61" s="2"/>
      <c r="T61" s="6">
        <v>2004.74</v>
      </c>
      <c r="U61" s="2"/>
      <c r="V61" s="7">
        <f t="shared" si="43"/>
        <v>9.353564786245893E-3</v>
      </c>
      <c r="W61" s="2"/>
      <c r="X61" s="6">
        <f t="shared" si="44"/>
        <v>-2646.77</v>
      </c>
      <c r="Y61" s="2"/>
      <c r="Z61" s="7">
        <f t="shared" si="45"/>
        <v>-1.3202559932958888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>
        <v>1695.58</v>
      </c>
      <c r="Q62" s="2"/>
      <c r="R62" s="7">
        <f t="shared" si="42"/>
        <v>1.07799448192046E-2</v>
      </c>
      <c r="S62" s="2"/>
      <c r="T62" s="6"/>
      <c r="U62" s="2"/>
      <c r="V62" s="7">
        <f t="shared" si="43"/>
        <v>0</v>
      </c>
      <c r="W62" s="2"/>
      <c r="X62" s="6">
        <f t="shared" si="44"/>
        <v>1695.58</v>
      </c>
      <c r="Y62" s="2"/>
      <c r="Z62" s="7">
        <f t="shared" si="45"/>
        <v>0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6"/>
      <c r="E63" s="2"/>
      <c r="F63" s="7">
        <f t="shared" si="38"/>
        <v>0</v>
      </c>
      <c r="G63" s="2"/>
      <c r="H63" s="6">
        <v>25.26</v>
      </c>
      <c r="I63" s="2"/>
      <c r="J63" s="7">
        <f t="shared" si="39"/>
        <v>1.2214085945387659E-3</v>
      </c>
      <c r="K63" s="2"/>
      <c r="L63" s="6">
        <f t="shared" si="40"/>
        <v>-25.26</v>
      </c>
      <c r="M63" s="2"/>
      <c r="N63" s="7">
        <f t="shared" si="41"/>
        <v>-1</v>
      </c>
      <c r="O63" s="11"/>
      <c r="P63" s="6"/>
      <c r="Q63" s="2"/>
      <c r="R63" s="7">
        <f t="shared" si="42"/>
        <v>0</v>
      </c>
      <c r="S63" s="2"/>
      <c r="T63" s="6">
        <v>25.26</v>
      </c>
      <c r="U63" s="2"/>
      <c r="V63" s="7">
        <f t="shared" si="43"/>
        <v>1.1785620404669496E-4</v>
      </c>
      <c r="W63" s="2"/>
      <c r="X63" s="6">
        <f t="shared" si="44"/>
        <v>-25.26</v>
      </c>
      <c r="Y63" s="2"/>
      <c r="Z63" s="7">
        <f t="shared" si="45"/>
        <v>-1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214.01</v>
      </c>
      <c r="E64" s="1"/>
      <c r="F64" s="5">
        <f t="shared" ref="F64:F65" si="46">IF(D$12=0,0,D64/D$12)</f>
        <v>0</v>
      </c>
      <c r="G64" s="1"/>
      <c r="H64" s="1">
        <f>SUM(OSRRefH22_13x_0)</f>
        <v>214.01</v>
      </c>
      <c r="I64" s="1"/>
      <c r="J64" s="5">
        <f t="shared" ref="J64:J65" si="47">IF(H$12=0,0,H64/H$12)</f>
        <v>1.0348125626177406E-2</v>
      </c>
      <c r="K64" s="1"/>
      <c r="L64" s="1">
        <f t="shared" ref="L64:L65" si="48">+D64-H64</f>
        <v>0</v>
      </c>
      <c r="M64" s="1"/>
      <c r="N64" s="5">
        <f t="shared" ref="N64:N65" si="49">IF(H64=0,0,L64/H64)</f>
        <v>0</v>
      </c>
      <c r="O64" s="13"/>
      <c r="P64" s="1">
        <f>SUM(OSRRefP22_13x_0)</f>
        <v>2354.1</v>
      </c>
      <c r="Q64" s="1"/>
      <c r="R64" s="5">
        <f t="shared" ref="R64:R65" si="50">IF(P$12=0,0,P64/P$12)</f>
        <v>1.4966600277715913E-2</v>
      </c>
      <c r="S64" s="1"/>
      <c r="T64" s="1">
        <f>SUM(OSRRefT22_13x_0)</f>
        <v>2642.11</v>
      </c>
      <c r="U64" s="1"/>
      <c r="V64" s="5">
        <f t="shared" ref="V64:V65" si="51">IF(T$12=0,0,T64/T$12)</f>
        <v>1.2327357690966477E-2</v>
      </c>
      <c r="W64" s="1"/>
      <c r="X64" s="1">
        <f t="shared" ref="X64:X65" si="52">+P64-T64</f>
        <v>-288.01000000000022</v>
      </c>
      <c r="Y64" s="1"/>
      <c r="Z64" s="5">
        <f t="shared" ref="Z64:Z65" si="53">IF(T64=0,0,X64/T64)</f>
        <v>-0.1090075734923982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214.01</v>
      </c>
      <c r="E65" s="2"/>
      <c r="F65" s="7">
        <f t="shared" si="46"/>
        <v>0</v>
      </c>
      <c r="G65" s="2"/>
      <c r="H65" s="6">
        <v>214.01</v>
      </c>
      <c r="I65" s="2"/>
      <c r="J65" s="7">
        <f t="shared" si="47"/>
        <v>1.0348125626177406E-2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>
        <v>2354.1</v>
      </c>
      <c r="Q65" s="2"/>
      <c r="R65" s="7">
        <f t="shared" si="50"/>
        <v>1.4966600277715913E-2</v>
      </c>
      <c r="S65" s="2"/>
      <c r="T65" s="6">
        <v>2642.11</v>
      </c>
      <c r="U65" s="2"/>
      <c r="V65" s="7">
        <f t="shared" si="51"/>
        <v>1.2327357690966477E-2</v>
      </c>
      <c r="W65" s="2"/>
      <c r="X65" s="6">
        <f t="shared" si="52"/>
        <v>-288.01000000000022</v>
      </c>
      <c r="Y65" s="2"/>
      <c r="Z65" s="7">
        <f t="shared" si="53"/>
        <v>-0.1090075734923982</v>
      </c>
    </row>
    <row r="66" spans="1:26" s="58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0</v>
      </c>
      <c r="E67" s="4"/>
      <c r="F67" s="12">
        <f t="shared" ref="F67:F68" si="54">IF(D$12=0,0,D67/D$12)</f>
        <v>0</v>
      </c>
      <c r="G67" s="4"/>
      <c r="H67" s="4">
        <f>SUM(OSRRefH25x_0)</f>
        <v>12286.38</v>
      </c>
      <c r="I67" s="4"/>
      <c r="J67" s="12">
        <f t="shared" ref="J67:J68" si="55">IF(H$12=0,0,H67/H$12)</f>
        <v>0.59408907869236749</v>
      </c>
      <c r="K67" s="4"/>
      <c r="L67" s="4">
        <f t="shared" ref="L67:L68" si="56">+D67-H67</f>
        <v>-12286.38</v>
      </c>
      <c r="M67" s="4"/>
      <c r="N67" s="12">
        <f t="shared" ref="N67:N68" si="57">IF(H67=0,0,L67/H67)</f>
        <v>-1</v>
      </c>
      <c r="O67" s="10"/>
      <c r="P67" s="4">
        <f>SUM(OSRRefP25x_0)</f>
        <v>8452.17</v>
      </c>
      <c r="Q67" s="4"/>
      <c r="R67" s="12">
        <f t="shared" ref="R67:R68" si="58">IF(P$12=0,0,P67/P$12)</f>
        <v>5.3736141144939513E-2</v>
      </c>
      <c r="S67" s="4"/>
      <c r="T67" s="4">
        <f>SUM(OSRRefT25x_0)</f>
        <v>18686.21</v>
      </c>
      <c r="U67" s="4"/>
      <c r="V67" s="12">
        <f t="shared" ref="V67:V68" si="59">IF(T$12=0,0,T67/T$12)</f>
        <v>8.7184710159120812E-2</v>
      </c>
      <c r="W67" s="4"/>
      <c r="X67" s="4">
        <f t="shared" ref="X67:X68" si="60">+P67-T67</f>
        <v>-10234.039999999999</v>
      </c>
      <c r="Y67" s="4"/>
      <c r="Z67" s="12">
        <f t="shared" ref="Z67:Z68" si="61">IF(T67=0,0,X67/T67)</f>
        <v>-0.54767874277341422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0</f>
        <v>0</v>
      </c>
      <c r="E68" s="2"/>
      <c r="F68" s="19">
        <f t="shared" si="54"/>
        <v>0</v>
      </c>
      <c r="G68" s="2"/>
      <c r="H68" s="2">
        <f>--12286.38</f>
        <v>12286.38</v>
      </c>
      <c r="I68" s="2"/>
      <c r="J68" s="19">
        <f t="shared" si="55"/>
        <v>0.59408907869236749</v>
      </c>
      <c r="K68" s="2"/>
      <c r="L68" s="2">
        <f t="shared" si="56"/>
        <v>-12286.38</v>
      </c>
      <c r="M68" s="2"/>
      <c r="N68" s="19">
        <f t="shared" si="57"/>
        <v>-1</v>
      </c>
      <c r="O68" s="11"/>
      <c r="P68" s="2">
        <f>--8452.17</f>
        <v>8452.17</v>
      </c>
      <c r="Q68" s="2"/>
      <c r="R68" s="19">
        <f t="shared" si="58"/>
        <v>5.3736141144939513E-2</v>
      </c>
      <c r="S68" s="2"/>
      <c r="T68" s="2">
        <f>--18686.21</f>
        <v>18686.21</v>
      </c>
      <c r="U68" s="2"/>
      <c r="V68" s="19">
        <f t="shared" si="59"/>
        <v>8.7184710159120812E-2</v>
      </c>
      <c r="W68" s="2"/>
      <c r="X68" s="2">
        <f t="shared" si="60"/>
        <v>-10234.039999999999</v>
      </c>
      <c r="Y68" s="2"/>
      <c r="Z68" s="19">
        <f t="shared" si="61"/>
        <v>-0.54767874277341422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1">
        <f>+D22-D24+D67</f>
        <v>-693.3</v>
      </c>
      <c r="E70" s="14"/>
      <c r="F70" s="20">
        <f>IF(D$12=0,0,D70/D$12)</f>
        <v>0</v>
      </c>
      <c r="G70" s="14"/>
      <c r="H70" s="21">
        <f>+H22-H24+H67</f>
        <v>-8940.9600000000082</v>
      </c>
      <c r="I70" s="14"/>
      <c r="J70" s="20">
        <f>IF(H$12=0,0,H70/H$12)</f>
        <v>-0.43232642072158883</v>
      </c>
      <c r="K70" s="16"/>
      <c r="L70" s="21">
        <f>+D70-H70</f>
        <v>8247.6600000000089</v>
      </c>
      <c r="M70" s="16"/>
      <c r="N70" s="20">
        <f>IF(H70=0,0,L70/H70)</f>
        <v>-0.92245799108820548</v>
      </c>
      <c r="O70" s="28"/>
      <c r="P70" s="21">
        <f>+P22-P24+P67</f>
        <v>32188.910000000018</v>
      </c>
      <c r="Q70" s="14"/>
      <c r="R70" s="20">
        <f>IF(P$12=0,0,P70/P$12)</f>
        <v>0.20464659502373425</v>
      </c>
      <c r="S70" s="14"/>
      <c r="T70" s="21">
        <f>+T22-T24+T67</f>
        <v>44314.309999999947</v>
      </c>
      <c r="U70" s="14"/>
      <c r="V70" s="20">
        <f>IF(T$12=0,0,T70/T$12)</f>
        <v>0.20675836744055773</v>
      </c>
      <c r="W70" s="16"/>
      <c r="X70" s="21">
        <f>+P70-T70</f>
        <v>-12125.399999999929</v>
      </c>
      <c r="Y70" s="16"/>
      <c r="Z70" s="20">
        <f>IF(T70=0,0,X70/T70)</f>
        <v>-0.2736226740301258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766.44</v>
      </c>
      <c r="E72" s="4"/>
      <c r="F72" s="12">
        <f>IF(D$12=0,0,D72/D$12)</f>
        <v>0</v>
      </c>
      <c r="G72" s="4"/>
      <c r="H72" s="4">
        <v>2161.98</v>
      </c>
      <c r="I72" s="4"/>
      <c r="J72" s="12">
        <f>IF(H$12=0,0,H72/H$12)</f>
        <v>0.10453923013542839</v>
      </c>
      <c r="K72" s="4"/>
      <c r="L72" s="4">
        <f>+D72-H72</f>
        <v>-1395.54</v>
      </c>
      <c r="M72" s="4"/>
      <c r="N72" s="12">
        <f>IF(H72=0,0,L72/H72)</f>
        <v>-0.64549163267005238</v>
      </c>
      <c r="O72" s="10"/>
      <c r="P72" s="4">
        <v>18625.62</v>
      </c>
      <c r="Q72" s="4"/>
      <c r="R72" s="12">
        <f>IF(P$12=0,0,P72/P$12)</f>
        <v>0.11841561932994819</v>
      </c>
      <c r="S72" s="4"/>
      <c r="T72" s="4">
        <v>22293.34</v>
      </c>
      <c r="U72" s="4"/>
      <c r="V72" s="12">
        <f>IF(T$12=0,0,T72/T$12)</f>
        <v>0.10401458542843811</v>
      </c>
      <c r="W72" s="4"/>
      <c r="X72" s="4">
        <f>+P72-T72</f>
        <v>-3667.7200000000012</v>
      </c>
      <c r="Y72" s="4"/>
      <c r="Z72" s="12">
        <f>IF(T72=0,0,X72/T72)</f>
        <v>-0.16452088381552524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5">
        <f>+D70-D72</f>
        <v>-1459.74</v>
      </c>
      <c r="E74" s="14"/>
      <c r="F74" s="32">
        <f>IF(D$12=0,0,D74/D$12)</f>
        <v>0</v>
      </c>
      <c r="G74" s="14"/>
      <c r="H74" s="35">
        <f>+H70-H72</f>
        <v>-11102.940000000008</v>
      </c>
      <c r="I74" s="14"/>
      <c r="J74" s="32">
        <f>IF(H$12=0,0,H74/H$12)</f>
        <v>-0.53686565085701721</v>
      </c>
      <c r="K74" s="16"/>
      <c r="L74" s="35">
        <f>D74-H74</f>
        <v>9643.200000000008</v>
      </c>
      <c r="M74" s="16"/>
      <c r="N74" s="32">
        <f>IF(H74=0,0,L74/H74)</f>
        <v>-0.86852671454587715</v>
      </c>
      <c r="O74" s="28"/>
      <c r="P74" s="35">
        <f>+P70-P72</f>
        <v>13563.290000000019</v>
      </c>
      <c r="Q74" s="14"/>
      <c r="R74" s="32">
        <f>IF(P$12=0,0,P74/P$12)</f>
        <v>8.6230975693786058E-2</v>
      </c>
      <c r="S74" s="14"/>
      <c r="T74" s="35">
        <f>+T70-T72</f>
        <v>22020.969999999947</v>
      </c>
      <c r="U74" s="14"/>
      <c r="V74" s="32">
        <f>IF(T$12=0,0,T74/T$12)</f>
        <v>0.10274378201211963</v>
      </c>
      <c r="W74" s="16"/>
      <c r="X74" s="35">
        <f>P74-T74</f>
        <v>-8457.6799999999275</v>
      </c>
      <c r="Y74" s="16"/>
      <c r="Z74" s="32">
        <f>IF(T74=0,0,X74/T74)</f>
        <v>-0.38407390773430727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6">
        <f>SUM(D74:D76)</f>
        <v>-1459.74</v>
      </c>
      <c r="E77" s="14"/>
      <c r="F77" s="33">
        <f>IF(D$12=0,0,D77/D$12)</f>
        <v>0</v>
      </c>
      <c r="G77" s="14"/>
      <c r="H77" s="36">
        <f>SUM(H74:H76)</f>
        <v>-11102.940000000008</v>
      </c>
      <c r="I77" s="14"/>
      <c r="J77" s="33">
        <f>IF(H$12=0,0,H77/H$12)</f>
        <v>-0.53686565085701721</v>
      </c>
      <c r="K77" s="16"/>
      <c r="L77" s="36">
        <f>+D77-H77</f>
        <v>9643.200000000008</v>
      </c>
      <c r="M77" s="16"/>
      <c r="N77" s="33">
        <f>IF(H77=0,0,L77/H77)</f>
        <v>-0.86852671454587715</v>
      </c>
      <c r="O77" s="28"/>
      <c r="P77" s="36">
        <f>SUM(P74:P76)</f>
        <v>13563.290000000019</v>
      </c>
      <c r="Q77" s="14"/>
      <c r="R77" s="33">
        <f>IF(P$12=0,0,P77/P$12)</f>
        <v>8.6230975693786058E-2</v>
      </c>
      <c r="S77" s="14"/>
      <c r="T77" s="36">
        <f>SUM(T74:T76)</f>
        <v>22020.969999999947</v>
      </c>
      <c r="U77" s="14"/>
      <c r="V77" s="33">
        <f>IF(T$12=0,0,T77/T$12)</f>
        <v>0.10274378201211963</v>
      </c>
      <c r="W77" s="16"/>
      <c r="X77" s="36">
        <f>+P77-T77</f>
        <v>-8457.6799999999275</v>
      </c>
      <c r="Y77" s="16"/>
      <c r="Z77" s="33">
        <f>IF(T77=0,0,X77/T77)</f>
        <v>-0.38407390773430727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5">
        <v>43992.376039467592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62" t="s">
        <v>313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53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87187.06</v>
      </c>
      <c r="I12" s="4"/>
      <c r="J12" s="12"/>
      <c r="K12" s="4"/>
      <c r="L12" s="4">
        <f t="shared" ref="L12:L17" si="0">+D12-H12</f>
        <v>-87187.06</v>
      </c>
      <c r="M12" s="4"/>
      <c r="N12" s="12">
        <f t="shared" ref="N12:N17" si="1">IF(H12=0,0,L12/H12)</f>
        <v>-1</v>
      </c>
      <c r="O12" s="10"/>
      <c r="P12" s="4">
        <f>SUM(OSRRefP13x_0)</f>
        <v>392328.46</v>
      </c>
      <c r="Q12" s="4"/>
      <c r="R12" s="12"/>
      <c r="S12" s="4"/>
      <c r="T12" s="4">
        <f>SUM(OSRRefT13x_0)</f>
        <v>699592.12</v>
      </c>
      <c r="U12" s="4"/>
      <c r="V12" s="12"/>
      <c r="W12" s="4"/>
      <c r="X12" s="4">
        <f t="shared" ref="X12:X17" si="2">+P12-T12</f>
        <v>-307263.65999999997</v>
      </c>
      <c r="Y12" s="4"/>
      <c r="Z12" s="12">
        <f t="shared" ref="Z12:Z17" si="3">IF(T12=0,0,X12/T12)</f>
        <v>-0.439204003612848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7" si="4">0</f>
        <v>0</v>
      </c>
      <c r="E13" s="2"/>
      <c r="F13" s="19"/>
      <c r="G13" s="2"/>
      <c r="H13" s="2">
        <f>--32537.55</f>
        <v>32537.55</v>
      </c>
      <c r="I13" s="2"/>
      <c r="J13" s="19"/>
      <c r="K13" s="2"/>
      <c r="L13" s="2">
        <f t="shared" si="0"/>
        <v>-32537.55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--33241.92</f>
        <v>33241.919999999998</v>
      </c>
      <c r="U13" s="2"/>
      <c r="V13" s="19"/>
      <c r="W13" s="2"/>
      <c r="X13" s="2">
        <f t="shared" si="2"/>
        <v>-33241.919999999998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>
        <f>--50065.13</f>
        <v>50065.13</v>
      </c>
      <c r="I14" s="2"/>
      <c r="J14" s="19"/>
      <c r="K14" s="2"/>
      <c r="L14" s="2">
        <f t="shared" si="0"/>
        <v>-50065.13</v>
      </c>
      <c r="M14" s="2"/>
      <c r="N14" s="19">
        <f t="shared" si="1"/>
        <v>-1</v>
      </c>
      <c r="O14" s="11"/>
      <c r="P14" s="2">
        <f>--296449.41</f>
        <v>296449.40999999997</v>
      </c>
      <c r="Q14" s="2"/>
      <c r="R14" s="19"/>
      <c r="S14" s="2"/>
      <c r="T14" s="2">
        <f>--554683.11</f>
        <v>554683.11</v>
      </c>
      <c r="U14" s="2"/>
      <c r="V14" s="19"/>
      <c r="W14" s="2"/>
      <c r="X14" s="2">
        <f t="shared" si="2"/>
        <v>-258233.7</v>
      </c>
      <c r="Y14" s="2"/>
      <c r="Z14" s="19">
        <f t="shared" si="3"/>
        <v>-0.46555176342037891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--4584.38</f>
        <v>4584.38</v>
      </c>
      <c r="I15" s="2"/>
      <c r="J15" s="19"/>
      <c r="K15" s="2"/>
      <c r="L15" s="2">
        <f t="shared" si="0"/>
        <v>-4584.38</v>
      </c>
      <c r="M15" s="2"/>
      <c r="N15" s="19">
        <f t="shared" si="1"/>
        <v>-1</v>
      </c>
      <c r="O15" s="11"/>
      <c r="P15" s="2">
        <f>--95481.76</f>
        <v>95481.76</v>
      </c>
      <c r="Q15" s="2"/>
      <c r="R15" s="19"/>
      <c r="S15" s="2"/>
      <c r="T15" s="2">
        <f>--111137.42</f>
        <v>111137.42</v>
      </c>
      <c r="U15" s="2"/>
      <c r="V15" s="19"/>
      <c r="W15" s="2"/>
      <c r="X15" s="2">
        <f t="shared" si="2"/>
        <v>-15655.660000000003</v>
      </c>
      <c r="Y15" s="2"/>
      <c r="Z15" s="19">
        <f t="shared" si="3"/>
        <v>-0.14086758537313537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--0.08</f>
        <v>0.08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-396.75</v>
      </c>
      <c r="Y16" s="2"/>
      <c r="Z16" s="19">
        <f t="shared" si="3"/>
        <v>-0.9997984023385329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--397.21</f>
        <v>397.21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264.37</v>
      </c>
      <c r="Y17" s="2"/>
      <c r="Z17" s="19">
        <f t="shared" si="3"/>
        <v>1.9901385124962361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13078.009999999998</v>
      </c>
      <c r="I19" s="4"/>
      <c r="J19" s="12">
        <f t="shared" ref="J19:J21" si="7">IF(H$12=0,0,H19/H$12)</f>
        <v>0.14999943798999529</v>
      </c>
      <c r="K19" s="4"/>
      <c r="L19" s="4">
        <f t="shared" ref="L19:L21" si="8">+D19-H19</f>
        <v>-13078.009999999998</v>
      </c>
      <c r="M19" s="4"/>
      <c r="N19" s="12">
        <f t="shared" ref="N19:N21" si="9">IF(H19=0,0,L19/H19)</f>
        <v>-1</v>
      </c>
      <c r="O19" s="10"/>
      <c r="P19" s="4">
        <f>SUM(OSRRefP16x_0)</f>
        <v>141393.09</v>
      </c>
      <c r="Q19" s="4"/>
      <c r="R19" s="12">
        <f t="shared" ref="R19:R21" si="10">IF(P$12=0,0,P19/P$12)</f>
        <v>0.36039468051846146</v>
      </c>
      <c r="S19" s="4"/>
      <c r="T19" s="4">
        <f>SUM(OSRRefT16x_0)</f>
        <v>159653.65</v>
      </c>
      <c r="U19" s="4"/>
      <c r="V19" s="12">
        <f t="shared" ref="V19:V21" si="11">IF(T$12=0,0,T19/T$12)</f>
        <v>0.22820961734103007</v>
      </c>
      <c r="W19" s="4"/>
      <c r="X19" s="4">
        <f t="shared" ref="X19:X21" si="12">+P19-T19</f>
        <v>-18260.559999999998</v>
      </c>
      <c r="Y19" s="4"/>
      <c r="Z19" s="12">
        <f t="shared" ref="Z19:Z21" si="13">IF(T19=0,0,X19/T19)</f>
        <v>-0.11437608848905113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25978.01</v>
      </c>
      <c r="I20" s="2"/>
      <c r="J20" s="19">
        <f t="shared" si="7"/>
        <v>0.29795717392007481</v>
      </c>
      <c r="K20" s="2"/>
      <c r="L20" s="2">
        <f t="shared" si="8"/>
        <v>-25978.01</v>
      </c>
      <c r="M20" s="2"/>
      <c r="N20" s="19">
        <f t="shared" si="9"/>
        <v>-1</v>
      </c>
      <c r="O20" s="11"/>
      <c r="P20" s="2">
        <v>115476.09</v>
      </c>
      <c r="Q20" s="2"/>
      <c r="R20" s="19">
        <f t="shared" si="10"/>
        <v>0.29433523634762565</v>
      </c>
      <c r="S20" s="2"/>
      <c r="T20" s="2">
        <v>190858.35</v>
      </c>
      <c r="U20" s="2"/>
      <c r="V20" s="19">
        <f t="shared" si="11"/>
        <v>0.27281375038929828</v>
      </c>
      <c r="W20" s="2"/>
      <c r="X20" s="2">
        <f t="shared" si="12"/>
        <v>-75382.260000000009</v>
      </c>
      <c r="Y20" s="2"/>
      <c r="Z20" s="19">
        <f t="shared" si="13"/>
        <v>-0.394964433046812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-12900</v>
      </c>
      <c r="I21" s="2"/>
      <c r="J21" s="19">
        <f t="shared" si="7"/>
        <v>-0.14795773593007955</v>
      </c>
      <c r="K21" s="2"/>
      <c r="L21" s="2">
        <f t="shared" si="8"/>
        <v>12900</v>
      </c>
      <c r="M21" s="2"/>
      <c r="N21" s="19">
        <f t="shared" si="9"/>
        <v>-1</v>
      </c>
      <c r="O21" s="11"/>
      <c r="P21" s="2">
        <v>25917</v>
      </c>
      <c r="Q21" s="2"/>
      <c r="R21" s="19">
        <f t="shared" si="10"/>
        <v>6.6059444170835827E-2</v>
      </c>
      <c r="S21" s="2"/>
      <c r="T21" s="2">
        <v>-31204.700000000004</v>
      </c>
      <c r="U21" s="2"/>
      <c r="V21" s="19">
        <f t="shared" si="11"/>
        <v>-4.4604133048268192E-2</v>
      </c>
      <c r="W21" s="2"/>
      <c r="X21" s="2">
        <f t="shared" si="12"/>
        <v>57121.700000000004</v>
      </c>
      <c r="Y21" s="2"/>
      <c r="Z21" s="19">
        <f t="shared" si="13"/>
        <v>-1.830547962326188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D12-D19</f>
        <v>0</v>
      </c>
      <c r="E23" s="14"/>
      <c r="F23" s="20">
        <f>IF(D$12=0,0,D23/D$12)</f>
        <v>0</v>
      </c>
      <c r="G23" s="14"/>
      <c r="H23" s="21">
        <f>H12-H19</f>
        <v>74109.05</v>
      </c>
      <c r="I23" s="14"/>
      <c r="J23" s="20">
        <f>IF(H$12=0,0,H23/H$12)</f>
        <v>0.85000056201000473</v>
      </c>
      <c r="K23" s="16"/>
      <c r="L23" s="21">
        <f>+D23-H23</f>
        <v>-74109.05</v>
      </c>
      <c r="M23" s="16"/>
      <c r="N23" s="20">
        <f>IF(H23=0,0,L23/H23)</f>
        <v>-1</v>
      </c>
      <c r="O23" s="28"/>
      <c r="P23" s="21">
        <f>P12-P19</f>
        <v>250935.37000000002</v>
      </c>
      <c r="Q23" s="14"/>
      <c r="R23" s="20">
        <f>IF(P$12=0,0,P23/P$12)</f>
        <v>0.63960531948153854</v>
      </c>
      <c r="S23" s="14"/>
      <c r="T23" s="21">
        <f>T12-T19</f>
        <v>539938.47</v>
      </c>
      <c r="U23" s="14"/>
      <c r="V23" s="20">
        <f>IF(T$12=0,0,T23/T$12)</f>
        <v>0.77179038265896993</v>
      </c>
      <c r="W23" s="16"/>
      <c r="X23" s="21">
        <f>+P23-T23</f>
        <v>-289003.09999999998</v>
      </c>
      <c r="Y23" s="16"/>
      <c r="Z23" s="20">
        <f>IF(T23=0,0,X23/T23)</f>
        <v>-0.53525191490800794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6716.6200000000008</v>
      </c>
      <c r="E25" s="22"/>
      <c r="F25" s="31">
        <f t="shared" ref="F25:F35" si="14">IF(D$12=0,0,D25/D$12)</f>
        <v>0</v>
      </c>
      <c r="G25" s="22"/>
      <c r="H25" s="22">
        <f>SUM(OSRRefH22x_0)</f>
        <v>117294.78</v>
      </c>
      <c r="I25" s="22"/>
      <c r="J25" s="31">
        <f t="shared" ref="J25:J35" si="15">IF(H$12=0,0,H25/H$12)</f>
        <v>1.345323262419905</v>
      </c>
      <c r="K25" s="4"/>
      <c r="L25" s="22">
        <f t="shared" ref="L25:L35" si="16">+D25-H25</f>
        <v>-110578.16</v>
      </c>
      <c r="M25" s="4"/>
      <c r="N25" s="31">
        <f t="shared" ref="N25:N35" si="17">IF(H25=0,0,L25/H25)</f>
        <v>-0.94273726418174797</v>
      </c>
      <c r="O25" s="10"/>
      <c r="P25" s="22">
        <f>SUM(OSRRefP22x_0)</f>
        <v>331022.89999999997</v>
      </c>
      <c r="Q25" s="22"/>
      <c r="R25" s="31">
        <f t="shared" ref="R25:R35" si="18">IF(P$12=0,0,P25/P$12)</f>
        <v>0.84373919750812865</v>
      </c>
      <c r="S25" s="22"/>
      <c r="T25" s="22">
        <f>SUM(OSRRefT22x_0)</f>
        <v>481908.37</v>
      </c>
      <c r="U25" s="22"/>
      <c r="V25" s="31">
        <f t="shared" ref="V25:V35" si="19">IF(T$12=0,0,T25/T$12)</f>
        <v>0.68884190690998637</v>
      </c>
      <c r="W25" s="4"/>
      <c r="X25" s="22">
        <f t="shared" ref="X25:X35" si="20">+P25-T25</f>
        <v>-150885.47000000003</v>
      </c>
      <c r="Y25" s="4"/>
      <c r="Z25" s="31">
        <f t="shared" ref="Z25:Z35" si="21">IF(T25=0,0,X25/T25)</f>
        <v>-0.31309991565409007</v>
      </c>
    </row>
    <row r="26" spans="1:26" s="27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2070.2800000000002</v>
      </c>
      <c r="E26" s="1"/>
      <c r="F26" s="5">
        <f t="shared" si="14"/>
        <v>0</v>
      </c>
      <c r="G26" s="1"/>
      <c r="H26" s="1">
        <f>SUM(OSRRefH22_0x_0)</f>
        <v>4789.17</v>
      </c>
      <c r="I26" s="1"/>
      <c r="J26" s="5">
        <f t="shared" si="15"/>
        <v>5.4929825595678994E-2</v>
      </c>
      <c r="K26" s="1"/>
      <c r="L26" s="1">
        <f t="shared" si="16"/>
        <v>-2718.89</v>
      </c>
      <c r="M26" s="1"/>
      <c r="N26" s="5">
        <f t="shared" si="17"/>
        <v>-0.56771632662862248</v>
      </c>
      <c r="O26" s="13"/>
      <c r="P26" s="1">
        <f>SUM(OSRRefP22_0x_0)</f>
        <v>36436.340000000004</v>
      </c>
      <c r="Q26" s="1"/>
      <c r="R26" s="5">
        <f t="shared" si="18"/>
        <v>9.2872028707782259E-2</v>
      </c>
      <c r="S26" s="1"/>
      <c r="T26" s="1">
        <f>SUM(OSRRefT22_0x_0)</f>
        <v>31221.489999999998</v>
      </c>
      <c r="U26" s="1"/>
      <c r="V26" s="5">
        <f t="shared" si="19"/>
        <v>4.4628132746835393E-2</v>
      </c>
      <c r="W26" s="1"/>
      <c r="X26" s="1">
        <f t="shared" si="20"/>
        <v>5214.8500000000058</v>
      </c>
      <c r="Y26" s="1"/>
      <c r="Z26" s="5">
        <f t="shared" si="21"/>
        <v>0.16702758260416162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341.58</v>
      </c>
      <c r="E27" s="2"/>
      <c r="F27" s="7">
        <f t="shared" si="14"/>
        <v>0</v>
      </c>
      <c r="G27" s="2"/>
      <c r="H27" s="6">
        <v>2268.37</v>
      </c>
      <c r="I27" s="2"/>
      <c r="J27" s="7">
        <f t="shared" si="15"/>
        <v>2.6017278252070893E-2</v>
      </c>
      <c r="K27" s="2"/>
      <c r="L27" s="6">
        <f t="shared" si="16"/>
        <v>-1926.79</v>
      </c>
      <c r="M27" s="2"/>
      <c r="N27" s="7">
        <f t="shared" si="17"/>
        <v>-0.84941610054797057</v>
      </c>
      <c r="O27" s="11"/>
      <c r="P27" s="6">
        <v>8322.7900000000009</v>
      </c>
      <c r="Q27" s="2"/>
      <c r="R27" s="7">
        <f t="shared" si="18"/>
        <v>2.121383189993405E-2</v>
      </c>
      <c r="S27" s="2"/>
      <c r="T27" s="6">
        <v>9807.64</v>
      </c>
      <c r="U27" s="2"/>
      <c r="V27" s="7">
        <f t="shared" si="19"/>
        <v>1.4019083005108747E-2</v>
      </c>
      <c r="W27" s="2"/>
      <c r="X27" s="6">
        <f t="shared" si="20"/>
        <v>-1484.8499999999985</v>
      </c>
      <c r="Y27" s="2"/>
      <c r="Z27" s="7">
        <f t="shared" si="21"/>
        <v>-0.15139727804038469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259.88</v>
      </c>
      <c r="E28" s="2"/>
      <c r="F28" s="7">
        <f t="shared" si="14"/>
        <v>0</v>
      </c>
      <c r="G28" s="2"/>
      <c r="H28" s="6">
        <v>745.64</v>
      </c>
      <c r="I28" s="2"/>
      <c r="J28" s="7">
        <f t="shared" si="15"/>
        <v>8.5521865285972491E-3</v>
      </c>
      <c r="K28" s="2"/>
      <c r="L28" s="6">
        <f t="shared" si="16"/>
        <v>-485.76</v>
      </c>
      <c r="M28" s="2"/>
      <c r="N28" s="7">
        <f t="shared" si="17"/>
        <v>-0.65146719596588165</v>
      </c>
      <c r="O28" s="11"/>
      <c r="P28" s="6">
        <v>6577.47</v>
      </c>
      <c r="Q28" s="2"/>
      <c r="R28" s="7">
        <f t="shared" si="18"/>
        <v>1.676521249567263E-2</v>
      </c>
      <c r="S28" s="2"/>
      <c r="T28" s="6">
        <v>6261.3</v>
      </c>
      <c r="U28" s="2"/>
      <c r="V28" s="7">
        <f t="shared" si="19"/>
        <v>8.9499292816505715E-3</v>
      </c>
      <c r="W28" s="2"/>
      <c r="X28" s="6">
        <f t="shared" si="20"/>
        <v>316.17000000000007</v>
      </c>
      <c r="Y28" s="2"/>
      <c r="Z28" s="7">
        <f t="shared" si="21"/>
        <v>5.0495903406640806E-2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699.3</v>
      </c>
      <c r="E29" s="2"/>
      <c r="F29" s="7">
        <f t="shared" si="14"/>
        <v>0</v>
      </c>
      <c r="G29" s="2"/>
      <c r="H29" s="6">
        <v>698.2</v>
      </c>
      <c r="I29" s="2"/>
      <c r="J29" s="7">
        <f t="shared" si="15"/>
        <v>8.0080690873163985E-3</v>
      </c>
      <c r="K29" s="2"/>
      <c r="L29" s="6">
        <f t="shared" si="16"/>
        <v>1.0999999999999091</v>
      </c>
      <c r="M29" s="2"/>
      <c r="N29" s="7">
        <f t="shared" si="17"/>
        <v>1.5754798052132755E-3</v>
      </c>
      <c r="O29" s="11"/>
      <c r="P29" s="6">
        <v>9074.1299999999992</v>
      </c>
      <c r="Q29" s="2"/>
      <c r="R29" s="7">
        <f t="shared" si="18"/>
        <v>2.3128910913065036E-2</v>
      </c>
      <c r="S29" s="2"/>
      <c r="T29" s="6">
        <v>10383.35</v>
      </c>
      <c r="U29" s="2"/>
      <c r="V29" s="7">
        <f t="shared" si="19"/>
        <v>1.4842005367356054E-2</v>
      </c>
      <c r="W29" s="2"/>
      <c r="X29" s="6">
        <f t="shared" si="20"/>
        <v>-1309.2200000000012</v>
      </c>
      <c r="Y29" s="2"/>
      <c r="Z29" s="7">
        <f t="shared" si="21"/>
        <v>-0.12608840114221337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17.41</v>
      </c>
      <c r="E30" s="2"/>
      <c r="F30" s="7">
        <f t="shared" si="14"/>
        <v>0</v>
      </c>
      <c r="G30" s="2"/>
      <c r="H30" s="6">
        <v>55.39</v>
      </c>
      <c r="I30" s="2"/>
      <c r="J30" s="7">
        <f t="shared" si="15"/>
        <v>6.353006971447369E-4</v>
      </c>
      <c r="K30" s="2"/>
      <c r="L30" s="6">
        <f t="shared" si="16"/>
        <v>-37.980000000000004</v>
      </c>
      <c r="M30" s="2"/>
      <c r="N30" s="7">
        <f t="shared" si="17"/>
        <v>-0.68568333634230016</v>
      </c>
      <c r="O30" s="11"/>
      <c r="P30" s="6">
        <v>514.21</v>
      </c>
      <c r="Q30" s="2"/>
      <c r="R30" s="7">
        <f t="shared" si="18"/>
        <v>1.3106619897011805E-3</v>
      </c>
      <c r="S30" s="2"/>
      <c r="T30" s="6">
        <v>503.73</v>
      </c>
      <c r="U30" s="2"/>
      <c r="V30" s="7">
        <f t="shared" si="19"/>
        <v>7.2003383914615851E-4</v>
      </c>
      <c r="W30" s="2"/>
      <c r="X30" s="6">
        <f t="shared" si="20"/>
        <v>10.480000000000018</v>
      </c>
      <c r="Y30" s="2"/>
      <c r="Z30" s="7">
        <f t="shared" si="21"/>
        <v>2.0804796220197364E-2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4"/>
        <v>0</v>
      </c>
      <c r="G31" s="2"/>
      <c r="H31" s="6">
        <v>305.26</v>
      </c>
      <c r="I31" s="2"/>
      <c r="J31" s="7">
        <f t="shared" si="15"/>
        <v>3.5012076333345798E-3</v>
      </c>
      <c r="K31" s="2"/>
      <c r="L31" s="6">
        <f t="shared" si="16"/>
        <v>15.730000000000018</v>
      </c>
      <c r="M31" s="2"/>
      <c r="N31" s="7">
        <f t="shared" si="17"/>
        <v>5.1529843412173287E-2</v>
      </c>
      <c r="O31" s="11"/>
      <c r="P31" s="6">
        <v>3691.38</v>
      </c>
      <c r="Q31" s="2"/>
      <c r="R31" s="7">
        <f t="shared" si="18"/>
        <v>9.408901918560789E-3</v>
      </c>
      <c r="S31" s="2"/>
      <c r="T31" s="6">
        <v>3985.02</v>
      </c>
      <c r="U31" s="2"/>
      <c r="V31" s="7">
        <f t="shared" si="19"/>
        <v>5.6962048114549951E-3</v>
      </c>
      <c r="W31" s="2"/>
      <c r="X31" s="6">
        <f t="shared" si="20"/>
        <v>-293.63999999999987</v>
      </c>
      <c r="Y31" s="2"/>
      <c r="Z31" s="7">
        <f t="shared" si="21"/>
        <v>-7.368595389734553E-2</v>
      </c>
    </row>
    <row r="32" spans="1:26" s="24" customFormat="1" hidden="1" outlineLevel="2" x14ac:dyDescent="0.25">
      <c r="A32" s="26"/>
      <c r="B32" s="11" t="str">
        <f>CONCATENATE("          ", "6117", " - ", "RETIREMENT STAFF HOURLY")</f>
        <v xml:space="preserve">          6117 - RETIREMENT STAFF HOURLY</v>
      </c>
      <c r="C32" s="11"/>
      <c r="D32" s="6"/>
      <c r="E32" s="2"/>
      <c r="F32" s="7">
        <f t="shared" si="14"/>
        <v>0</v>
      </c>
      <c r="G32" s="2"/>
      <c r="H32" s="6"/>
      <c r="I32" s="2"/>
      <c r="J32" s="7">
        <f t="shared" si="15"/>
        <v>0</v>
      </c>
      <c r="K32" s="2"/>
      <c r="L32" s="6">
        <f t="shared" si="16"/>
        <v>0</v>
      </c>
      <c r="M32" s="2"/>
      <c r="N32" s="7">
        <f t="shared" si="17"/>
        <v>0</v>
      </c>
      <c r="O32" s="11"/>
      <c r="P32" s="6">
        <v>764.45</v>
      </c>
      <c r="Q32" s="2"/>
      <c r="R32" s="7">
        <f t="shared" si="18"/>
        <v>1.9484948912449533E-3</v>
      </c>
      <c r="S32" s="2"/>
      <c r="T32" s="6"/>
      <c r="U32" s="2"/>
      <c r="V32" s="7">
        <f t="shared" si="19"/>
        <v>0</v>
      </c>
      <c r="W32" s="2"/>
      <c r="X32" s="6">
        <f t="shared" si="20"/>
        <v>764.45</v>
      </c>
      <c r="Y32" s="2"/>
      <c r="Z32" s="7">
        <f t="shared" si="21"/>
        <v>0</v>
      </c>
    </row>
    <row r="33" spans="1:26" s="24" customFormat="1" hidden="1" outlineLevel="2" x14ac:dyDescent="0.25">
      <c r="A33" s="26"/>
      <c r="B33" s="11" t="str">
        <f>CONCATENATE("          ", "6118", " - ", "VACATION")</f>
        <v xml:space="preserve">          6118 - VACATION</v>
      </c>
      <c r="C33" s="11"/>
      <c r="D33" s="6">
        <v>176.92</v>
      </c>
      <c r="E33" s="2"/>
      <c r="F33" s="7">
        <f t="shared" si="14"/>
        <v>0</v>
      </c>
      <c r="G33" s="2"/>
      <c r="H33" s="6">
        <v>257.64</v>
      </c>
      <c r="I33" s="2"/>
      <c r="J33" s="7">
        <f t="shared" si="15"/>
        <v>2.9550256655058674E-3</v>
      </c>
      <c r="K33" s="2"/>
      <c r="L33" s="6">
        <f t="shared" si="16"/>
        <v>-80.72</v>
      </c>
      <c r="M33" s="2"/>
      <c r="N33" s="7">
        <f t="shared" si="17"/>
        <v>-0.31330538736221086</v>
      </c>
      <c r="O33" s="11"/>
      <c r="P33" s="6">
        <v>2639.06</v>
      </c>
      <c r="Q33" s="2"/>
      <c r="R33" s="7">
        <f t="shared" si="18"/>
        <v>6.7266595953808699E-3</v>
      </c>
      <c r="S33" s="2"/>
      <c r="T33" s="6">
        <v>2685.79</v>
      </c>
      <c r="U33" s="2"/>
      <c r="V33" s="7">
        <f t="shared" si="19"/>
        <v>3.8390798341182003E-3</v>
      </c>
      <c r="W33" s="2"/>
      <c r="X33" s="6">
        <f t="shared" si="20"/>
        <v>-46.730000000000018</v>
      </c>
      <c r="Y33" s="2"/>
      <c r="Z33" s="7">
        <f t="shared" si="21"/>
        <v>-1.7398977582014981E-2</v>
      </c>
    </row>
    <row r="34" spans="1:26" s="24" customFormat="1" hidden="1" outlineLevel="2" x14ac:dyDescent="0.25">
      <c r="A34" s="26"/>
      <c r="B34" s="11" t="str">
        <f>CONCATENATE("          ", "6119", " - ", "SICK LEAVE")</f>
        <v xml:space="preserve">          6119 - SICK LEAVE</v>
      </c>
      <c r="C34" s="11"/>
      <c r="D34" s="6">
        <v>211.96</v>
      </c>
      <c r="E34" s="2"/>
      <c r="F34" s="7">
        <f t="shared" si="14"/>
        <v>0</v>
      </c>
      <c r="G34" s="2"/>
      <c r="H34" s="6">
        <v>308.67</v>
      </c>
      <c r="I34" s="2"/>
      <c r="J34" s="7">
        <f t="shared" si="15"/>
        <v>3.5403189418246241E-3</v>
      </c>
      <c r="K34" s="2"/>
      <c r="L34" s="6">
        <f t="shared" si="16"/>
        <v>-96.710000000000008</v>
      </c>
      <c r="M34" s="2"/>
      <c r="N34" s="7">
        <f t="shared" si="17"/>
        <v>-0.31331195127482425</v>
      </c>
      <c r="O34" s="11"/>
      <c r="P34" s="6">
        <v>2849.39</v>
      </c>
      <c r="Q34" s="2"/>
      <c r="R34" s="7">
        <f t="shared" si="18"/>
        <v>7.2627665094701513E-3</v>
      </c>
      <c r="S34" s="2"/>
      <c r="T34" s="6">
        <v>-3991.51</v>
      </c>
      <c r="U34" s="2"/>
      <c r="V34" s="7">
        <f t="shared" si="19"/>
        <v>-5.7054816455050983E-3</v>
      </c>
      <c r="W34" s="2"/>
      <c r="X34" s="6">
        <f t="shared" si="20"/>
        <v>6840.9</v>
      </c>
      <c r="Y34" s="2"/>
      <c r="Z34" s="7">
        <f t="shared" si="21"/>
        <v>-1.7138626735245557</v>
      </c>
    </row>
    <row r="35" spans="1:26" s="24" customFormat="1" hidden="1" outlineLevel="2" x14ac:dyDescent="0.25">
      <c r="A35" s="26"/>
      <c r="B35" s="11" t="str">
        <f>CONCATENATE("          ", "6156", " - ", "EMPLOYEE MEALS")</f>
        <v xml:space="preserve">          6156 - EMPLOYEE MEALS</v>
      </c>
      <c r="C35" s="11"/>
      <c r="D35" s="6">
        <v>42.24</v>
      </c>
      <c r="E35" s="2"/>
      <c r="F35" s="7">
        <f t="shared" si="14"/>
        <v>0</v>
      </c>
      <c r="G35" s="2"/>
      <c r="H35" s="6">
        <v>150</v>
      </c>
      <c r="I35" s="2"/>
      <c r="J35" s="7">
        <f t="shared" si="15"/>
        <v>1.7204387898846457E-3</v>
      </c>
      <c r="K35" s="2"/>
      <c r="L35" s="6">
        <f t="shared" si="16"/>
        <v>-107.75999999999999</v>
      </c>
      <c r="M35" s="2"/>
      <c r="N35" s="7">
        <f t="shared" si="17"/>
        <v>-0.71839999999999993</v>
      </c>
      <c r="O35" s="11"/>
      <c r="P35" s="6">
        <v>2003.46</v>
      </c>
      <c r="Q35" s="2"/>
      <c r="R35" s="7">
        <f t="shared" si="18"/>
        <v>5.1065884947525857E-3</v>
      </c>
      <c r="S35" s="2"/>
      <c r="T35" s="6">
        <v>1586.17</v>
      </c>
      <c r="U35" s="2"/>
      <c r="V35" s="7">
        <f t="shared" si="19"/>
        <v>2.2672782535057712E-3</v>
      </c>
      <c r="W35" s="2"/>
      <c r="X35" s="6">
        <f t="shared" si="20"/>
        <v>417.28999999999996</v>
      </c>
      <c r="Y35" s="2"/>
      <c r="Z35" s="7">
        <f t="shared" si="21"/>
        <v>0.26308024991016093</v>
      </c>
    </row>
    <row r="36" spans="1:26" s="27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4135.84</v>
      </c>
      <c r="E36" s="1"/>
      <c r="F36" s="5">
        <f t="shared" ref="F36:F42" si="22">IF(D$12=0,0,D36/D$12)</f>
        <v>0</v>
      </c>
      <c r="G36" s="1"/>
      <c r="H36" s="1">
        <f>SUM(OSRRefH22_1x_0)</f>
        <v>29959.97</v>
      </c>
      <c r="I36" s="1"/>
      <c r="J36" s="5">
        <f t="shared" ref="J36:J42" si="23">IF(H$12=0,0,H36/H$12)</f>
        <v>0.34362863021186862</v>
      </c>
      <c r="K36" s="1"/>
      <c r="L36" s="1">
        <f t="shared" ref="L36:L42" si="24">+D36-H36</f>
        <v>-25824.13</v>
      </c>
      <c r="M36" s="1"/>
      <c r="N36" s="5">
        <f t="shared" ref="N36:N42" si="25">IF(H36=0,0,L36/H36)</f>
        <v>-0.86195446791168351</v>
      </c>
      <c r="O36" s="13"/>
      <c r="P36" s="1">
        <f>SUM(OSRRefP22_1x_0)</f>
        <v>152658.64000000001</v>
      </c>
      <c r="Q36" s="1"/>
      <c r="R36" s="5">
        <f t="shared" ref="R36:R42" si="26">IF(P$12=0,0,P36/P$12)</f>
        <v>0.38910926829014647</v>
      </c>
      <c r="S36" s="1"/>
      <c r="T36" s="1">
        <f>SUM(OSRRefT22_1x_0)</f>
        <v>189520.71000000002</v>
      </c>
      <c r="U36" s="1"/>
      <c r="V36" s="5">
        <f t="shared" ref="V36:V42" si="27">IF(T$12=0,0,T36/T$12)</f>
        <v>0.27090172199195156</v>
      </c>
      <c r="W36" s="1"/>
      <c r="X36" s="1">
        <f t="shared" ref="X36:X42" si="28">+P36-T36</f>
        <v>-36862.070000000007</v>
      </c>
      <c r="Y36" s="1"/>
      <c r="Z36" s="5">
        <f t="shared" ref="Z36:Z42" si="29">IF(T36=0,0,X36/T36)</f>
        <v>-0.19450154022745061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>
        <v>4135.84</v>
      </c>
      <c r="E37" s="2"/>
      <c r="F37" s="7">
        <f t="shared" si="22"/>
        <v>0</v>
      </c>
      <c r="G37" s="2"/>
      <c r="H37" s="6">
        <v>5577.31</v>
      </c>
      <c r="I37" s="2"/>
      <c r="J37" s="7">
        <f t="shared" si="23"/>
        <v>6.3969469781410229E-2</v>
      </c>
      <c r="K37" s="2"/>
      <c r="L37" s="6">
        <f t="shared" si="24"/>
        <v>-1441.4700000000003</v>
      </c>
      <c r="M37" s="2"/>
      <c r="N37" s="7">
        <f t="shared" si="25"/>
        <v>-0.25845255149884089</v>
      </c>
      <c r="O37" s="11"/>
      <c r="P37" s="6">
        <v>50319.4</v>
      </c>
      <c r="Q37" s="2"/>
      <c r="R37" s="7">
        <f t="shared" si="26"/>
        <v>0.12825834761006122</v>
      </c>
      <c r="S37" s="2"/>
      <c r="T37" s="6">
        <v>54877.4</v>
      </c>
      <c r="U37" s="2"/>
      <c r="V37" s="7">
        <f t="shared" si="27"/>
        <v>7.8441992742857083E-2</v>
      </c>
      <c r="W37" s="2"/>
      <c r="X37" s="6">
        <f t="shared" si="28"/>
        <v>-4558</v>
      </c>
      <c r="Y37" s="2"/>
      <c r="Z37" s="7">
        <f t="shared" si="29"/>
        <v>-8.3057870817494994E-2</v>
      </c>
    </row>
    <row r="38" spans="1:26" s="24" customFormat="1" hidden="1" outlineLevel="2" x14ac:dyDescent="0.25">
      <c r="A38" s="26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2"/>
        <v>0</v>
      </c>
      <c r="G38" s="2"/>
      <c r="H38" s="6"/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>
        <v>12512.45</v>
      </c>
      <c r="Q38" s="2"/>
      <c r="R38" s="7">
        <f t="shared" si="26"/>
        <v>3.189279207529324E-2</v>
      </c>
      <c r="S38" s="2"/>
      <c r="T38" s="6">
        <v>138</v>
      </c>
      <c r="U38" s="2"/>
      <c r="V38" s="7">
        <f t="shared" si="27"/>
        <v>1.972577964428759E-4</v>
      </c>
      <c r="W38" s="2"/>
      <c r="X38" s="6">
        <f t="shared" si="28"/>
        <v>12374.45</v>
      </c>
      <c r="Y38" s="2"/>
      <c r="Z38" s="7">
        <f t="shared" si="29"/>
        <v>89.669927536231896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2"/>
        <v>0</v>
      </c>
      <c r="G39" s="2"/>
      <c r="H39" s="6">
        <v>11546.83</v>
      </c>
      <c r="I39" s="2"/>
      <c r="J39" s="7">
        <f t="shared" si="23"/>
        <v>0.13243742821469148</v>
      </c>
      <c r="K39" s="2"/>
      <c r="L39" s="6">
        <f t="shared" si="24"/>
        <v>-11546.83</v>
      </c>
      <c r="M39" s="2"/>
      <c r="N39" s="7">
        <f t="shared" si="25"/>
        <v>-1</v>
      </c>
      <c r="O39" s="11"/>
      <c r="P39" s="6">
        <v>32469.929999999997</v>
      </c>
      <c r="Q39" s="2"/>
      <c r="R39" s="7">
        <f t="shared" si="26"/>
        <v>8.2762107036537691E-2</v>
      </c>
      <c r="S39" s="2"/>
      <c r="T39" s="6">
        <v>52757.2</v>
      </c>
      <c r="U39" s="2"/>
      <c r="V39" s="7">
        <f t="shared" si="27"/>
        <v>7.5411369699247041E-2</v>
      </c>
      <c r="W39" s="2"/>
      <c r="X39" s="6">
        <f t="shared" si="28"/>
        <v>-20287.27</v>
      </c>
      <c r="Y39" s="2"/>
      <c r="Z39" s="7">
        <f t="shared" si="29"/>
        <v>-0.3845403091900253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2"/>
        <v>0</v>
      </c>
      <c r="G40" s="2"/>
      <c r="H40" s="6">
        <v>69</v>
      </c>
      <c r="I40" s="2"/>
      <c r="J40" s="7">
        <f t="shared" si="23"/>
        <v>7.9140184334693705E-4</v>
      </c>
      <c r="K40" s="2"/>
      <c r="L40" s="6">
        <f t="shared" si="24"/>
        <v>-69</v>
      </c>
      <c r="M40" s="2"/>
      <c r="N40" s="7">
        <f t="shared" si="25"/>
        <v>-1</v>
      </c>
      <c r="O40" s="11"/>
      <c r="P40" s="6">
        <v>303.38</v>
      </c>
      <c r="Q40" s="2"/>
      <c r="R40" s="7">
        <f t="shared" si="26"/>
        <v>7.7328063327345656E-4</v>
      </c>
      <c r="S40" s="2"/>
      <c r="T40" s="6">
        <v>303</v>
      </c>
      <c r="U40" s="2"/>
      <c r="V40" s="7">
        <f t="shared" si="27"/>
        <v>4.3310950958109704E-4</v>
      </c>
      <c r="W40" s="2"/>
      <c r="X40" s="6">
        <f t="shared" si="28"/>
        <v>0.37999999999999545</v>
      </c>
      <c r="Y40" s="2"/>
      <c r="Z40" s="7">
        <f t="shared" si="29"/>
        <v>1.254125412541239E-3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2"/>
        <v>0</v>
      </c>
      <c r="G41" s="2"/>
      <c r="H41" s="6">
        <v>11041.83</v>
      </c>
      <c r="I41" s="2"/>
      <c r="J41" s="7">
        <f t="shared" si="23"/>
        <v>0.12664528428874652</v>
      </c>
      <c r="K41" s="2"/>
      <c r="L41" s="6">
        <f t="shared" si="24"/>
        <v>-11041.83</v>
      </c>
      <c r="M41" s="2"/>
      <c r="N41" s="7">
        <f t="shared" si="25"/>
        <v>-1</v>
      </c>
      <c r="O41" s="11"/>
      <c r="P41" s="6">
        <v>49893.740000000005</v>
      </c>
      <c r="Q41" s="2"/>
      <c r="R41" s="7">
        <f t="shared" si="26"/>
        <v>0.12717338935849823</v>
      </c>
      <c r="S41" s="2"/>
      <c r="T41" s="6">
        <v>75860.41</v>
      </c>
      <c r="U41" s="2"/>
      <c r="V41" s="7">
        <f t="shared" si="27"/>
        <v>0.10843519792647179</v>
      </c>
      <c r="W41" s="2"/>
      <c r="X41" s="6">
        <f t="shared" si="28"/>
        <v>-25966.67</v>
      </c>
      <c r="Y41" s="2"/>
      <c r="Z41" s="7">
        <f t="shared" si="29"/>
        <v>-0.34229540810549269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2"/>
        <v>0</v>
      </c>
      <c r="G42" s="2"/>
      <c r="H42" s="6">
        <v>1725</v>
      </c>
      <c r="I42" s="2"/>
      <c r="J42" s="7">
        <f t="shared" si="23"/>
        <v>1.9785046083673426E-2</v>
      </c>
      <c r="K42" s="2"/>
      <c r="L42" s="6">
        <f t="shared" si="24"/>
        <v>-1725</v>
      </c>
      <c r="M42" s="2"/>
      <c r="N42" s="7">
        <f t="shared" si="25"/>
        <v>-1</v>
      </c>
      <c r="O42" s="11"/>
      <c r="P42" s="6">
        <v>7159.74</v>
      </c>
      <c r="Q42" s="2"/>
      <c r="R42" s="7">
        <f t="shared" si="26"/>
        <v>1.8249351576482623E-2</v>
      </c>
      <c r="S42" s="2"/>
      <c r="T42" s="6">
        <v>5584.7</v>
      </c>
      <c r="U42" s="2"/>
      <c r="V42" s="7">
        <f t="shared" si="27"/>
        <v>7.9827943173516585E-3</v>
      </c>
      <c r="W42" s="2"/>
      <c r="X42" s="6">
        <f t="shared" si="28"/>
        <v>1575.04</v>
      </c>
      <c r="Y42" s="2"/>
      <c r="Z42" s="7">
        <f t="shared" si="29"/>
        <v>0.28202768277615631</v>
      </c>
    </row>
    <row r="43" spans="1:26" s="27" customFormat="1" outlineLevel="1" collapsed="1" x14ac:dyDescent="0.25">
      <c r="A43" s="25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0</v>
      </c>
      <c r="E43" s="1"/>
      <c r="F43" s="5">
        <f t="shared" ref="F43:F60" si="30">IF(D$12=0,0,D43/D$12)</f>
        <v>0</v>
      </c>
      <c r="G43" s="1"/>
      <c r="H43" s="1">
        <f>SUM(OSRRefH22_2x_0)</f>
        <v>200.74</v>
      </c>
      <c r="I43" s="1"/>
      <c r="J43" s="5">
        <f t="shared" ref="J43:J60" si="31">IF(H$12=0,0,H43/H$12)</f>
        <v>2.3024058845429588E-3</v>
      </c>
      <c r="K43" s="1"/>
      <c r="L43" s="1">
        <f t="shared" ref="L43:L60" si="32">+D43-H43</f>
        <v>-200.74</v>
      </c>
      <c r="M43" s="1"/>
      <c r="N43" s="5">
        <f t="shared" ref="N43:N60" si="33">IF(H43=0,0,L43/H43)</f>
        <v>-1</v>
      </c>
      <c r="O43" s="13"/>
      <c r="P43" s="1">
        <f>SUM(OSRRefP22_2x_0)</f>
        <v>1868.45</v>
      </c>
      <c r="Q43" s="1"/>
      <c r="R43" s="5">
        <f t="shared" ref="R43:R60" si="34">IF(P$12=0,0,P43/P$12)</f>
        <v>4.7624635745263039E-3</v>
      </c>
      <c r="S43" s="1"/>
      <c r="T43" s="1">
        <f>SUM(OSRRefT22_2x_0)</f>
        <v>3027.46</v>
      </c>
      <c r="U43" s="1"/>
      <c r="V43" s="5">
        <f t="shared" ref="V43:V60" si="35">IF(T$12=0,0,T43/T$12)</f>
        <v>4.3274644088329645E-3</v>
      </c>
      <c r="W43" s="1"/>
      <c r="X43" s="1">
        <f t="shared" ref="X43:X60" si="36">+P43-T43</f>
        <v>-1159.01</v>
      </c>
      <c r="Y43" s="1"/>
      <c r="Z43" s="5">
        <f t="shared" ref="Z43:Z60" si="37">IF(T43=0,0,X43/T43)</f>
        <v>-0.38283247342656879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200.74</v>
      </c>
      <c r="I44" s="2"/>
      <c r="J44" s="7">
        <f t="shared" si="31"/>
        <v>2.3024058845429588E-3</v>
      </c>
      <c r="K44" s="2"/>
      <c r="L44" s="6">
        <f t="shared" si="32"/>
        <v>-200.74</v>
      </c>
      <c r="M44" s="2"/>
      <c r="N44" s="7">
        <f t="shared" si="33"/>
        <v>-1</v>
      </c>
      <c r="O44" s="11"/>
      <c r="P44" s="6">
        <v>1868.45</v>
      </c>
      <c r="Q44" s="2"/>
      <c r="R44" s="7">
        <f t="shared" si="34"/>
        <v>4.7624635745263039E-3</v>
      </c>
      <c r="S44" s="2"/>
      <c r="T44" s="6">
        <v>3027.46</v>
      </c>
      <c r="U44" s="2"/>
      <c r="V44" s="7">
        <f t="shared" si="35"/>
        <v>4.3274644088329645E-3</v>
      </c>
      <c r="W44" s="2"/>
      <c r="X44" s="6">
        <f t="shared" si="36"/>
        <v>-1159.01</v>
      </c>
      <c r="Y44" s="2"/>
      <c r="Z44" s="7">
        <f t="shared" si="37"/>
        <v>-0.38283247342656879</v>
      </c>
    </row>
    <row r="45" spans="1:26" s="27" customFormat="1" outlineLevel="1" collapsed="1" x14ac:dyDescent="0.25">
      <c r="A45" s="25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-27.57</v>
      </c>
      <c r="I45" s="1"/>
      <c r="J45" s="5">
        <f t="shared" si="31"/>
        <v>-3.1621664958079792E-4</v>
      </c>
      <c r="K45" s="1"/>
      <c r="L45" s="1">
        <f t="shared" si="32"/>
        <v>27.57</v>
      </c>
      <c r="M45" s="1"/>
      <c r="N45" s="5">
        <f t="shared" si="33"/>
        <v>-1</v>
      </c>
      <c r="O45" s="13"/>
      <c r="P45" s="1">
        <f>SUM(OSRRefP22_3x_0)</f>
        <v>-144.01</v>
      </c>
      <c r="Q45" s="1"/>
      <c r="R45" s="5">
        <f t="shared" si="34"/>
        <v>-3.6706488231824934E-4</v>
      </c>
      <c r="S45" s="1"/>
      <c r="T45" s="1">
        <f>SUM(OSRRefT22_3x_0)</f>
        <v>-696.6</v>
      </c>
      <c r="U45" s="1"/>
      <c r="V45" s="5">
        <f t="shared" si="35"/>
        <v>-9.9572305073990838E-4</v>
      </c>
      <c r="W45" s="1"/>
      <c r="X45" s="1">
        <f t="shared" si="36"/>
        <v>552.59</v>
      </c>
      <c r="Y45" s="1"/>
      <c r="Z45" s="5">
        <f t="shared" si="37"/>
        <v>-0.79326729830605802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-27.57</v>
      </c>
      <c r="I46" s="2"/>
      <c r="J46" s="7">
        <f t="shared" si="31"/>
        <v>-3.1621664958079792E-4</v>
      </c>
      <c r="K46" s="2"/>
      <c r="L46" s="6">
        <f t="shared" si="32"/>
        <v>27.57</v>
      </c>
      <c r="M46" s="2"/>
      <c r="N46" s="7">
        <f t="shared" si="33"/>
        <v>-1</v>
      </c>
      <c r="O46" s="11"/>
      <c r="P46" s="6">
        <v>-144.01</v>
      </c>
      <c r="Q46" s="2"/>
      <c r="R46" s="7">
        <f t="shared" si="34"/>
        <v>-3.6706488231824934E-4</v>
      </c>
      <c r="S46" s="2"/>
      <c r="T46" s="6">
        <v>-696.6</v>
      </c>
      <c r="U46" s="2"/>
      <c r="V46" s="7">
        <f t="shared" si="35"/>
        <v>-9.9572305073990838E-4</v>
      </c>
      <c r="W46" s="2"/>
      <c r="X46" s="6">
        <f t="shared" si="36"/>
        <v>552.59</v>
      </c>
      <c r="Y46" s="2"/>
      <c r="Z46" s="7">
        <f t="shared" si="37"/>
        <v>-0.79326729830605802</v>
      </c>
    </row>
    <row r="47" spans="1:26" s="27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2781.39</v>
      </c>
      <c r="I47" s="1"/>
      <c r="J47" s="5">
        <f t="shared" si="31"/>
        <v>3.1901408305315029E-2</v>
      </c>
      <c r="K47" s="1"/>
      <c r="L47" s="1">
        <f t="shared" si="32"/>
        <v>-2781.39</v>
      </c>
      <c r="M47" s="1"/>
      <c r="N47" s="5">
        <f t="shared" si="33"/>
        <v>-1</v>
      </c>
      <c r="O47" s="13"/>
      <c r="P47" s="1">
        <f>SUM(OSRRefP22_4x_0)</f>
        <v>7654.91</v>
      </c>
      <c r="Q47" s="1"/>
      <c r="R47" s="5">
        <f t="shared" si="34"/>
        <v>1.9511482801935907E-2</v>
      </c>
      <c r="S47" s="1"/>
      <c r="T47" s="1">
        <f>SUM(OSRRefT22_4x_0)</f>
        <v>15537.36</v>
      </c>
      <c r="U47" s="1"/>
      <c r="V47" s="5">
        <f t="shared" si="35"/>
        <v>2.2209169537244073E-2</v>
      </c>
      <c r="W47" s="1"/>
      <c r="X47" s="1">
        <f t="shared" si="36"/>
        <v>-7882.4500000000007</v>
      </c>
      <c r="Y47" s="1"/>
      <c r="Z47" s="5">
        <f t="shared" si="37"/>
        <v>-0.50732235077258947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2781.39</v>
      </c>
      <c r="I48" s="2"/>
      <c r="J48" s="7">
        <f t="shared" si="31"/>
        <v>3.1901408305315029E-2</v>
      </c>
      <c r="K48" s="2"/>
      <c r="L48" s="6">
        <f t="shared" si="32"/>
        <v>-2781.39</v>
      </c>
      <c r="M48" s="2"/>
      <c r="N48" s="7">
        <f t="shared" si="33"/>
        <v>-1</v>
      </c>
      <c r="O48" s="11"/>
      <c r="P48" s="6">
        <v>7654.91</v>
      </c>
      <c r="Q48" s="2"/>
      <c r="R48" s="7">
        <f t="shared" si="34"/>
        <v>1.9511482801935907E-2</v>
      </c>
      <c r="S48" s="2"/>
      <c r="T48" s="6">
        <v>15537.36</v>
      </c>
      <c r="U48" s="2"/>
      <c r="V48" s="7">
        <f t="shared" si="35"/>
        <v>2.2209169537244073E-2</v>
      </c>
      <c r="W48" s="2"/>
      <c r="X48" s="6">
        <f t="shared" si="36"/>
        <v>-7882.4500000000007</v>
      </c>
      <c r="Y48" s="2"/>
      <c r="Z48" s="7">
        <f t="shared" si="37"/>
        <v>-0.50732235077258947</v>
      </c>
    </row>
    <row r="49" spans="1:26" s="27" customFormat="1" outlineLevel="1" collapsed="1" x14ac:dyDescent="0.25">
      <c r="A49" s="25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1000.91</v>
      </c>
      <c r="E49" s="1"/>
      <c r="F49" s="5">
        <f t="shared" si="30"/>
        <v>0</v>
      </c>
      <c r="G49" s="1"/>
      <c r="H49" s="1">
        <f>SUM(OSRRefH22_5x_0)</f>
        <v>250.87</v>
      </c>
      <c r="I49" s="1"/>
      <c r="J49" s="5">
        <f t="shared" si="31"/>
        <v>2.8773765281224074E-3</v>
      </c>
      <c r="K49" s="1"/>
      <c r="L49" s="1">
        <f t="shared" si="32"/>
        <v>750.04</v>
      </c>
      <c r="M49" s="1"/>
      <c r="N49" s="5">
        <f t="shared" si="33"/>
        <v>2.9897556503368277</v>
      </c>
      <c r="O49" s="13"/>
      <c r="P49" s="1">
        <f>SUM(OSRRefP22_5x_0)</f>
        <v>5045.53</v>
      </c>
      <c r="Q49" s="1"/>
      <c r="R49" s="5">
        <f t="shared" si="34"/>
        <v>1.2860474103764992E-2</v>
      </c>
      <c r="S49" s="1"/>
      <c r="T49" s="1">
        <f>SUM(OSRRefT22_5x_0)</f>
        <v>770.53</v>
      </c>
      <c r="U49" s="1"/>
      <c r="V49" s="5">
        <f t="shared" si="35"/>
        <v>1.1013989122690519E-3</v>
      </c>
      <c r="W49" s="1"/>
      <c r="X49" s="1">
        <f t="shared" si="36"/>
        <v>4275</v>
      </c>
      <c r="Y49" s="1"/>
      <c r="Z49" s="5">
        <f t="shared" si="37"/>
        <v>5.5481292097647072</v>
      </c>
    </row>
    <row r="50" spans="1:26" s="24" customFormat="1" hidden="1" outlineLevel="2" x14ac:dyDescent="0.25">
      <c r="A50" s="26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1000.91</v>
      </c>
      <c r="E50" s="2"/>
      <c r="F50" s="7">
        <f t="shared" si="30"/>
        <v>0</v>
      </c>
      <c r="G50" s="2"/>
      <c r="H50" s="6">
        <v>250.87</v>
      </c>
      <c r="I50" s="2"/>
      <c r="J50" s="7">
        <f t="shared" si="31"/>
        <v>2.8773765281224074E-3</v>
      </c>
      <c r="K50" s="2"/>
      <c r="L50" s="6">
        <f t="shared" si="32"/>
        <v>750.04</v>
      </c>
      <c r="M50" s="2"/>
      <c r="N50" s="7">
        <f t="shared" si="33"/>
        <v>2.9897556503368277</v>
      </c>
      <c r="O50" s="11"/>
      <c r="P50" s="6">
        <v>5045.53</v>
      </c>
      <c r="Q50" s="2"/>
      <c r="R50" s="7">
        <f t="shared" si="34"/>
        <v>1.2860474103764992E-2</v>
      </c>
      <c r="S50" s="2"/>
      <c r="T50" s="6">
        <v>770.53</v>
      </c>
      <c r="U50" s="2"/>
      <c r="V50" s="7">
        <f t="shared" si="35"/>
        <v>1.1013989122690519E-3</v>
      </c>
      <c r="W50" s="2"/>
      <c r="X50" s="6">
        <f t="shared" si="36"/>
        <v>4275</v>
      </c>
      <c r="Y50" s="2"/>
      <c r="Z50" s="7">
        <f t="shared" si="37"/>
        <v>5.5481292097647072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37.35</v>
      </c>
      <c r="I51" s="1"/>
      <c r="J51" s="5">
        <f t="shared" si="31"/>
        <v>4.2838925868127681E-4</v>
      </c>
      <c r="K51" s="1"/>
      <c r="L51" s="1">
        <f t="shared" si="32"/>
        <v>-37.35</v>
      </c>
      <c r="M51" s="1"/>
      <c r="N51" s="5">
        <f t="shared" si="33"/>
        <v>-1</v>
      </c>
      <c r="O51" s="13"/>
      <c r="P51" s="1">
        <f>SUM(OSRRefP22_6x_0)</f>
        <v>118.6</v>
      </c>
      <c r="Q51" s="1"/>
      <c r="R51" s="5">
        <f t="shared" si="34"/>
        <v>3.022977226785943E-4</v>
      </c>
      <c r="S51" s="1"/>
      <c r="T51" s="1">
        <f>SUM(OSRRefT22_6x_0)</f>
        <v>230.43</v>
      </c>
      <c r="U51" s="1"/>
      <c r="V51" s="5">
        <f t="shared" si="35"/>
        <v>3.2937763792994124E-4</v>
      </c>
      <c r="W51" s="1"/>
      <c r="X51" s="1">
        <f t="shared" si="36"/>
        <v>-111.83000000000001</v>
      </c>
      <c r="Y51" s="1"/>
      <c r="Z51" s="5">
        <f t="shared" si="37"/>
        <v>-0.48531007247320229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30"/>
        <v>0</v>
      </c>
      <c r="G52" s="2"/>
      <c r="H52" s="6">
        <v>37.35</v>
      </c>
      <c r="I52" s="2"/>
      <c r="J52" s="7">
        <f t="shared" si="31"/>
        <v>4.2838925868127681E-4</v>
      </c>
      <c r="K52" s="2"/>
      <c r="L52" s="6">
        <f t="shared" si="32"/>
        <v>-37.35</v>
      </c>
      <c r="M52" s="2"/>
      <c r="N52" s="7">
        <f t="shared" si="33"/>
        <v>-1</v>
      </c>
      <c r="O52" s="11"/>
      <c r="P52" s="6">
        <v>118.6</v>
      </c>
      <c r="Q52" s="2"/>
      <c r="R52" s="7">
        <f t="shared" si="34"/>
        <v>3.022977226785943E-4</v>
      </c>
      <c r="S52" s="2"/>
      <c r="T52" s="6">
        <v>230.43</v>
      </c>
      <c r="U52" s="2"/>
      <c r="V52" s="7">
        <f t="shared" si="35"/>
        <v>3.2937763792994124E-4</v>
      </c>
      <c r="W52" s="2"/>
      <c r="X52" s="6">
        <f t="shared" si="36"/>
        <v>-111.83000000000001</v>
      </c>
      <c r="Y52" s="2"/>
      <c r="Z52" s="7">
        <f t="shared" si="37"/>
        <v>-0.48531007247320229</v>
      </c>
    </row>
    <row r="53" spans="1:26" s="27" customFormat="1" outlineLevel="1" collapsed="1" x14ac:dyDescent="0.25">
      <c r="A53" s="25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300</v>
      </c>
      <c r="I53" s="1"/>
      <c r="J53" s="5">
        <f t="shared" si="31"/>
        <v>3.4408775797692913E-3</v>
      </c>
      <c r="K53" s="1"/>
      <c r="L53" s="1">
        <f t="shared" si="32"/>
        <v>-300</v>
      </c>
      <c r="M53" s="1"/>
      <c r="N53" s="5">
        <f t="shared" si="33"/>
        <v>-1</v>
      </c>
      <c r="O53" s="13"/>
      <c r="P53" s="1">
        <f>SUM(OSRRefP22_7x_0)</f>
        <v>350</v>
      </c>
      <c r="Q53" s="1"/>
      <c r="R53" s="5">
        <f t="shared" si="34"/>
        <v>8.9210963690984841E-4</v>
      </c>
      <c r="S53" s="1"/>
      <c r="T53" s="1">
        <f>SUM(OSRRefT22_7x_0)</f>
        <v>1030</v>
      </c>
      <c r="U53" s="1"/>
      <c r="V53" s="5">
        <f t="shared" si="35"/>
        <v>1.47228645171132E-3</v>
      </c>
      <c r="W53" s="1"/>
      <c r="X53" s="1">
        <f t="shared" si="36"/>
        <v>-680</v>
      </c>
      <c r="Y53" s="1"/>
      <c r="Z53" s="5">
        <f t="shared" si="37"/>
        <v>-0.66019417475728159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30"/>
        <v>0</v>
      </c>
      <c r="G54" s="2"/>
      <c r="H54" s="6">
        <v>300</v>
      </c>
      <c r="I54" s="2"/>
      <c r="J54" s="7">
        <f t="shared" si="31"/>
        <v>3.4408775797692913E-3</v>
      </c>
      <c r="K54" s="2"/>
      <c r="L54" s="6">
        <f t="shared" si="32"/>
        <v>-300</v>
      </c>
      <c r="M54" s="2"/>
      <c r="N54" s="7">
        <f t="shared" si="33"/>
        <v>-1</v>
      </c>
      <c r="O54" s="11"/>
      <c r="P54" s="6">
        <v>350</v>
      </c>
      <c r="Q54" s="2"/>
      <c r="R54" s="7">
        <f t="shared" si="34"/>
        <v>8.9210963690984841E-4</v>
      </c>
      <c r="S54" s="2"/>
      <c r="T54" s="6">
        <v>1030</v>
      </c>
      <c r="U54" s="2"/>
      <c r="V54" s="7">
        <f t="shared" si="35"/>
        <v>1.47228645171132E-3</v>
      </c>
      <c r="W54" s="2"/>
      <c r="X54" s="6">
        <f t="shared" si="36"/>
        <v>-680</v>
      </c>
      <c r="Y54" s="2"/>
      <c r="Z54" s="7">
        <f t="shared" si="37"/>
        <v>-0.66019417475728159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-800</v>
      </c>
      <c r="E55" s="1"/>
      <c r="F55" s="5">
        <f t="shared" si="30"/>
        <v>0</v>
      </c>
      <c r="G55" s="1"/>
      <c r="H55" s="1">
        <f>SUM(OSRRefH22_8x_0)</f>
        <v>555.46</v>
      </c>
      <c r="I55" s="1"/>
      <c r="J55" s="5">
        <f t="shared" si="31"/>
        <v>6.3708995348621695E-3</v>
      </c>
      <c r="K55" s="1"/>
      <c r="L55" s="1">
        <f t="shared" si="32"/>
        <v>-1355.46</v>
      </c>
      <c r="M55" s="1"/>
      <c r="N55" s="5">
        <f t="shared" si="33"/>
        <v>-2.4402477226082886</v>
      </c>
      <c r="O55" s="13"/>
      <c r="P55" s="1">
        <f>SUM(OSRRefP22_8x_0)</f>
        <v>14829.04</v>
      </c>
      <c r="Q55" s="1"/>
      <c r="R55" s="5">
        <f t="shared" si="34"/>
        <v>3.7797512828918911E-2</v>
      </c>
      <c r="S55" s="1"/>
      <c r="T55" s="1">
        <f>SUM(OSRRefT22_8x_0)</f>
        <v>6465.27</v>
      </c>
      <c r="U55" s="1"/>
      <c r="V55" s="5">
        <f t="shared" si="35"/>
        <v>9.2414848812190746E-3</v>
      </c>
      <c r="W55" s="1"/>
      <c r="X55" s="1">
        <f t="shared" si="36"/>
        <v>8363.77</v>
      </c>
      <c r="Y55" s="1"/>
      <c r="Z55" s="5">
        <f t="shared" si="37"/>
        <v>1.2936458956857178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-800</v>
      </c>
      <c r="E56" s="2"/>
      <c r="F56" s="7">
        <f t="shared" si="30"/>
        <v>0</v>
      </c>
      <c r="G56" s="2"/>
      <c r="H56" s="6">
        <v>555.46</v>
      </c>
      <c r="I56" s="2"/>
      <c r="J56" s="7">
        <f t="shared" si="31"/>
        <v>6.3708995348621695E-3</v>
      </c>
      <c r="K56" s="2"/>
      <c r="L56" s="6">
        <f t="shared" si="32"/>
        <v>-1355.46</v>
      </c>
      <c r="M56" s="2"/>
      <c r="N56" s="7">
        <f t="shared" si="33"/>
        <v>-2.4402477226082886</v>
      </c>
      <c r="O56" s="11"/>
      <c r="P56" s="6">
        <v>14829.04</v>
      </c>
      <c r="Q56" s="2"/>
      <c r="R56" s="7">
        <f t="shared" si="34"/>
        <v>3.7797512828918911E-2</v>
      </c>
      <c r="S56" s="2"/>
      <c r="T56" s="6">
        <v>6465.27</v>
      </c>
      <c r="U56" s="2"/>
      <c r="V56" s="7">
        <f t="shared" si="35"/>
        <v>9.2414848812190746E-3</v>
      </c>
      <c r="W56" s="2"/>
      <c r="X56" s="6">
        <f t="shared" si="36"/>
        <v>8363.77</v>
      </c>
      <c r="Y56" s="2"/>
      <c r="Z56" s="7">
        <f t="shared" si="37"/>
        <v>1.2936458956857178</v>
      </c>
    </row>
    <row r="57" spans="1:26" s="27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30"/>
        <v>0</v>
      </c>
      <c r="G57" s="1"/>
      <c r="H57" s="1">
        <f>SUM(OSRRefH22_9x_0)</f>
        <v>773.27</v>
      </c>
      <c r="I57" s="1"/>
      <c r="J57" s="5">
        <f t="shared" si="31"/>
        <v>8.8690913536940003E-3</v>
      </c>
      <c r="K57" s="1"/>
      <c r="L57" s="1">
        <f t="shared" si="32"/>
        <v>-773.27</v>
      </c>
      <c r="M57" s="1"/>
      <c r="N57" s="5">
        <f t="shared" si="33"/>
        <v>-1</v>
      </c>
      <c r="O57" s="13"/>
      <c r="P57" s="1">
        <f>SUM(OSRRefP22_9x_0)</f>
        <v>5688.74</v>
      </c>
      <c r="Q57" s="1"/>
      <c r="R57" s="5">
        <f t="shared" si="34"/>
        <v>1.4499942216784373E-2</v>
      </c>
      <c r="S57" s="1"/>
      <c r="T57" s="1">
        <f>SUM(OSRRefT22_9x_0)</f>
        <v>5757.23</v>
      </c>
      <c r="U57" s="1"/>
      <c r="V57" s="5">
        <f t="shared" si="35"/>
        <v>8.2294094450349152E-3</v>
      </c>
      <c r="W57" s="1"/>
      <c r="X57" s="1">
        <f t="shared" si="36"/>
        <v>-68.489999999999782</v>
      </c>
      <c r="Y57" s="1"/>
      <c r="Z57" s="5">
        <f t="shared" si="37"/>
        <v>-1.1896345985829955E-2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30"/>
        <v>0</v>
      </c>
      <c r="G58" s="2"/>
      <c r="H58" s="6"/>
      <c r="I58" s="2"/>
      <c r="J58" s="7">
        <f t="shared" si="31"/>
        <v>0</v>
      </c>
      <c r="K58" s="2"/>
      <c r="L58" s="6">
        <f t="shared" si="32"/>
        <v>0</v>
      </c>
      <c r="M58" s="2"/>
      <c r="N58" s="7">
        <f t="shared" si="33"/>
        <v>0</v>
      </c>
      <c r="O58" s="11"/>
      <c r="P58" s="6">
        <v>2623.84</v>
      </c>
      <c r="Q58" s="2"/>
      <c r="R58" s="7">
        <f t="shared" si="34"/>
        <v>6.6878655705986763E-3</v>
      </c>
      <c r="S58" s="2"/>
      <c r="T58" s="6"/>
      <c r="U58" s="2"/>
      <c r="V58" s="7">
        <f t="shared" si="35"/>
        <v>0</v>
      </c>
      <c r="W58" s="2"/>
      <c r="X58" s="6">
        <f t="shared" si="36"/>
        <v>2623.84</v>
      </c>
      <c r="Y58" s="2"/>
      <c r="Z58" s="7">
        <f t="shared" si="37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30"/>
        <v>0</v>
      </c>
      <c r="G59" s="2"/>
      <c r="H59" s="6"/>
      <c r="I59" s="2"/>
      <c r="J59" s="7">
        <f t="shared" si="31"/>
        <v>0</v>
      </c>
      <c r="K59" s="2"/>
      <c r="L59" s="6">
        <f t="shared" si="32"/>
        <v>0</v>
      </c>
      <c r="M59" s="2"/>
      <c r="N59" s="7">
        <f t="shared" si="33"/>
        <v>0</v>
      </c>
      <c r="O59" s="11"/>
      <c r="P59" s="6">
        <v>573</v>
      </c>
      <c r="Q59" s="2"/>
      <c r="R59" s="7">
        <f t="shared" si="34"/>
        <v>1.4605109198552661E-3</v>
      </c>
      <c r="S59" s="2"/>
      <c r="T59" s="6">
        <v>614.5</v>
      </c>
      <c r="U59" s="2"/>
      <c r="V59" s="7">
        <f t="shared" si="35"/>
        <v>8.7836895589961763E-4</v>
      </c>
      <c r="W59" s="2"/>
      <c r="X59" s="6">
        <f t="shared" si="36"/>
        <v>-41.5</v>
      </c>
      <c r="Y59" s="2"/>
      <c r="Z59" s="7">
        <f t="shared" si="37"/>
        <v>-6.7534580960130181E-2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30"/>
        <v>0</v>
      </c>
      <c r="G60" s="2"/>
      <c r="H60" s="6">
        <v>773.27</v>
      </c>
      <c r="I60" s="2"/>
      <c r="J60" s="7">
        <f t="shared" si="31"/>
        <v>8.8690913536940003E-3</v>
      </c>
      <c r="K60" s="2"/>
      <c r="L60" s="6">
        <f t="shared" si="32"/>
        <v>-773.27</v>
      </c>
      <c r="M60" s="2"/>
      <c r="N60" s="7">
        <f t="shared" si="33"/>
        <v>-1</v>
      </c>
      <c r="O60" s="11"/>
      <c r="P60" s="6">
        <v>2491.9</v>
      </c>
      <c r="Q60" s="2"/>
      <c r="R60" s="7">
        <f t="shared" si="34"/>
        <v>6.3515657263304324E-3</v>
      </c>
      <c r="S60" s="2"/>
      <c r="T60" s="6">
        <v>5142.7299999999996</v>
      </c>
      <c r="U60" s="2"/>
      <c r="V60" s="7">
        <f t="shared" si="35"/>
        <v>7.351040489135297E-3</v>
      </c>
      <c r="W60" s="2"/>
      <c r="X60" s="6">
        <f t="shared" si="36"/>
        <v>-2650.8299999999995</v>
      </c>
      <c r="Y60" s="2"/>
      <c r="Z60" s="7">
        <f t="shared" si="37"/>
        <v>-0.51545190978332511</v>
      </c>
    </row>
    <row r="61" spans="1:26" s="27" customFormat="1" outlineLevel="1" collapsed="1" x14ac:dyDescent="0.25">
      <c r="A61" s="25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SUM(OSRRefD22_10x_0)</f>
        <v>0</v>
      </c>
      <c r="E61" s="1"/>
      <c r="F61" s="5">
        <f t="shared" ref="F61:F66" si="38">IF(D$12=0,0,D61/D$12)</f>
        <v>0</v>
      </c>
      <c r="G61" s="1"/>
      <c r="H61" s="1">
        <f>SUM(OSRRefH22_10x_0)</f>
        <v>72095.679999999993</v>
      </c>
      <c r="I61" s="1"/>
      <c r="J61" s="5">
        <f t="shared" ref="J61:J66" si="39">IF(H$12=0,0,H61/H$12)</f>
        <v>0.82690802970073762</v>
      </c>
      <c r="K61" s="1"/>
      <c r="L61" s="1">
        <f t="shared" ref="L61:L66" si="40">+D61-H61</f>
        <v>-72095.679999999993</v>
      </c>
      <c r="M61" s="1"/>
      <c r="N61" s="5">
        <f t="shared" ref="N61:N66" si="41">IF(H61=0,0,L61/H61)</f>
        <v>-1</v>
      </c>
      <c r="O61" s="13"/>
      <c r="P61" s="1">
        <f>SUM(OSRRefP22_10x_0)</f>
        <v>83387.12</v>
      </c>
      <c r="Q61" s="1"/>
      <c r="R61" s="5">
        <f t="shared" ref="R61:R66" si="42">IF(P$12=0,0,P61/P$12)</f>
        <v>0.21254415241759414</v>
      </c>
      <c r="S61" s="1"/>
      <c r="T61" s="1">
        <f>SUM(OSRRefT22_10x_0)</f>
        <v>203399.6</v>
      </c>
      <c r="U61" s="1"/>
      <c r="V61" s="5">
        <f t="shared" ref="V61:V66" si="43">IF(T$12=0,0,T61/T$12)</f>
        <v>0.29074026734320563</v>
      </c>
      <c r="W61" s="1"/>
      <c r="X61" s="1">
        <f t="shared" ref="X61:X66" si="44">+P61-T61</f>
        <v>-120012.48000000001</v>
      </c>
      <c r="Y61" s="1"/>
      <c r="Z61" s="5">
        <f t="shared" ref="Z61:Z66" si="45">IF(T61=0,0,X61/T61)</f>
        <v>-0.59003301874733283</v>
      </c>
    </row>
    <row r="62" spans="1:26" s="24" customFormat="1" hidden="1" outlineLevel="2" x14ac:dyDescent="0.25">
      <c r="A62" s="26"/>
      <c r="B62" s="11" t="str">
        <f>CONCATENATE("          ", "6254", " - ", "ROYALTY &amp; COMMISSIONS")</f>
        <v xml:space="preserve">          6254 - ROYALTY &amp; COMMISSIONS</v>
      </c>
      <c r="C62" s="11"/>
      <c r="D62" s="6"/>
      <c r="E62" s="2"/>
      <c r="F62" s="7">
        <f t="shared" si="38"/>
        <v>0</v>
      </c>
      <c r="G62" s="2"/>
      <c r="H62" s="6">
        <v>72095.679999999993</v>
      </c>
      <c r="I62" s="2"/>
      <c r="J62" s="7">
        <f t="shared" si="39"/>
        <v>0.82690802970073762</v>
      </c>
      <c r="K62" s="2"/>
      <c r="L62" s="6">
        <f t="shared" si="40"/>
        <v>-72095.679999999993</v>
      </c>
      <c r="M62" s="2"/>
      <c r="N62" s="7">
        <f t="shared" si="41"/>
        <v>-1</v>
      </c>
      <c r="O62" s="11"/>
      <c r="P62" s="6">
        <v>83387.12</v>
      </c>
      <c r="Q62" s="2"/>
      <c r="R62" s="7">
        <f t="shared" si="42"/>
        <v>0.21254415241759414</v>
      </c>
      <c r="S62" s="2"/>
      <c r="T62" s="6">
        <v>203399.6</v>
      </c>
      <c r="U62" s="2"/>
      <c r="V62" s="7">
        <f t="shared" si="43"/>
        <v>0.29074026734320563</v>
      </c>
      <c r="W62" s="2"/>
      <c r="X62" s="6">
        <f t="shared" si="44"/>
        <v>-120012.48000000001</v>
      </c>
      <c r="Y62" s="2"/>
      <c r="Z62" s="7">
        <f t="shared" si="45"/>
        <v>-0.59003301874733283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0</v>
      </c>
      <c r="E63" s="1"/>
      <c r="F63" s="5">
        <f t="shared" si="38"/>
        <v>0</v>
      </c>
      <c r="G63" s="1"/>
      <c r="H63" s="1">
        <f>SUM(OSRRefH22_11x_0)</f>
        <v>1307.3699999999999</v>
      </c>
      <c r="I63" s="1"/>
      <c r="J63" s="5">
        <f t="shared" si="39"/>
        <v>1.4995000404876594E-2</v>
      </c>
      <c r="K63" s="1"/>
      <c r="L63" s="1">
        <f t="shared" si="40"/>
        <v>-1307.3699999999999</v>
      </c>
      <c r="M63" s="1"/>
      <c r="N63" s="5">
        <f t="shared" si="41"/>
        <v>-1</v>
      </c>
      <c r="O63" s="13"/>
      <c r="P63" s="1">
        <f>SUM(OSRRefP22_11x_0)</f>
        <v>3287.06</v>
      </c>
      <c r="Q63" s="1"/>
      <c r="R63" s="5">
        <f t="shared" si="42"/>
        <v>8.378336866002532E-3</v>
      </c>
      <c r="S63" s="1"/>
      <c r="T63" s="1">
        <f>SUM(OSRRefT22_11x_0)</f>
        <v>3559.04</v>
      </c>
      <c r="U63" s="1"/>
      <c r="V63" s="5">
        <f t="shared" si="43"/>
        <v>5.0873071583482097E-3</v>
      </c>
      <c r="W63" s="1"/>
      <c r="X63" s="1">
        <f t="shared" si="44"/>
        <v>-271.98</v>
      </c>
      <c r="Y63" s="1"/>
      <c r="Z63" s="5">
        <f t="shared" si="45"/>
        <v>-7.6419483905772342E-2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38"/>
        <v>0</v>
      </c>
      <c r="G64" s="2"/>
      <c r="H64" s="6">
        <v>451.62</v>
      </c>
      <c r="I64" s="2"/>
      <c r="J64" s="7">
        <f t="shared" si="39"/>
        <v>5.1798971085846917E-3</v>
      </c>
      <c r="K64" s="2"/>
      <c r="L64" s="6">
        <f t="shared" si="40"/>
        <v>-451.62</v>
      </c>
      <c r="M64" s="2"/>
      <c r="N64" s="7">
        <f t="shared" si="41"/>
        <v>-1</v>
      </c>
      <c r="O64" s="11"/>
      <c r="P64" s="6">
        <v>2258.1</v>
      </c>
      <c r="Q64" s="2"/>
      <c r="R64" s="7">
        <f t="shared" si="42"/>
        <v>5.7556364888746532E-3</v>
      </c>
      <c r="S64" s="2"/>
      <c r="T64" s="6">
        <v>2483.91</v>
      </c>
      <c r="U64" s="2"/>
      <c r="V64" s="7">
        <f t="shared" si="43"/>
        <v>3.5505116895827812E-3</v>
      </c>
      <c r="W64" s="2"/>
      <c r="X64" s="6">
        <f t="shared" si="44"/>
        <v>-225.80999999999995</v>
      </c>
      <c r="Y64" s="2"/>
      <c r="Z64" s="7">
        <f t="shared" si="45"/>
        <v>-9.0909090909090898E-2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8"/>
        <v>0</v>
      </c>
      <c r="G65" s="2"/>
      <c r="H65" s="6">
        <v>524</v>
      </c>
      <c r="I65" s="2"/>
      <c r="J65" s="7">
        <f t="shared" si="39"/>
        <v>6.0100661726636955E-3</v>
      </c>
      <c r="K65" s="2"/>
      <c r="L65" s="6">
        <f t="shared" si="40"/>
        <v>-524</v>
      </c>
      <c r="M65" s="2"/>
      <c r="N65" s="7">
        <f t="shared" si="41"/>
        <v>-1</v>
      </c>
      <c r="O65" s="11"/>
      <c r="P65" s="6">
        <v>549.6</v>
      </c>
      <c r="Q65" s="2"/>
      <c r="R65" s="7">
        <f t="shared" si="42"/>
        <v>1.4008670184161506E-3</v>
      </c>
      <c r="S65" s="2"/>
      <c r="T65" s="6">
        <v>524</v>
      </c>
      <c r="U65" s="2"/>
      <c r="V65" s="7">
        <f t="shared" si="43"/>
        <v>7.4900786475410848E-4</v>
      </c>
      <c r="W65" s="2"/>
      <c r="X65" s="6">
        <f t="shared" si="44"/>
        <v>25.600000000000023</v>
      </c>
      <c r="Y65" s="2"/>
      <c r="Z65" s="7">
        <f t="shared" si="45"/>
        <v>4.885496183206111E-2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8"/>
        <v>0</v>
      </c>
      <c r="G66" s="2"/>
      <c r="H66" s="6">
        <v>331.75</v>
      </c>
      <c r="I66" s="2"/>
      <c r="J66" s="7">
        <f t="shared" si="39"/>
        <v>3.8050371236282082E-3</v>
      </c>
      <c r="K66" s="2"/>
      <c r="L66" s="6">
        <f t="shared" si="40"/>
        <v>-331.75</v>
      </c>
      <c r="M66" s="2"/>
      <c r="N66" s="7">
        <f t="shared" si="41"/>
        <v>-1</v>
      </c>
      <c r="O66" s="11"/>
      <c r="P66" s="6">
        <v>479.36</v>
      </c>
      <c r="Q66" s="2"/>
      <c r="R66" s="7">
        <f t="shared" si="42"/>
        <v>1.2218333587117284E-3</v>
      </c>
      <c r="S66" s="2"/>
      <c r="T66" s="6">
        <v>551.13</v>
      </c>
      <c r="U66" s="2"/>
      <c r="V66" s="7">
        <f t="shared" si="43"/>
        <v>7.8778760401132021E-4</v>
      </c>
      <c r="W66" s="2"/>
      <c r="X66" s="6">
        <f t="shared" si="44"/>
        <v>-71.769999999999982</v>
      </c>
      <c r="Y66" s="2"/>
      <c r="Z66" s="7">
        <f t="shared" si="45"/>
        <v>-0.13022335928002465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SUM(OSRRefD22_12x_0)</f>
        <v>0</v>
      </c>
      <c r="E67" s="1"/>
      <c r="F67" s="5">
        <f t="shared" ref="F67:F74" si="46">IF(D$12=0,0,D67/D$12)</f>
        <v>0</v>
      </c>
      <c r="G67" s="1"/>
      <c r="H67" s="1">
        <f>SUM(OSRRefH22_12x_0)</f>
        <v>3963.11</v>
      </c>
      <c r="I67" s="1"/>
      <c r="J67" s="5">
        <f t="shared" ref="J67:J74" si="47">IF(H$12=0,0,H67/H$12)</f>
        <v>4.5455254483864928E-2</v>
      </c>
      <c r="K67" s="1"/>
      <c r="L67" s="1">
        <f t="shared" ref="L67:L74" si="48">+D67-H67</f>
        <v>-3963.11</v>
      </c>
      <c r="M67" s="1"/>
      <c r="N67" s="5">
        <f t="shared" ref="N67:N74" si="49">IF(H67=0,0,L67/H67)</f>
        <v>-1</v>
      </c>
      <c r="O67" s="13"/>
      <c r="P67" s="1">
        <f>SUM(OSRRefP22_12x_0)</f>
        <v>15992.96</v>
      </c>
      <c r="Q67" s="1"/>
      <c r="R67" s="5">
        <f t="shared" ref="R67:R74" si="50">IF(P$12=0,0,P67/P$12)</f>
        <v>4.0764210682039226E-2</v>
      </c>
      <c r="S67" s="1"/>
      <c r="T67" s="1">
        <f>SUM(OSRRefT22_12x_0)</f>
        <v>17076.410000000003</v>
      </c>
      <c r="U67" s="1"/>
      <c r="V67" s="5">
        <f t="shared" ref="V67:V74" si="51">IF(T$12=0,0,T67/T$12)</f>
        <v>2.4409094259094863E-2</v>
      </c>
      <c r="W67" s="1"/>
      <c r="X67" s="1">
        <f t="shared" ref="X67:X74" si="52">+P67-T67</f>
        <v>-1083.4500000000044</v>
      </c>
      <c r="Y67" s="1"/>
      <c r="Z67" s="5">
        <f t="shared" ref="Z67:Z74" si="53">IF(T67=0,0,X67/T67)</f>
        <v>-6.3447176543547742E-2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>
        <v>3756.46</v>
      </c>
      <c r="Q68" s="2"/>
      <c r="R68" s="7">
        <f t="shared" si="50"/>
        <v>9.574783333332483E-3</v>
      </c>
      <c r="S68" s="2"/>
      <c r="T68" s="6"/>
      <c r="U68" s="2"/>
      <c r="V68" s="7">
        <f t="shared" si="51"/>
        <v>0</v>
      </c>
      <c r="W68" s="2"/>
      <c r="X68" s="6">
        <f t="shared" si="52"/>
        <v>3756.46</v>
      </c>
      <c r="Y68" s="2"/>
      <c r="Z68" s="7">
        <f t="shared" si="53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6"/>
        <v>0</v>
      </c>
      <c r="G69" s="2"/>
      <c r="H69" s="6"/>
      <c r="I69" s="2"/>
      <c r="J69" s="7">
        <f t="shared" si="47"/>
        <v>0</v>
      </c>
      <c r="K69" s="2"/>
      <c r="L69" s="6">
        <f t="shared" si="48"/>
        <v>0</v>
      </c>
      <c r="M69" s="2"/>
      <c r="N69" s="7">
        <f t="shared" si="49"/>
        <v>0</v>
      </c>
      <c r="O69" s="11"/>
      <c r="P69" s="6">
        <v>1507.19</v>
      </c>
      <c r="Q69" s="2"/>
      <c r="R69" s="7">
        <f t="shared" si="50"/>
        <v>3.8416534961547271E-3</v>
      </c>
      <c r="S69" s="2"/>
      <c r="T69" s="6">
        <v>55.29</v>
      </c>
      <c r="U69" s="2"/>
      <c r="V69" s="7">
        <f t="shared" si="51"/>
        <v>7.9031764966134839E-5</v>
      </c>
      <c r="W69" s="2"/>
      <c r="X69" s="6">
        <f t="shared" si="52"/>
        <v>1451.9</v>
      </c>
      <c r="Y69" s="2"/>
      <c r="Z69" s="7">
        <f t="shared" si="53"/>
        <v>26.259721468620004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6"/>
        <v>0</v>
      </c>
      <c r="G70" s="2"/>
      <c r="H70" s="6">
        <v>3109.82</v>
      </c>
      <c r="I70" s="2"/>
      <c r="J70" s="7">
        <f t="shared" si="47"/>
        <v>3.5668366383727126E-2</v>
      </c>
      <c r="K70" s="2"/>
      <c r="L70" s="6">
        <f t="shared" si="48"/>
        <v>-3109.82</v>
      </c>
      <c r="M70" s="2"/>
      <c r="N70" s="7">
        <f t="shared" si="49"/>
        <v>-1</v>
      </c>
      <c r="O70" s="11"/>
      <c r="P70" s="6">
        <v>7140.25</v>
      </c>
      <c r="Q70" s="2"/>
      <c r="R70" s="7">
        <f t="shared" si="50"/>
        <v>1.8199673814130127E-2</v>
      </c>
      <c r="S70" s="2"/>
      <c r="T70" s="6">
        <v>11045.62</v>
      </c>
      <c r="U70" s="2"/>
      <c r="V70" s="7">
        <f t="shared" si="51"/>
        <v>1.5788656967719993E-2</v>
      </c>
      <c r="W70" s="2"/>
      <c r="X70" s="6">
        <f t="shared" si="52"/>
        <v>-3905.3700000000008</v>
      </c>
      <c r="Y70" s="2"/>
      <c r="Z70" s="7">
        <f t="shared" si="53"/>
        <v>-0.3535672963581945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6"/>
        <v>0</v>
      </c>
      <c r="G71" s="2"/>
      <c r="H71" s="6">
        <v>345.13</v>
      </c>
      <c r="I71" s="2"/>
      <c r="J71" s="7">
        <f t="shared" si="47"/>
        <v>3.9585002636859188E-3</v>
      </c>
      <c r="K71" s="2"/>
      <c r="L71" s="6">
        <f t="shared" si="48"/>
        <v>-345.13</v>
      </c>
      <c r="M71" s="2"/>
      <c r="N71" s="7">
        <f t="shared" si="49"/>
        <v>-1</v>
      </c>
      <c r="O71" s="11"/>
      <c r="P71" s="6">
        <v>599.88</v>
      </c>
      <c r="Q71" s="2"/>
      <c r="R71" s="7">
        <f t="shared" si="50"/>
        <v>1.5290249399699425E-3</v>
      </c>
      <c r="S71" s="2"/>
      <c r="T71" s="6">
        <v>1769.53</v>
      </c>
      <c r="U71" s="2"/>
      <c r="V71" s="7">
        <f t="shared" si="51"/>
        <v>2.5293738299968275E-3</v>
      </c>
      <c r="W71" s="2"/>
      <c r="X71" s="6">
        <f t="shared" si="52"/>
        <v>-1169.6500000000001</v>
      </c>
      <c r="Y71" s="2"/>
      <c r="Z71" s="7">
        <f t="shared" si="53"/>
        <v>-0.66099472741349408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6"/>
        <v>0</v>
      </c>
      <c r="G72" s="2"/>
      <c r="H72" s="6">
        <v>-71.400000000000006</v>
      </c>
      <c r="I72" s="2"/>
      <c r="J72" s="7">
        <f t="shared" si="47"/>
        <v>-8.189288639850915E-4</v>
      </c>
      <c r="K72" s="2"/>
      <c r="L72" s="6">
        <f t="shared" si="48"/>
        <v>71.400000000000006</v>
      </c>
      <c r="M72" s="2"/>
      <c r="N72" s="7">
        <f t="shared" si="49"/>
        <v>-1</v>
      </c>
      <c r="O72" s="11"/>
      <c r="P72" s="6">
        <v>2632.41</v>
      </c>
      <c r="Q72" s="2"/>
      <c r="R72" s="7">
        <f t="shared" si="50"/>
        <v>6.7097095122795828E-3</v>
      </c>
      <c r="S72" s="2"/>
      <c r="T72" s="6">
        <v>2208.59</v>
      </c>
      <c r="U72" s="2"/>
      <c r="V72" s="7">
        <f t="shared" si="51"/>
        <v>3.1569680916360239E-3</v>
      </c>
      <c r="W72" s="2"/>
      <c r="X72" s="6">
        <f t="shared" si="52"/>
        <v>423.81999999999971</v>
      </c>
      <c r="Y72" s="2"/>
      <c r="Z72" s="7">
        <f t="shared" si="53"/>
        <v>0.19189618716013371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>
        <v>-97.67</v>
      </c>
      <c r="Q73" s="2"/>
      <c r="R73" s="7">
        <f t="shared" si="50"/>
        <v>-2.4894956639138539E-4</v>
      </c>
      <c r="S73" s="2"/>
      <c r="T73" s="6">
        <v>154.22</v>
      </c>
      <c r="U73" s="2"/>
      <c r="V73" s="7">
        <f t="shared" si="51"/>
        <v>2.2044273454652406E-4</v>
      </c>
      <c r="W73" s="2"/>
      <c r="X73" s="6">
        <f t="shared" si="52"/>
        <v>-251.89</v>
      </c>
      <c r="Y73" s="2"/>
      <c r="Z73" s="7">
        <f t="shared" si="53"/>
        <v>-1.6333160420178965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6"/>
        <v>0</v>
      </c>
      <c r="G74" s="2"/>
      <c r="H74" s="6">
        <v>579.55999999999995</v>
      </c>
      <c r="I74" s="2"/>
      <c r="J74" s="7">
        <f t="shared" si="47"/>
        <v>6.6473167004369683E-3</v>
      </c>
      <c r="K74" s="2"/>
      <c r="L74" s="6">
        <f t="shared" si="48"/>
        <v>-579.55999999999995</v>
      </c>
      <c r="M74" s="2"/>
      <c r="N74" s="7">
        <f t="shared" si="49"/>
        <v>-1</v>
      </c>
      <c r="O74" s="11"/>
      <c r="P74" s="6">
        <v>454.44</v>
      </c>
      <c r="Q74" s="2"/>
      <c r="R74" s="7">
        <f t="shared" si="50"/>
        <v>1.158315152563747E-3</v>
      </c>
      <c r="S74" s="2"/>
      <c r="T74" s="6">
        <v>1843.16</v>
      </c>
      <c r="U74" s="2"/>
      <c r="V74" s="7">
        <f t="shared" si="51"/>
        <v>2.6346208702293559E-3</v>
      </c>
      <c r="W74" s="2"/>
      <c r="X74" s="6">
        <f t="shared" si="52"/>
        <v>-1388.72</v>
      </c>
      <c r="Y74" s="2"/>
      <c r="Z74" s="7">
        <f t="shared" si="53"/>
        <v>-0.75344517025109048</v>
      </c>
    </row>
    <row r="75" spans="1:26" s="27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309.58999999999997</v>
      </c>
      <c r="E75" s="1"/>
      <c r="F75" s="5">
        <f t="shared" ref="F75:F80" si="54">IF(D$12=0,0,D75/D$12)</f>
        <v>0</v>
      </c>
      <c r="G75" s="1"/>
      <c r="H75" s="1">
        <f>SUM(OSRRefH22_13x_0)</f>
        <v>307.97000000000003</v>
      </c>
      <c r="I75" s="1"/>
      <c r="J75" s="5">
        <f t="shared" ref="J75:J80" si="55">IF(H$12=0,0,H75/H$12)</f>
        <v>3.5322902274718296E-3</v>
      </c>
      <c r="K75" s="1"/>
      <c r="L75" s="1">
        <f t="shared" ref="L75:L80" si="56">+D75-H75</f>
        <v>1.6199999999999477</v>
      </c>
      <c r="M75" s="1"/>
      <c r="N75" s="5">
        <f t="shared" ref="N75:N80" si="57">IF(H75=0,0,L75/H75)</f>
        <v>5.2602526220084673E-3</v>
      </c>
      <c r="O75" s="13"/>
      <c r="P75" s="1">
        <f>SUM(OSRRefP22_13x_0)</f>
        <v>3511.56</v>
      </c>
      <c r="Q75" s="1"/>
      <c r="R75" s="5">
        <f t="shared" ref="R75:R80" si="58">IF(P$12=0,0,P75/P$12)</f>
        <v>8.9505614759632784E-3</v>
      </c>
      <c r="S75" s="1"/>
      <c r="T75" s="1">
        <f>SUM(OSRRefT22_13x_0)</f>
        <v>3568.58</v>
      </c>
      <c r="U75" s="1"/>
      <c r="V75" s="5">
        <f t="shared" ref="V75:V80" si="59">IF(T$12=0,0,T75/T$12)</f>
        <v>5.1009436755805656E-3</v>
      </c>
      <c r="W75" s="1"/>
      <c r="X75" s="1">
        <f t="shared" ref="X75:X80" si="60">+P75-T75</f>
        <v>-57.019999999999982</v>
      </c>
      <c r="Y75" s="1"/>
      <c r="Z75" s="5">
        <f t="shared" ref="Z75:Z80" si="61">IF(T75=0,0,X75/T75)</f>
        <v>-1.5978344327435556E-2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309.58999999999997</v>
      </c>
      <c r="E76" s="2"/>
      <c r="F76" s="7">
        <f t="shared" si="54"/>
        <v>0</v>
      </c>
      <c r="G76" s="2"/>
      <c r="H76" s="6">
        <v>307.97000000000003</v>
      </c>
      <c r="I76" s="2"/>
      <c r="J76" s="7">
        <f t="shared" si="55"/>
        <v>3.5322902274718296E-3</v>
      </c>
      <c r="K76" s="2"/>
      <c r="L76" s="6">
        <f t="shared" si="56"/>
        <v>1.6199999999999477</v>
      </c>
      <c r="M76" s="2"/>
      <c r="N76" s="7">
        <f t="shared" si="57"/>
        <v>5.2602526220084673E-3</v>
      </c>
      <c r="O76" s="11"/>
      <c r="P76" s="6">
        <v>3511.56</v>
      </c>
      <c r="Q76" s="2"/>
      <c r="R76" s="7">
        <f t="shared" si="58"/>
        <v>8.9505614759632784E-3</v>
      </c>
      <c r="S76" s="2"/>
      <c r="T76" s="6">
        <v>3568.58</v>
      </c>
      <c r="U76" s="2"/>
      <c r="V76" s="7">
        <f t="shared" si="59"/>
        <v>5.1009436755805656E-3</v>
      </c>
      <c r="W76" s="2"/>
      <c r="X76" s="6">
        <f t="shared" si="60"/>
        <v>-57.019999999999982</v>
      </c>
      <c r="Y76" s="2"/>
      <c r="Z76" s="7">
        <f t="shared" si="61"/>
        <v>-1.5978344327435556E-2</v>
      </c>
    </row>
    <row r="77" spans="1:26" s="27" customFormat="1" outlineLevel="1" collapsed="1" x14ac:dyDescent="0.25">
      <c r="A77" s="25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0</v>
      </c>
      <c r="E77" s="1"/>
      <c r="F77" s="5">
        <f t="shared" si="54"/>
        <v>0</v>
      </c>
      <c r="G77" s="1"/>
      <c r="H77" s="1">
        <f>SUM(OSRRefH22_14x_0)</f>
        <v>0</v>
      </c>
      <c r="I77" s="1"/>
      <c r="J77" s="5">
        <f t="shared" si="55"/>
        <v>0</v>
      </c>
      <c r="K77" s="1"/>
      <c r="L77" s="1">
        <f t="shared" si="56"/>
        <v>0</v>
      </c>
      <c r="M77" s="1"/>
      <c r="N77" s="5">
        <f t="shared" si="57"/>
        <v>0</v>
      </c>
      <c r="O77" s="13"/>
      <c r="P77" s="1">
        <f>SUM(OSRRefP22_14x_0)</f>
        <v>337.96</v>
      </c>
      <c r="Q77" s="1"/>
      <c r="R77" s="5">
        <f t="shared" si="58"/>
        <v>8.6142106540014962E-4</v>
      </c>
      <c r="S77" s="1"/>
      <c r="T77" s="1">
        <f>SUM(OSRRefT22_14x_0)</f>
        <v>171.33</v>
      </c>
      <c r="U77" s="1"/>
      <c r="V77" s="5">
        <f t="shared" si="59"/>
        <v>2.4489984249679658E-4</v>
      </c>
      <c r="W77" s="1"/>
      <c r="X77" s="1">
        <f t="shared" si="60"/>
        <v>166.62999999999997</v>
      </c>
      <c r="Y77" s="1"/>
      <c r="Z77" s="5">
        <f t="shared" si="61"/>
        <v>0.97256755968014919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4"/>
        <v>0</v>
      </c>
      <c r="G78" s="2"/>
      <c r="H78" s="6"/>
      <c r="I78" s="2"/>
      <c r="J78" s="7">
        <f t="shared" si="55"/>
        <v>0</v>
      </c>
      <c r="K78" s="2"/>
      <c r="L78" s="6">
        <f t="shared" si="56"/>
        <v>0</v>
      </c>
      <c r="M78" s="2"/>
      <c r="N78" s="7">
        <f t="shared" si="57"/>
        <v>0</v>
      </c>
      <c r="O78" s="11"/>
      <c r="P78" s="6">
        <v>337.96</v>
      </c>
      <c r="Q78" s="2"/>
      <c r="R78" s="7">
        <f t="shared" si="58"/>
        <v>8.6142106540014962E-4</v>
      </c>
      <c r="S78" s="2"/>
      <c r="T78" s="6">
        <v>171.33</v>
      </c>
      <c r="U78" s="2"/>
      <c r="V78" s="7">
        <f t="shared" si="59"/>
        <v>2.4489984249679658E-4</v>
      </c>
      <c r="W78" s="2"/>
      <c r="X78" s="6">
        <f t="shared" si="60"/>
        <v>166.62999999999997</v>
      </c>
      <c r="Y78" s="2"/>
      <c r="Z78" s="7">
        <f t="shared" si="61"/>
        <v>0.97256755968014919</v>
      </c>
    </row>
    <row r="79" spans="1:26" s="27" customFormat="1" outlineLevel="1" collapsed="1" x14ac:dyDescent="0.25">
      <c r="A79" s="25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SUM(OSRRefD22_15x_0)</f>
        <v>0</v>
      </c>
      <c r="E79" s="1"/>
      <c r="F79" s="5">
        <f t="shared" si="54"/>
        <v>0</v>
      </c>
      <c r="G79" s="1"/>
      <c r="H79" s="1">
        <f>SUM(OSRRefH22_15x_0)</f>
        <v>0</v>
      </c>
      <c r="I79" s="1"/>
      <c r="J79" s="5">
        <f t="shared" si="55"/>
        <v>0</v>
      </c>
      <c r="K79" s="1"/>
      <c r="L79" s="1">
        <f t="shared" si="56"/>
        <v>0</v>
      </c>
      <c r="M79" s="1"/>
      <c r="N79" s="5">
        <f t="shared" si="57"/>
        <v>0</v>
      </c>
      <c r="O79" s="13"/>
      <c r="P79" s="1">
        <f>SUM(OSRRefP22_15x_0)</f>
        <v>0</v>
      </c>
      <c r="Q79" s="1"/>
      <c r="R79" s="5">
        <f t="shared" si="58"/>
        <v>0</v>
      </c>
      <c r="S79" s="1"/>
      <c r="T79" s="1">
        <f>SUM(OSRRefT22_15x_0)</f>
        <v>1269.53</v>
      </c>
      <c r="U79" s="1"/>
      <c r="V79" s="5">
        <f t="shared" si="59"/>
        <v>1.8146716689719147E-3</v>
      </c>
      <c r="W79" s="1"/>
      <c r="X79" s="1">
        <f t="shared" si="60"/>
        <v>-1269.53</v>
      </c>
      <c r="Y79" s="1"/>
      <c r="Z79" s="5">
        <f t="shared" si="61"/>
        <v>-1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4"/>
        <v>0</v>
      </c>
      <c r="G80" s="2"/>
      <c r="H80" s="6"/>
      <c r="I80" s="2"/>
      <c r="J80" s="7">
        <f t="shared" si="55"/>
        <v>0</v>
      </c>
      <c r="K80" s="2"/>
      <c r="L80" s="6">
        <f t="shared" si="56"/>
        <v>0</v>
      </c>
      <c r="M80" s="2"/>
      <c r="N80" s="7">
        <f t="shared" si="57"/>
        <v>0</v>
      </c>
      <c r="O80" s="11"/>
      <c r="P80" s="6"/>
      <c r="Q80" s="2"/>
      <c r="R80" s="7">
        <f t="shared" si="58"/>
        <v>0</v>
      </c>
      <c r="S80" s="2"/>
      <c r="T80" s="6">
        <v>1269.53</v>
      </c>
      <c r="U80" s="2"/>
      <c r="V80" s="7">
        <f t="shared" si="59"/>
        <v>1.8146716689719147E-3</v>
      </c>
      <c r="W80" s="2"/>
      <c r="X80" s="6">
        <f t="shared" si="60"/>
        <v>-1269.53</v>
      </c>
      <c r="Y80" s="2"/>
      <c r="Z80" s="7">
        <f t="shared" si="61"/>
        <v>-1</v>
      </c>
    </row>
    <row r="81" spans="1:26" s="58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0</v>
      </c>
      <c r="E82" s="4"/>
      <c r="F82" s="12">
        <f t="shared" ref="F82:F83" si="62">IF(D$12=0,0,D82/D$12)</f>
        <v>0</v>
      </c>
      <c r="G82" s="4"/>
      <c r="H82" s="4">
        <f>SUM(OSRRefH25x_0)</f>
        <v>0</v>
      </c>
      <c r="I82" s="4"/>
      <c r="J82" s="12">
        <f t="shared" ref="J82:J83" si="63">IF(H$12=0,0,H82/H$12)</f>
        <v>0</v>
      </c>
      <c r="K82" s="4"/>
      <c r="L82" s="4">
        <f t="shared" ref="L82:L83" si="64">+D82-H82</f>
        <v>0</v>
      </c>
      <c r="M82" s="4"/>
      <c r="N82" s="12">
        <f t="shared" ref="N82:N83" si="65">IF(H82=0,0,L82/H82)</f>
        <v>0</v>
      </c>
      <c r="O82" s="10"/>
      <c r="P82" s="4">
        <f>SUM(OSRRefP25x_0)</f>
        <v>39607.82</v>
      </c>
      <c r="Q82" s="4"/>
      <c r="R82" s="12">
        <f t="shared" ref="R82:R83" si="66">IF(P$12=0,0,P82/P$12)</f>
        <v>0.10095576548283038</v>
      </c>
      <c r="S82" s="4"/>
      <c r="T82" s="4">
        <f>SUM(OSRRefT25x_0)</f>
        <v>11962.47</v>
      </c>
      <c r="U82" s="4"/>
      <c r="V82" s="12">
        <f t="shared" ref="V82:V83" si="67">IF(T$12=0,0,T82/T$12)</f>
        <v>1.7099206320391372E-2</v>
      </c>
      <c r="W82" s="4"/>
      <c r="X82" s="4">
        <f t="shared" ref="X82:X83" si="68">+P82-T82</f>
        <v>27645.35</v>
      </c>
      <c r="Y82" s="4"/>
      <c r="Z82" s="12">
        <f t="shared" ref="Z82:Z83" si="69">IF(T82=0,0,X82/T82)</f>
        <v>2.3110068405605197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2"/>
        <v>0</v>
      </c>
      <c r="G83" s="2"/>
      <c r="H83" s="2">
        <f>0</f>
        <v>0</v>
      </c>
      <c r="I83" s="2"/>
      <c r="J83" s="19">
        <f t="shared" si="63"/>
        <v>0</v>
      </c>
      <c r="K83" s="2"/>
      <c r="L83" s="2">
        <f t="shared" si="64"/>
        <v>0</v>
      </c>
      <c r="M83" s="2"/>
      <c r="N83" s="19">
        <f t="shared" si="65"/>
        <v>0</v>
      </c>
      <c r="O83" s="11"/>
      <c r="P83" s="2">
        <f>--39607.82</f>
        <v>39607.82</v>
      </c>
      <c r="Q83" s="2"/>
      <c r="R83" s="19">
        <f t="shared" si="66"/>
        <v>0.10095576548283038</v>
      </c>
      <c r="S83" s="2"/>
      <c r="T83" s="2">
        <f>--11962.47</f>
        <v>11962.47</v>
      </c>
      <c r="U83" s="2"/>
      <c r="V83" s="19">
        <f t="shared" si="67"/>
        <v>1.7099206320391372E-2</v>
      </c>
      <c r="W83" s="2"/>
      <c r="X83" s="2">
        <f t="shared" si="68"/>
        <v>27645.35</v>
      </c>
      <c r="Y83" s="2"/>
      <c r="Z83" s="19">
        <f t="shared" si="69"/>
        <v>2.3110068405605197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+D23-D25+D82</f>
        <v>-6716.6200000000008</v>
      </c>
      <c r="E85" s="14"/>
      <c r="F85" s="20">
        <f>IF(D$12=0,0,D85/D$12)</f>
        <v>0</v>
      </c>
      <c r="G85" s="14"/>
      <c r="H85" s="21">
        <f>+H23-H25+H82</f>
        <v>-43185.729999999996</v>
      </c>
      <c r="I85" s="14"/>
      <c r="J85" s="20">
        <f>IF(H$12=0,0,H85/H$12)</f>
        <v>-0.49532270040990023</v>
      </c>
      <c r="K85" s="16"/>
      <c r="L85" s="21">
        <f>+D85-H85</f>
        <v>36469.109999999993</v>
      </c>
      <c r="M85" s="16"/>
      <c r="N85" s="20">
        <f>IF(H85=0,0,L85/H85)</f>
        <v>-0.84447131031477285</v>
      </c>
      <c r="O85" s="28"/>
      <c r="P85" s="21">
        <f>+P23-P25+P82</f>
        <v>-40479.709999999941</v>
      </c>
      <c r="Q85" s="14"/>
      <c r="R85" s="20">
        <f>IF(P$12=0,0,P85/P$12)</f>
        <v>-0.10317811254375973</v>
      </c>
      <c r="S85" s="14"/>
      <c r="T85" s="21">
        <f>+T23-T25+T82</f>
        <v>69992.569999999978</v>
      </c>
      <c r="U85" s="14"/>
      <c r="V85" s="20">
        <f>IF(T$12=0,0,T85/T$12)</f>
        <v>0.10004768206937491</v>
      </c>
      <c r="W85" s="16"/>
      <c r="X85" s="21">
        <f>+P85-T85</f>
        <v>-110472.27999999991</v>
      </c>
      <c r="Y85" s="16"/>
      <c r="Z85" s="20">
        <f>IF(T85=0,0,X85/T85)</f>
        <v>-1.5783429584025839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1911.73</v>
      </c>
      <c r="E87" s="4"/>
      <c r="F87" s="12">
        <f>IF(D$12=0,0,D87/D$12)</f>
        <v>0</v>
      </c>
      <c r="G87" s="4"/>
      <c r="H87" s="4">
        <v>9103.0400000000009</v>
      </c>
      <c r="I87" s="4"/>
      <c r="J87" s="12">
        <f>IF(H$12=0,0,H87/H$12)</f>
        <v>0.10440815414581019</v>
      </c>
      <c r="K87" s="4"/>
      <c r="L87" s="4">
        <f>+D87-H87</f>
        <v>-7191.3100000000013</v>
      </c>
      <c r="M87" s="4"/>
      <c r="N87" s="12">
        <f>IF(H87=0,0,L87/H87)</f>
        <v>-0.78998993742749679</v>
      </c>
      <c r="O87" s="10"/>
      <c r="P87" s="4">
        <v>46457.82</v>
      </c>
      <c r="Q87" s="4"/>
      <c r="R87" s="12">
        <f>IF(P$12=0,0,P87/P$12)</f>
        <v>0.11841562551949456</v>
      </c>
      <c r="S87" s="4"/>
      <c r="T87" s="4">
        <v>72767.78</v>
      </c>
      <c r="U87" s="4"/>
      <c r="V87" s="12">
        <f>IF(T$12=0,0,T87/T$12)</f>
        <v>0.10401457923797083</v>
      </c>
      <c r="W87" s="4"/>
      <c r="X87" s="4">
        <f>+P87-T87</f>
        <v>-26309.96</v>
      </c>
      <c r="Y87" s="4"/>
      <c r="Z87" s="12">
        <f>IF(T87=0,0,X87/T87)</f>
        <v>-0.3615605698016347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-8628.35</v>
      </c>
      <c r="E89" s="14"/>
      <c r="F89" s="32">
        <f>IF(D$12=0,0,D89/D$12)</f>
        <v>0</v>
      </c>
      <c r="G89" s="14"/>
      <c r="H89" s="35">
        <f>+H85-H87</f>
        <v>-52288.77</v>
      </c>
      <c r="I89" s="14"/>
      <c r="J89" s="32">
        <f>IF(H$12=0,0,H89/H$12)</f>
        <v>-0.5997308545557104</v>
      </c>
      <c r="K89" s="16"/>
      <c r="L89" s="35">
        <f>D89-H89</f>
        <v>43660.42</v>
      </c>
      <c r="M89" s="16"/>
      <c r="N89" s="32">
        <f>IF(H89=0,0,L89/H89)</f>
        <v>-0.83498655638677288</v>
      </c>
      <c r="O89" s="28"/>
      <c r="P89" s="35">
        <f>+P85-P87</f>
        <v>-86937.529999999941</v>
      </c>
      <c r="Q89" s="14"/>
      <c r="R89" s="32">
        <f>IF(P$12=0,0,P89/P$12)</f>
        <v>-0.22159373806325428</v>
      </c>
      <c r="S89" s="14"/>
      <c r="T89" s="35">
        <f>+T85-T87</f>
        <v>-2775.210000000021</v>
      </c>
      <c r="U89" s="14"/>
      <c r="V89" s="32">
        <f>IF(T$12=0,0,T89/T$12)</f>
        <v>-3.9668971685959259E-3</v>
      </c>
      <c r="W89" s="16"/>
      <c r="X89" s="35">
        <f>P89-T89</f>
        <v>-84162.31999999992</v>
      </c>
      <c r="Y89" s="16"/>
      <c r="Z89" s="32">
        <f>IF(T89=0,0,X89/T89)</f>
        <v>30.326468987932188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-8628.35</v>
      </c>
      <c r="E92" s="14"/>
      <c r="F92" s="33">
        <f>IF(D$12=0,0,D92/D$12)</f>
        <v>0</v>
      </c>
      <c r="G92" s="14"/>
      <c r="H92" s="36">
        <f>SUM(H89:H91)</f>
        <v>-52288.77</v>
      </c>
      <c r="I92" s="14"/>
      <c r="J92" s="33">
        <f>IF(H$12=0,0,H92/H$12)</f>
        <v>-0.5997308545557104</v>
      </c>
      <c r="K92" s="16"/>
      <c r="L92" s="36">
        <f>+D92-H92</f>
        <v>43660.42</v>
      </c>
      <c r="M92" s="16"/>
      <c r="N92" s="33">
        <f>IF(H92=0,0,L92/H92)</f>
        <v>-0.83498655638677288</v>
      </c>
      <c r="O92" s="28"/>
      <c r="P92" s="36">
        <f>SUM(P89:P91)</f>
        <v>-86937.529999999941</v>
      </c>
      <c r="Q92" s="14"/>
      <c r="R92" s="33">
        <f>IF(P$12=0,0,P92/P$12)</f>
        <v>-0.22159373806325428</v>
      </c>
      <c r="S92" s="14"/>
      <c r="T92" s="36">
        <f>SUM(T89:T91)</f>
        <v>-2775.210000000021</v>
      </c>
      <c r="U92" s="14"/>
      <c r="V92" s="33">
        <f>IF(T$12=0,0,T92/T$12)</f>
        <v>-3.9668971685959259E-3</v>
      </c>
      <c r="W92" s="16"/>
      <c r="X92" s="36">
        <f>+P92-T92</f>
        <v>-84162.31999999992</v>
      </c>
      <c r="Y92" s="16"/>
      <c r="Z92" s="33">
        <f>IF(T92=0,0,X92/T92)</f>
        <v>30.326468987932188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>
        <v>43992.376056018518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3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1">
        <f t="shared" ref="F18:F26" si="0">IF(D$12=0,0,D18/D$12)</f>
        <v>0</v>
      </c>
      <c r="G18" s="22"/>
      <c r="H18" s="22">
        <f>SUM(OSRRefH22x_0)</f>
        <v>8278.2099999999991</v>
      </c>
      <c r="I18" s="22"/>
      <c r="J18" s="31">
        <f t="shared" ref="J18:J26" si="1">IF(H$12=0,0,H18/H$12)</f>
        <v>0</v>
      </c>
      <c r="K18" s="4"/>
      <c r="L18" s="22">
        <f t="shared" ref="L18:L26" si="2">+D18-H18</f>
        <v>-8278.2099999999991</v>
      </c>
      <c r="M18" s="4"/>
      <c r="N18" s="31">
        <f t="shared" ref="N18:N26" si="3">IF(H18=0,0,L18/H18)</f>
        <v>-1</v>
      </c>
      <c r="O18" s="10"/>
      <c r="P18" s="22">
        <f>SUM(OSRRefP22x_0)</f>
        <v>67961.41</v>
      </c>
      <c r="Q18" s="22"/>
      <c r="R18" s="31">
        <f t="shared" ref="R18:R26" si="4">IF(P$12=0,0,P18/P$12)</f>
        <v>0</v>
      </c>
      <c r="S18" s="22"/>
      <c r="T18" s="22">
        <f>SUM(OSRRefT22x_0)</f>
        <v>77602.610000000015</v>
      </c>
      <c r="U18" s="22"/>
      <c r="V18" s="31">
        <f t="shared" ref="V18:V26" si="5">IF(T$12=0,0,T18/T$12)</f>
        <v>0</v>
      </c>
      <c r="W18" s="4"/>
      <c r="X18" s="22">
        <f t="shared" ref="X18:X26" si="6">+P18-T18</f>
        <v>-9641.2000000000116</v>
      </c>
      <c r="Y18" s="4"/>
      <c r="Z18" s="31">
        <f t="shared" ref="Z18:Z26" si="7">IF(T18=0,0,X18/T18)</f>
        <v>-0.12423808941477625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2948.96</v>
      </c>
      <c r="I19" s="1"/>
      <c r="J19" s="5">
        <f t="shared" si="1"/>
        <v>0</v>
      </c>
      <c r="K19" s="1"/>
      <c r="L19" s="1">
        <f t="shared" si="2"/>
        <v>-2948.96</v>
      </c>
      <c r="M19" s="1"/>
      <c r="N19" s="5">
        <f t="shared" si="3"/>
        <v>-1</v>
      </c>
      <c r="O19" s="13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30735.040000000005</v>
      </c>
      <c r="U19" s="1"/>
      <c r="V19" s="5">
        <f t="shared" si="5"/>
        <v>0</v>
      </c>
      <c r="W19" s="1"/>
      <c r="X19" s="1">
        <f t="shared" si="6"/>
        <v>39.169999999994616</v>
      </c>
      <c r="Y19" s="1"/>
      <c r="Z19" s="5">
        <f t="shared" si="7"/>
        <v>1.2744411590157232E-3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509.61</v>
      </c>
      <c r="I20" s="2"/>
      <c r="J20" s="7">
        <f t="shared" si="1"/>
        <v>0</v>
      </c>
      <c r="K20" s="2"/>
      <c r="L20" s="6">
        <f t="shared" si="2"/>
        <v>-509.61</v>
      </c>
      <c r="M20" s="2"/>
      <c r="N20" s="7">
        <f t="shared" si="3"/>
        <v>-1</v>
      </c>
      <c r="O20" s="11"/>
      <c r="P20" s="6">
        <v>2908.48</v>
      </c>
      <c r="Q20" s="2"/>
      <c r="R20" s="7">
        <f t="shared" si="4"/>
        <v>0</v>
      </c>
      <c r="S20" s="2"/>
      <c r="T20" s="6">
        <v>3994.04</v>
      </c>
      <c r="U20" s="2"/>
      <c r="V20" s="7">
        <f t="shared" si="5"/>
        <v>0</v>
      </c>
      <c r="W20" s="2"/>
      <c r="X20" s="6">
        <f t="shared" si="6"/>
        <v>-1085.56</v>
      </c>
      <c r="Y20" s="2"/>
      <c r="Z20" s="7">
        <f t="shared" si="7"/>
        <v>-0.27179497451202289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155.43</v>
      </c>
      <c r="I21" s="2"/>
      <c r="J21" s="7">
        <f t="shared" si="1"/>
        <v>0</v>
      </c>
      <c r="K21" s="2"/>
      <c r="L21" s="6">
        <f t="shared" si="2"/>
        <v>-155.43</v>
      </c>
      <c r="M21" s="2"/>
      <c r="N21" s="7">
        <f t="shared" si="3"/>
        <v>-1</v>
      </c>
      <c r="O21" s="11"/>
      <c r="P21" s="6">
        <v>159.32</v>
      </c>
      <c r="Q21" s="2"/>
      <c r="R21" s="7">
        <f t="shared" si="4"/>
        <v>0</v>
      </c>
      <c r="S21" s="2"/>
      <c r="T21" s="6">
        <v>1929.75</v>
      </c>
      <c r="U21" s="2"/>
      <c r="V21" s="7">
        <f t="shared" si="5"/>
        <v>0</v>
      </c>
      <c r="W21" s="2"/>
      <c r="X21" s="6">
        <f t="shared" si="6"/>
        <v>-1770.43</v>
      </c>
      <c r="Y21" s="2"/>
      <c r="Z21" s="7">
        <f t="shared" si="7"/>
        <v>-0.9174400829122944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931.95</v>
      </c>
      <c r="I22" s="2"/>
      <c r="J22" s="7">
        <f t="shared" si="1"/>
        <v>0</v>
      </c>
      <c r="K22" s="2"/>
      <c r="L22" s="6">
        <f t="shared" si="2"/>
        <v>-931.95</v>
      </c>
      <c r="M22" s="2"/>
      <c r="N22" s="7">
        <f t="shared" si="3"/>
        <v>-1</v>
      </c>
      <c r="O22" s="11"/>
      <c r="P22" s="6">
        <v>8394</v>
      </c>
      <c r="Q22" s="2"/>
      <c r="R22" s="7">
        <f t="shared" si="4"/>
        <v>0</v>
      </c>
      <c r="S22" s="2"/>
      <c r="T22" s="6">
        <v>9720.86</v>
      </c>
      <c r="U22" s="2"/>
      <c r="V22" s="7">
        <f t="shared" si="5"/>
        <v>0</v>
      </c>
      <c r="W22" s="2"/>
      <c r="X22" s="6">
        <f t="shared" si="6"/>
        <v>-1326.8600000000006</v>
      </c>
      <c r="Y22" s="2"/>
      <c r="Z22" s="7">
        <f t="shared" si="7"/>
        <v>-0.13649615363249759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11.55</v>
      </c>
      <c r="I23" s="2"/>
      <c r="J23" s="7">
        <f t="shared" si="1"/>
        <v>0</v>
      </c>
      <c r="K23" s="2"/>
      <c r="L23" s="6">
        <f t="shared" si="2"/>
        <v>-11.55</v>
      </c>
      <c r="M23" s="2"/>
      <c r="N23" s="7">
        <f t="shared" si="3"/>
        <v>-1</v>
      </c>
      <c r="O23" s="11"/>
      <c r="P23" s="6">
        <v>134.31</v>
      </c>
      <c r="Q23" s="2"/>
      <c r="R23" s="7">
        <f t="shared" si="4"/>
        <v>0</v>
      </c>
      <c r="S23" s="2"/>
      <c r="T23" s="6">
        <v>160.91</v>
      </c>
      <c r="U23" s="2"/>
      <c r="V23" s="7">
        <f t="shared" si="5"/>
        <v>0</v>
      </c>
      <c r="W23" s="2"/>
      <c r="X23" s="6">
        <f t="shared" si="6"/>
        <v>-26.599999999999994</v>
      </c>
      <c r="Y23" s="2"/>
      <c r="Z23" s="7">
        <f t="shared" si="7"/>
        <v>-0.16530980050960162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417.84</v>
      </c>
      <c r="I24" s="2"/>
      <c r="J24" s="7">
        <f t="shared" si="1"/>
        <v>0</v>
      </c>
      <c r="K24" s="2"/>
      <c r="L24" s="6">
        <f t="shared" si="2"/>
        <v>-417.84</v>
      </c>
      <c r="M24" s="2"/>
      <c r="N24" s="7">
        <f t="shared" si="3"/>
        <v>-1</v>
      </c>
      <c r="O24" s="11"/>
      <c r="P24" s="6">
        <v>5280.61</v>
      </c>
      <c r="Q24" s="2"/>
      <c r="R24" s="7">
        <f t="shared" si="4"/>
        <v>0</v>
      </c>
      <c r="S24" s="2"/>
      <c r="T24" s="6">
        <v>5822.79</v>
      </c>
      <c r="U24" s="2"/>
      <c r="V24" s="7">
        <f t="shared" si="5"/>
        <v>0</v>
      </c>
      <c r="W24" s="2"/>
      <c r="X24" s="6">
        <f t="shared" si="6"/>
        <v>-542.18000000000029</v>
      </c>
      <c r="Y24" s="2"/>
      <c r="Z24" s="7">
        <f t="shared" si="7"/>
        <v>-9.3113438746717694E-2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615.33000000000004</v>
      </c>
      <c r="I25" s="2"/>
      <c r="J25" s="7">
        <f t="shared" si="1"/>
        <v>0</v>
      </c>
      <c r="K25" s="2"/>
      <c r="L25" s="6">
        <f t="shared" si="2"/>
        <v>-615.33000000000004</v>
      </c>
      <c r="M25" s="2"/>
      <c r="N25" s="7">
        <f t="shared" si="3"/>
        <v>-1</v>
      </c>
      <c r="O25" s="11"/>
      <c r="P25" s="6">
        <v>5313.38</v>
      </c>
      <c r="Q25" s="2"/>
      <c r="R25" s="7">
        <f t="shared" si="4"/>
        <v>0</v>
      </c>
      <c r="S25" s="2"/>
      <c r="T25" s="6">
        <v>5278.35</v>
      </c>
      <c r="U25" s="2"/>
      <c r="V25" s="7">
        <f t="shared" si="5"/>
        <v>0</v>
      </c>
      <c r="W25" s="2"/>
      <c r="X25" s="6">
        <f t="shared" si="6"/>
        <v>35.029999999999745</v>
      </c>
      <c r="Y25" s="2"/>
      <c r="Z25" s="7">
        <f t="shared" si="7"/>
        <v>6.636543616849914E-3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0"/>
        <v>0</v>
      </c>
      <c r="G26" s="2"/>
      <c r="H26" s="6">
        <v>307.25</v>
      </c>
      <c r="I26" s="2"/>
      <c r="J26" s="7">
        <f t="shared" si="1"/>
        <v>0</v>
      </c>
      <c r="K26" s="2"/>
      <c r="L26" s="6">
        <f t="shared" si="2"/>
        <v>-307.25</v>
      </c>
      <c r="M26" s="2"/>
      <c r="N26" s="7">
        <f t="shared" si="3"/>
        <v>-1</v>
      </c>
      <c r="O26" s="11"/>
      <c r="P26" s="6">
        <v>8584.11</v>
      </c>
      <c r="Q26" s="2"/>
      <c r="R26" s="7">
        <f t="shared" si="4"/>
        <v>0</v>
      </c>
      <c r="S26" s="2"/>
      <c r="T26" s="6">
        <v>3828.34</v>
      </c>
      <c r="U26" s="2"/>
      <c r="V26" s="7">
        <f t="shared" si="5"/>
        <v>0</v>
      </c>
      <c r="W26" s="2"/>
      <c r="X26" s="6">
        <f t="shared" si="6"/>
        <v>4755.7700000000004</v>
      </c>
      <c r="Y26" s="2"/>
      <c r="Z26" s="7">
        <f t="shared" si="7"/>
        <v>1.242253822805707</v>
      </c>
    </row>
    <row r="27" spans="1:26" s="27" customFormat="1" outlineLevel="1" collapsed="1" x14ac:dyDescent="0.25">
      <c r="A27" s="25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5329.25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-5329.25</v>
      </c>
      <c r="M27" s="1"/>
      <c r="N27" s="5">
        <f t="shared" ref="N27:N29" si="11">IF(H27=0,0,L27/H27)</f>
        <v>-1</v>
      </c>
      <c r="O27" s="13"/>
      <c r="P27" s="1">
        <f>SUM(OSRRefP22_1x_0)</f>
        <v>37187.199999999997</v>
      </c>
      <c r="Q27" s="1"/>
      <c r="R27" s="5">
        <f t="shared" ref="R27:R29" si="12">IF(P$12=0,0,P27/P$12)</f>
        <v>0</v>
      </c>
      <c r="S27" s="1"/>
      <c r="T27" s="1">
        <f>SUM(OSRRefT22_1x_0)</f>
        <v>46851.07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-9663.8700000000026</v>
      </c>
      <c r="Y27" s="1"/>
      <c r="Z27" s="5">
        <f t="shared" ref="Z27:Z29" si="15">IF(T27=0,0,X27/T27)</f>
        <v>-0.20626786111821999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6"/>
      <c r="E28" s="2"/>
      <c r="F28" s="7">
        <f t="shared" si="8"/>
        <v>0</v>
      </c>
      <c r="G28" s="2"/>
      <c r="H28" s="6">
        <v>5551.29</v>
      </c>
      <c r="I28" s="2"/>
      <c r="J28" s="7">
        <f t="shared" si="9"/>
        <v>0</v>
      </c>
      <c r="K28" s="2"/>
      <c r="L28" s="6">
        <f t="shared" si="10"/>
        <v>-5551.29</v>
      </c>
      <c r="M28" s="2"/>
      <c r="N28" s="7">
        <f t="shared" si="11"/>
        <v>-1</v>
      </c>
      <c r="O28" s="11"/>
      <c r="P28" s="6">
        <v>37187.199999999997</v>
      </c>
      <c r="Q28" s="2"/>
      <c r="R28" s="7">
        <f t="shared" si="12"/>
        <v>0</v>
      </c>
      <c r="S28" s="2"/>
      <c r="T28" s="6">
        <v>47073.11</v>
      </c>
      <c r="U28" s="2"/>
      <c r="V28" s="7">
        <f t="shared" si="13"/>
        <v>0</v>
      </c>
      <c r="W28" s="2"/>
      <c r="X28" s="6">
        <f t="shared" si="14"/>
        <v>-9885.9100000000035</v>
      </c>
      <c r="Y28" s="2"/>
      <c r="Z28" s="7">
        <f t="shared" si="15"/>
        <v>-0.210011830533398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>
        <v>-222.04</v>
      </c>
      <c r="I29" s="2"/>
      <c r="J29" s="7">
        <f t="shared" si="9"/>
        <v>0</v>
      </c>
      <c r="K29" s="2"/>
      <c r="L29" s="6">
        <f t="shared" si="10"/>
        <v>222.04</v>
      </c>
      <c r="M29" s="2"/>
      <c r="N29" s="7">
        <f t="shared" si="11"/>
        <v>-1</v>
      </c>
      <c r="O29" s="11"/>
      <c r="P29" s="6">
        <v>0</v>
      </c>
      <c r="Q29" s="2"/>
      <c r="R29" s="7">
        <f t="shared" si="12"/>
        <v>0</v>
      </c>
      <c r="S29" s="2"/>
      <c r="T29" s="6">
        <v>-222.04</v>
      </c>
      <c r="U29" s="2"/>
      <c r="V29" s="7">
        <f t="shared" si="13"/>
        <v>0</v>
      </c>
      <c r="W29" s="2"/>
      <c r="X29" s="6">
        <f t="shared" si="14"/>
        <v>222.04</v>
      </c>
      <c r="Y29" s="2"/>
      <c r="Z29" s="7">
        <f t="shared" si="15"/>
        <v>-1</v>
      </c>
    </row>
    <row r="30" spans="1:26" s="27" customFormat="1" outlineLevel="1" collapsed="1" x14ac:dyDescent="0.25">
      <c r="A30" s="25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58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8" t="s">
        <v>0</v>
      </c>
      <c r="C33" s="10"/>
      <c r="D33" s="4">
        <f>SUM(OSRRefD25x_0)</f>
        <v>6624.89</v>
      </c>
      <c r="E33" s="4"/>
      <c r="F33" s="12">
        <f t="shared" ref="F33:F35" si="24">IF(D$12=0,0,D33/D$12)</f>
        <v>0</v>
      </c>
      <c r="G33" s="4"/>
      <c r="H33" s="4">
        <f>SUM(OSRRefH25x_0)</f>
        <v>4805.8500000000004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1819.04</v>
      </c>
      <c r="M33" s="4"/>
      <c r="N33" s="12">
        <f t="shared" ref="N33:N35" si="27">IF(H33=0,0,L33/H33)</f>
        <v>0.37850536325519935</v>
      </c>
      <c r="O33" s="10"/>
      <c r="P33" s="4">
        <f>SUM(OSRRefP25x_0)</f>
        <v>371164.31</v>
      </c>
      <c r="Q33" s="4"/>
      <c r="R33" s="12">
        <f t="shared" ref="R33:R35" si="28">IF(P$12=0,0,P33/P$12)</f>
        <v>0</v>
      </c>
      <c r="S33" s="4"/>
      <c r="T33" s="4">
        <f>SUM(OSRRefT25x_0)</f>
        <v>329787.98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41376.330000000016</v>
      </c>
      <c r="Y33" s="4"/>
      <c r="Z33" s="12">
        <f t="shared" ref="Z33:Z35" si="31">IF(T33=0,0,X33/T33)</f>
        <v>0.1254634265324043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0</f>
        <v>0</v>
      </c>
      <c r="E34" s="2"/>
      <c r="F34" s="19">
        <f t="shared" si="24"/>
        <v>0</v>
      </c>
      <c r="G34" s="2"/>
      <c r="H34" s="2">
        <f>0</f>
        <v>0</v>
      </c>
      <c r="I34" s="2"/>
      <c r="J34" s="19">
        <f t="shared" si="25"/>
        <v>0</v>
      </c>
      <c r="K34" s="2"/>
      <c r="L34" s="2">
        <f t="shared" si="26"/>
        <v>0</v>
      </c>
      <c r="M34" s="2"/>
      <c r="N34" s="19">
        <f t="shared" si="27"/>
        <v>0</v>
      </c>
      <c r="O34" s="11"/>
      <c r="P34" s="2">
        <f>--128039.29</f>
        <v>128039.29</v>
      </c>
      <c r="Q34" s="2"/>
      <c r="R34" s="19">
        <f t="shared" si="28"/>
        <v>0</v>
      </c>
      <c r="S34" s="2"/>
      <c r="T34" s="2">
        <f>--84792.87</f>
        <v>84792.87</v>
      </c>
      <c r="U34" s="2"/>
      <c r="V34" s="19">
        <f t="shared" si="29"/>
        <v>0</v>
      </c>
      <c r="W34" s="2"/>
      <c r="X34" s="2">
        <f t="shared" si="30"/>
        <v>43246.42</v>
      </c>
      <c r="Y34" s="2"/>
      <c r="Z34" s="19">
        <f t="shared" si="31"/>
        <v>0.51002425085977154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--6624.89</f>
        <v>6624.89</v>
      </c>
      <c r="E35" s="2"/>
      <c r="F35" s="19">
        <f t="shared" si="24"/>
        <v>0</v>
      </c>
      <c r="G35" s="2"/>
      <c r="H35" s="2">
        <f>--4805.85</f>
        <v>4805.8500000000004</v>
      </c>
      <c r="I35" s="2"/>
      <c r="J35" s="19">
        <f t="shared" si="25"/>
        <v>0</v>
      </c>
      <c r="K35" s="2"/>
      <c r="L35" s="2">
        <f t="shared" si="26"/>
        <v>1819.04</v>
      </c>
      <c r="M35" s="2"/>
      <c r="N35" s="19">
        <f t="shared" si="27"/>
        <v>0.37850536325519935</v>
      </c>
      <c r="O35" s="11"/>
      <c r="P35" s="2">
        <f>--243125.02</f>
        <v>243125.02</v>
      </c>
      <c r="Q35" s="2"/>
      <c r="R35" s="19">
        <f t="shared" si="28"/>
        <v>0</v>
      </c>
      <c r="S35" s="2"/>
      <c r="T35" s="2">
        <f>--244995.11</f>
        <v>244995.11</v>
      </c>
      <c r="U35" s="2"/>
      <c r="V35" s="19">
        <f t="shared" si="29"/>
        <v>0</v>
      </c>
      <c r="W35" s="2"/>
      <c r="X35" s="2">
        <f t="shared" si="30"/>
        <v>-1870.0899999999965</v>
      </c>
      <c r="Y35" s="2"/>
      <c r="Z35" s="19">
        <f t="shared" si="31"/>
        <v>-7.6331727600603807E-3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3</v>
      </c>
      <c r="C37" s="29"/>
      <c r="D37" s="21">
        <f>+D16-D18+D33</f>
        <v>6624.89</v>
      </c>
      <c r="E37" s="14"/>
      <c r="F37" s="20">
        <f>IF(D$12=0,0,D37/D$12)</f>
        <v>0</v>
      </c>
      <c r="G37" s="14"/>
      <c r="H37" s="21">
        <f>+H16-H18+H33</f>
        <v>-3472.3599999999988</v>
      </c>
      <c r="I37" s="14"/>
      <c r="J37" s="20">
        <f>IF(H$12=0,0,H37/H$12)</f>
        <v>0</v>
      </c>
      <c r="K37" s="16"/>
      <c r="L37" s="21">
        <f>+D37-H37</f>
        <v>10097.25</v>
      </c>
      <c r="M37" s="16"/>
      <c r="N37" s="20">
        <f>IF(H37=0,0,L37/H37)</f>
        <v>-2.9078926148210451</v>
      </c>
      <c r="O37" s="28"/>
      <c r="P37" s="21">
        <f>+P16-P18+P33</f>
        <v>303202.90000000002</v>
      </c>
      <c r="Q37" s="14"/>
      <c r="R37" s="20">
        <f>IF(P$12=0,0,P37/P$12)</f>
        <v>0</v>
      </c>
      <c r="S37" s="14"/>
      <c r="T37" s="21">
        <f>+T16-T18+T33</f>
        <v>252185.36999999997</v>
      </c>
      <c r="U37" s="14"/>
      <c r="V37" s="20">
        <f>IF(T$12=0,0,T37/T$12)</f>
        <v>0</v>
      </c>
      <c r="W37" s="16"/>
      <c r="X37" s="21">
        <f>+P37-T37</f>
        <v>51017.530000000057</v>
      </c>
      <c r="Y37" s="16"/>
      <c r="Z37" s="20">
        <f>IF(T37=0,0,X37/T37)</f>
        <v>0.20230170370311357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9" t="s">
        <v>4</v>
      </c>
      <c r="C41" s="29"/>
      <c r="D41" s="35">
        <f>+D37-D39</f>
        <v>6624.89</v>
      </c>
      <c r="E41" s="14"/>
      <c r="F41" s="32">
        <f>IF(D$12=0,0,D41/D$12)</f>
        <v>0</v>
      </c>
      <c r="G41" s="14"/>
      <c r="H41" s="35">
        <f>+H37-H39</f>
        <v>-3472.3599999999988</v>
      </c>
      <c r="I41" s="14"/>
      <c r="J41" s="32">
        <f>IF(H$12=0,0,H41/H$12)</f>
        <v>0</v>
      </c>
      <c r="K41" s="16"/>
      <c r="L41" s="35">
        <f>D41-H41</f>
        <v>10097.25</v>
      </c>
      <c r="M41" s="16"/>
      <c r="N41" s="32">
        <f>IF(H41=0,0,L41/H41)</f>
        <v>-2.9078926148210451</v>
      </c>
      <c r="O41" s="28"/>
      <c r="P41" s="35">
        <f>+P37-P39</f>
        <v>303202.90000000002</v>
      </c>
      <c r="Q41" s="14"/>
      <c r="R41" s="32">
        <f>IF(P$12=0,0,P41/P$12)</f>
        <v>0</v>
      </c>
      <c r="S41" s="14"/>
      <c r="T41" s="35">
        <f>+T37-T39</f>
        <v>252185.36999999997</v>
      </c>
      <c r="U41" s="14"/>
      <c r="V41" s="32">
        <f>IF(T$12=0,0,T41/T$12)</f>
        <v>0</v>
      </c>
      <c r="W41" s="16"/>
      <c r="X41" s="35">
        <f>P41-T41</f>
        <v>51017.530000000057</v>
      </c>
      <c r="Y41" s="16"/>
      <c r="Z41" s="32">
        <f>IF(T41=0,0,X41/T41)</f>
        <v>0.20230170370311357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9" t="s">
        <v>5</v>
      </c>
      <c r="C44" s="29"/>
      <c r="D44" s="36">
        <f>SUM(D41:D43)</f>
        <v>6624.89</v>
      </c>
      <c r="E44" s="14"/>
      <c r="F44" s="33">
        <f>IF(D$12=0,0,D44/D$12)</f>
        <v>0</v>
      </c>
      <c r="G44" s="14"/>
      <c r="H44" s="36">
        <f>SUM(H41:H43)</f>
        <v>-3472.3599999999988</v>
      </c>
      <c r="I44" s="14"/>
      <c r="J44" s="33">
        <f>IF(H$12=0,0,H44/H$12)</f>
        <v>0</v>
      </c>
      <c r="K44" s="16"/>
      <c r="L44" s="36">
        <f>+D44-H44</f>
        <v>10097.25</v>
      </c>
      <c r="M44" s="16"/>
      <c r="N44" s="33">
        <f>IF(H44=0,0,L44/H44)</f>
        <v>-2.9078926148210451</v>
      </c>
      <c r="O44" s="28"/>
      <c r="P44" s="36">
        <f>SUM(P41:P43)</f>
        <v>303202.90000000002</v>
      </c>
      <c r="Q44" s="14"/>
      <c r="R44" s="33">
        <f>IF(P$12=0,0,P44/P$12)</f>
        <v>0</v>
      </c>
      <c r="S44" s="14"/>
      <c r="T44" s="36">
        <f>SUM(T41:T43)</f>
        <v>252185.36999999997</v>
      </c>
      <c r="U44" s="14"/>
      <c r="V44" s="33">
        <f>IF(T$12=0,0,T44/T$12)</f>
        <v>0</v>
      </c>
      <c r="W44" s="16"/>
      <c r="X44" s="36">
        <f>+P44-T44</f>
        <v>51017.530000000057</v>
      </c>
      <c r="Y44" s="16"/>
      <c r="Z44" s="33">
        <f>IF(T44=0,0,X44/T44)</f>
        <v>0.20230170370311357</v>
      </c>
    </row>
    <row r="45" spans="1:26" ht="15.75" thickTop="1" x14ac:dyDescent="0.25">
      <c r="A45" s="9"/>
      <c r="C45" s="9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25">
      <c r="A46" s="9"/>
      <c r="B46" s="55">
        <v>43992.376175150464</v>
      </c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25">
      <c r="A47" s="9"/>
      <c r="B47" s="62" t="s">
        <v>313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25">
      <c r="A48" s="9"/>
      <c r="B48" s="53"/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4:24" x14ac:dyDescent="0.25"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7"/>
  <sheetViews>
    <sheetView zoomScale="80" workbookViewId="0">
      <pane xSplit="3" ySplit="10" topLeftCell="D95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2"/>
      <c r="G12" s="4"/>
      <c r="H12" s="4">
        <f>SUM(OSRRefH13x_0)</f>
        <v>662616.99</v>
      </c>
      <c r="I12" s="4"/>
      <c r="J12" s="12"/>
      <c r="K12" s="4"/>
      <c r="L12" s="4">
        <f t="shared" ref="L12:L18" si="0">+D12-H12</f>
        <v>-540050.81000000006</v>
      </c>
      <c r="M12" s="4"/>
      <c r="N12" s="12">
        <f t="shared" ref="N12:N18" si="1">IF(H12=0,0,L12/H12)</f>
        <v>-0.81502710940146594</v>
      </c>
      <c r="O12" s="10"/>
      <c r="P12" s="4">
        <f>SUM(OSRRefP13x_0)</f>
        <v>9172158.8100000005</v>
      </c>
      <c r="Q12" s="4"/>
      <c r="R12" s="12"/>
      <c r="S12" s="4"/>
      <c r="T12" s="4">
        <f>SUM(OSRRefT13x_0)</f>
        <v>10782776.670000002</v>
      </c>
      <c r="U12" s="4"/>
      <c r="V12" s="12"/>
      <c r="W12" s="4"/>
      <c r="X12" s="4">
        <f t="shared" ref="X12:X18" si="2">+P12-T12</f>
        <v>-1610617.8600000013</v>
      </c>
      <c r="Y12" s="4"/>
      <c r="Z12" s="12">
        <f t="shared" ref="Z12:Z18" si="3">IF(T12=0,0,X12/T12)</f>
        <v>-0.14936949074361205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--59.42</f>
        <v>59.42</v>
      </c>
      <c r="E13" s="2"/>
      <c r="F13" s="19"/>
      <c r="G13" s="2"/>
      <c r="H13" s="2">
        <f>--792.78</f>
        <v>792.78</v>
      </c>
      <c r="I13" s="2"/>
      <c r="J13" s="19"/>
      <c r="K13" s="2"/>
      <c r="L13" s="2">
        <f t="shared" si="0"/>
        <v>-733.36</v>
      </c>
      <c r="M13" s="2"/>
      <c r="N13" s="19">
        <f t="shared" si="1"/>
        <v>-0.92504856328363483</v>
      </c>
      <c r="O13" s="11"/>
      <c r="P13" s="2">
        <f>--26715.69</f>
        <v>26715.69</v>
      </c>
      <c r="Q13" s="2"/>
      <c r="R13" s="19"/>
      <c r="S13" s="2"/>
      <c r="T13" s="2">
        <f>--20294.58</f>
        <v>20294.580000000002</v>
      </c>
      <c r="U13" s="2"/>
      <c r="V13" s="19"/>
      <c r="W13" s="2"/>
      <c r="X13" s="2">
        <f t="shared" si="2"/>
        <v>6421.1099999999969</v>
      </c>
      <c r="Y13" s="2"/>
      <c r="Z13" s="19">
        <f t="shared" si="3"/>
        <v>0.31639531342851129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--109.36</f>
        <v>109.36</v>
      </c>
      <c r="I14" s="2"/>
      <c r="J14" s="19"/>
      <c r="K14" s="2"/>
      <c r="L14" s="2">
        <f t="shared" si="0"/>
        <v>-109.36</v>
      </c>
      <c r="M14" s="2"/>
      <c r="N14" s="19">
        <f t="shared" si="1"/>
        <v>-1</v>
      </c>
      <c r="O14" s="11"/>
      <c r="P14" s="2">
        <f>--973.49</f>
        <v>973.49</v>
      </c>
      <c r="Q14" s="2"/>
      <c r="R14" s="19"/>
      <c r="S14" s="2"/>
      <c r="T14" s="2">
        <f>--1808.05</f>
        <v>1808.05</v>
      </c>
      <c r="U14" s="2"/>
      <c r="V14" s="19"/>
      <c r="W14" s="2"/>
      <c r="X14" s="2">
        <f t="shared" si="2"/>
        <v>-834.56</v>
      </c>
      <c r="Y14" s="2"/>
      <c r="Z14" s="19">
        <f t="shared" si="3"/>
        <v>-0.46158015541605596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--126289.52</f>
        <v>126289.52</v>
      </c>
      <c r="E15" s="2"/>
      <c r="F15" s="19"/>
      <c r="G15" s="2"/>
      <c r="H15" s="2">
        <f>--650737.22</f>
        <v>650737.22</v>
      </c>
      <c r="I15" s="2"/>
      <c r="J15" s="19"/>
      <c r="K15" s="2"/>
      <c r="L15" s="2">
        <f t="shared" si="0"/>
        <v>-524447.69999999995</v>
      </c>
      <c r="M15" s="2"/>
      <c r="N15" s="19">
        <f t="shared" si="1"/>
        <v>-0.80592854362933164</v>
      </c>
      <c r="O15" s="11"/>
      <c r="P15" s="2">
        <f>--8840399.9</f>
        <v>8840399.9000000004</v>
      </c>
      <c r="Q15" s="2"/>
      <c r="R15" s="19"/>
      <c r="S15" s="2"/>
      <c r="T15" s="2">
        <f>--10434727.57</f>
        <v>10434727.57</v>
      </c>
      <c r="U15" s="2"/>
      <c r="V15" s="19"/>
      <c r="W15" s="2"/>
      <c r="X15" s="2">
        <f t="shared" si="2"/>
        <v>-1594327.67</v>
      </c>
      <c r="Y15" s="2"/>
      <c r="Z15" s="19">
        <f t="shared" si="3"/>
        <v>-0.15279054094174113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-4166.46</f>
        <v>-4166.46</v>
      </c>
      <c r="E16" s="2"/>
      <c r="F16" s="19"/>
      <c r="G16" s="2"/>
      <c r="H16" s="2">
        <f>--10340.02</f>
        <v>10340.02</v>
      </c>
      <c r="I16" s="2"/>
      <c r="J16" s="19"/>
      <c r="K16" s="2"/>
      <c r="L16" s="2">
        <f t="shared" si="0"/>
        <v>-14506.48</v>
      </c>
      <c r="M16" s="2"/>
      <c r="N16" s="19">
        <f t="shared" si="1"/>
        <v>-1.4029450620018142</v>
      </c>
      <c r="O16" s="11"/>
      <c r="P16" s="2">
        <f>--299952.13</f>
        <v>299952.13</v>
      </c>
      <c r="Q16" s="2"/>
      <c r="R16" s="19"/>
      <c r="S16" s="2"/>
      <c r="T16" s="2">
        <f>--316422.44</f>
        <v>316422.44</v>
      </c>
      <c r="U16" s="2"/>
      <c r="V16" s="19"/>
      <c r="W16" s="2"/>
      <c r="X16" s="2">
        <f t="shared" si="2"/>
        <v>-16470.309999999998</v>
      </c>
      <c r="Y16" s="2"/>
      <c r="Z16" s="19">
        <f t="shared" si="3"/>
        <v>-5.2051649687044947E-2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--637.61</f>
        <v>637.61</v>
      </c>
      <c r="I17" s="2"/>
      <c r="J17" s="19"/>
      <c r="K17" s="2"/>
      <c r="L17" s="2">
        <f t="shared" si="0"/>
        <v>-637.61</v>
      </c>
      <c r="M17" s="2"/>
      <c r="N17" s="19">
        <f t="shared" si="1"/>
        <v>-1</v>
      </c>
      <c r="O17" s="11"/>
      <c r="P17" s="2">
        <f>--3733.9</f>
        <v>3733.9</v>
      </c>
      <c r="Q17" s="2"/>
      <c r="R17" s="19"/>
      <c r="S17" s="2"/>
      <c r="T17" s="2">
        <f>--8469.13</f>
        <v>8469.1299999999992</v>
      </c>
      <c r="U17" s="2"/>
      <c r="V17" s="19"/>
      <c r="W17" s="2"/>
      <c r="X17" s="2">
        <f t="shared" si="2"/>
        <v>-4735.2299999999996</v>
      </c>
      <c r="Y17" s="2"/>
      <c r="Z17" s="19">
        <f t="shared" si="3"/>
        <v>-0.55911646178533092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>--383.7</f>
        <v>383.7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383.7</v>
      </c>
      <c r="M18" s="2"/>
      <c r="N18" s="19">
        <f t="shared" si="1"/>
        <v>0</v>
      </c>
      <c r="O18" s="11"/>
      <c r="P18" s="2">
        <f>--383.7</f>
        <v>383.7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-671.2</v>
      </c>
      <c r="Y18" s="2"/>
      <c r="Z18" s="19">
        <f t="shared" si="3"/>
        <v>-0.63626884064840272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26408.559999999998</v>
      </c>
      <c r="E20" s="4"/>
      <c r="F20" s="12">
        <f t="shared" ref="F20:F22" si="4">IF(D$12=0,0,D20/D$12)</f>
        <v>0.21546367847965889</v>
      </c>
      <c r="G20" s="4"/>
      <c r="H20" s="4">
        <f>SUM(OSRRefH16x_0)</f>
        <v>136918.82</v>
      </c>
      <c r="I20" s="4"/>
      <c r="J20" s="12">
        <f t="shared" ref="J20:J22" si="5">IF(H$12=0,0,H20/H$12)</f>
        <v>0.20663342785701888</v>
      </c>
      <c r="K20" s="4"/>
      <c r="L20" s="4">
        <f t="shared" ref="L20:L22" si="6">+D20-H20</f>
        <v>-110510.26000000001</v>
      </c>
      <c r="M20" s="4"/>
      <c r="N20" s="12">
        <f t="shared" ref="N20:N22" si="7">IF(H20=0,0,L20/H20)</f>
        <v>-0.80712249784215206</v>
      </c>
      <c r="O20" s="10"/>
      <c r="P20" s="4">
        <f>SUM(OSRRefP16x_0)</f>
        <v>2195142.14</v>
      </c>
      <c r="Q20" s="4"/>
      <c r="R20" s="12">
        <f t="shared" ref="R20:R22" si="8">IF(P$12=0,0,P20/P$12)</f>
        <v>0.23932666076461012</v>
      </c>
      <c r="S20" s="4"/>
      <c r="T20" s="4">
        <f>SUM(OSRRefT16x_0)</f>
        <v>2631960.66</v>
      </c>
      <c r="U20" s="4"/>
      <c r="V20" s="12">
        <f t="shared" ref="V20:V22" si="9">IF(T$12=0,0,T20/T$12)</f>
        <v>0.24408932323736979</v>
      </c>
      <c r="W20" s="4"/>
      <c r="X20" s="4">
        <f t="shared" ref="X20:X22" si="10">+P20-T20</f>
        <v>-436818.52</v>
      </c>
      <c r="Y20" s="4"/>
      <c r="Z20" s="12">
        <f t="shared" ref="Z20:Z22" si="11">IF(T20=0,0,X20/T20)</f>
        <v>-0.16596696395910415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13513.56</v>
      </c>
      <c r="E21" s="2"/>
      <c r="F21" s="19">
        <f t="shared" si="4"/>
        <v>0.11025521069515261</v>
      </c>
      <c r="G21" s="2"/>
      <c r="H21" s="2">
        <v>125655.32</v>
      </c>
      <c r="I21" s="2"/>
      <c r="J21" s="19">
        <f t="shared" si="5"/>
        <v>0.18963492016707872</v>
      </c>
      <c r="K21" s="2"/>
      <c r="L21" s="2">
        <f t="shared" si="6"/>
        <v>-112141.76000000001</v>
      </c>
      <c r="M21" s="2"/>
      <c r="N21" s="19">
        <f t="shared" si="7"/>
        <v>-0.89245532938836181</v>
      </c>
      <c r="O21" s="11"/>
      <c r="P21" s="2">
        <v>2172140.4</v>
      </c>
      <c r="Q21" s="2"/>
      <c r="R21" s="19">
        <f t="shared" si="8"/>
        <v>0.2368188825548693</v>
      </c>
      <c r="S21" s="2"/>
      <c r="T21" s="2">
        <v>2636508.64</v>
      </c>
      <c r="U21" s="2"/>
      <c r="V21" s="19">
        <f t="shared" si="9"/>
        <v>0.24451110513448107</v>
      </c>
      <c r="W21" s="2"/>
      <c r="X21" s="2">
        <f t="shared" si="10"/>
        <v>-464368.24000000022</v>
      </c>
      <c r="Y21" s="2"/>
      <c r="Z21" s="19">
        <f t="shared" si="11"/>
        <v>-0.17612998984899977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12895</v>
      </c>
      <c r="E22" s="2"/>
      <c r="F22" s="19">
        <f t="shared" si="4"/>
        <v>0.10520846778450631</v>
      </c>
      <c r="G22" s="2"/>
      <c r="H22" s="2">
        <v>11263.5</v>
      </c>
      <c r="I22" s="2"/>
      <c r="J22" s="19">
        <f t="shared" si="5"/>
        <v>1.6998507689940157E-2</v>
      </c>
      <c r="K22" s="2"/>
      <c r="L22" s="2">
        <f t="shared" si="6"/>
        <v>1631.5</v>
      </c>
      <c r="M22" s="2"/>
      <c r="N22" s="19">
        <f t="shared" si="7"/>
        <v>0.14484840413725752</v>
      </c>
      <c r="O22" s="11"/>
      <c r="P22" s="2">
        <v>23001.74</v>
      </c>
      <c r="Q22" s="2"/>
      <c r="R22" s="19">
        <f t="shared" si="8"/>
        <v>2.5077782097407885E-3</v>
      </c>
      <c r="S22" s="2"/>
      <c r="T22" s="2">
        <v>-4547.9799999999996</v>
      </c>
      <c r="U22" s="2"/>
      <c r="V22" s="19">
        <f t="shared" si="9"/>
        <v>-4.2178189711129376E-4</v>
      </c>
      <c r="W22" s="2"/>
      <c r="X22" s="2">
        <f t="shared" si="10"/>
        <v>27549.72</v>
      </c>
      <c r="Y22" s="2"/>
      <c r="Z22" s="19">
        <f t="shared" si="11"/>
        <v>-6.0575728125453505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1">
        <f>D12-D20</f>
        <v>96157.62</v>
      </c>
      <c r="E24" s="14"/>
      <c r="F24" s="20">
        <f>IF(D$12=0,0,D24/D$12)</f>
        <v>0.78453632152034114</v>
      </c>
      <c r="G24" s="14"/>
      <c r="H24" s="21">
        <f>H12-H20</f>
        <v>525698.16999999993</v>
      </c>
      <c r="I24" s="14"/>
      <c r="J24" s="20">
        <f>IF(H$12=0,0,H24/H$12)</f>
        <v>0.79336657214298101</v>
      </c>
      <c r="K24" s="16"/>
      <c r="L24" s="21">
        <f>+D24-H24</f>
        <v>-429540.54999999993</v>
      </c>
      <c r="M24" s="16"/>
      <c r="N24" s="20">
        <f>IF(H24=0,0,L24/H24)</f>
        <v>-0.81708587648307773</v>
      </c>
      <c r="O24" s="28"/>
      <c r="P24" s="21">
        <f>P12-P20</f>
        <v>6977016.6699999999</v>
      </c>
      <c r="Q24" s="14"/>
      <c r="R24" s="20">
        <f>IF(P$12=0,0,P24/P$12)</f>
        <v>0.76067333923538982</v>
      </c>
      <c r="S24" s="14"/>
      <c r="T24" s="21">
        <f>T12-T20</f>
        <v>8150816.0100000016</v>
      </c>
      <c r="U24" s="14"/>
      <c r="V24" s="20">
        <f>IF(T$12=0,0,T24/T$12)</f>
        <v>0.75591067676263024</v>
      </c>
      <c r="W24" s="16"/>
      <c r="X24" s="21">
        <f>+P24-T24</f>
        <v>-1173799.3400000017</v>
      </c>
      <c r="Y24" s="16"/>
      <c r="Z24" s="20">
        <f>IF(T24=0,0,X24/T24)</f>
        <v>-0.14401004004505819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2">
        <f>SUM(OSRRefD22x_0)</f>
        <v>174716.46999999991</v>
      </c>
      <c r="E26" s="22"/>
      <c r="F26" s="31">
        <f t="shared" ref="F26:F36" si="12">IF(D$12=0,0,D26/D$12)</f>
        <v>1.4254867859959406</v>
      </c>
      <c r="G26" s="22"/>
      <c r="H26" s="22">
        <f>SUM(OSRRefH22x_0)</f>
        <v>463061.03000000009</v>
      </c>
      <c r="I26" s="22"/>
      <c r="J26" s="31">
        <f t="shared" ref="J26:J36" si="13">IF(H$12=0,0,H26/H$12)</f>
        <v>0.6988366386439927</v>
      </c>
      <c r="K26" s="4"/>
      <c r="L26" s="22">
        <f t="shared" ref="L26:L36" si="14">+D26-H26</f>
        <v>-288344.56000000017</v>
      </c>
      <c r="M26" s="4"/>
      <c r="N26" s="31">
        <f t="shared" ref="N26:N36" si="15">IF(H26=0,0,L26/H26)</f>
        <v>-0.62269234791794104</v>
      </c>
      <c r="O26" s="10"/>
      <c r="P26" s="22">
        <f>SUM(OSRRefP22x_0)</f>
        <v>4813666.4500000011</v>
      </c>
      <c r="Q26" s="22"/>
      <c r="R26" s="31">
        <f t="shared" ref="R26:R36" si="16">IF(P$12=0,0,P26/P$12)</f>
        <v>0.52481281121646872</v>
      </c>
      <c r="S26" s="22"/>
      <c r="T26" s="22">
        <f>SUM(OSRRefT22x_0)</f>
        <v>4994695.629999999</v>
      </c>
      <c r="U26" s="22"/>
      <c r="V26" s="31">
        <f t="shared" ref="V26:V36" si="17">IF(T$12=0,0,T26/T$12)</f>
        <v>0.46321052386221762</v>
      </c>
      <c r="W26" s="4"/>
      <c r="X26" s="22">
        <f t="shared" ref="X26:X36" si="18">+P26-T26</f>
        <v>-181029.17999999784</v>
      </c>
      <c r="Y26" s="4"/>
      <c r="Z26" s="31">
        <f t="shared" ref="Z26:Z36" si="19">IF(T26=0,0,X26/T26)</f>
        <v>-3.6244286621324687E-2</v>
      </c>
    </row>
    <row r="27" spans="1:26" s="27" customFormat="1" outlineLevel="1" collapsed="1" x14ac:dyDescent="0.25">
      <c r="A27" s="25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71605.189999999988</v>
      </c>
      <c r="E27" s="1"/>
      <c r="F27" s="5">
        <f t="shared" si="12"/>
        <v>0.58421654325850725</v>
      </c>
      <c r="G27" s="1"/>
      <c r="H27" s="1">
        <f>SUM(OSRRefH22_0x_0)</f>
        <v>99367.909999999989</v>
      </c>
      <c r="I27" s="1"/>
      <c r="J27" s="5">
        <f t="shared" si="13"/>
        <v>0.14996281637752754</v>
      </c>
      <c r="K27" s="1"/>
      <c r="L27" s="1">
        <f t="shared" si="14"/>
        <v>-27762.720000000001</v>
      </c>
      <c r="M27" s="1"/>
      <c r="N27" s="5">
        <f t="shared" si="15"/>
        <v>-0.27939321658269761</v>
      </c>
      <c r="O27" s="13"/>
      <c r="P27" s="1">
        <f>SUM(OSRRefP22_0x_0)</f>
        <v>943497.00999999978</v>
      </c>
      <c r="Q27" s="1"/>
      <c r="R27" s="5">
        <f t="shared" si="16"/>
        <v>0.10286531552106867</v>
      </c>
      <c r="S27" s="1"/>
      <c r="T27" s="1">
        <f>SUM(OSRRefT22_0x_0)</f>
        <v>988931.78999999992</v>
      </c>
      <c r="U27" s="1"/>
      <c r="V27" s="5">
        <f t="shared" si="17"/>
        <v>9.1714019520725151E-2</v>
      </c>
      <c r="W27" s="1"/>
      <c r="X27" s="1">
        <f t="shared" si="18"/>
        <v>-45434.780000000144</v>
      </c>
      <c r="Y27" s="1"/>
      <c r="Z27" s="5">
        <f t="shared" si="19"/>
        <v>-4.5943289981607474E-2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>
        <v>6769.18</v>
      </c>
      <c r="E28" s="2"/>
      <c r="F28" s="7">
        <f t="shared" si="12"/>
        <v>5.5228775180885953E-2</v>
      </c>
      <c r="G28" s="2"/>
      <c r="H28" s="6">
        <v>16715.52</v>
      </c>
      <c r="I28" s="2"/>
      <c r="J28" s="7">
        <f t="shared" si="13"/>
        <v>2.5226518867256936E-2</v>
      </c>
      <c r="K28" s="2"/>
      <c r="L28" s="6">
        <f t="shared" si="14"/>
        <v>-9946.34</v>
      </c>
      <c r="M28" s="2"/>
      <c r="N28" s="7">
        <f t="shared" si="15"/>
        <v>-0.59503622980320081</v>
      </c>
      <c r="O28" s="11"/>
      <c r="P28" s="6">
        <v>143677.36000000002</v>
      </c>
      <c r="Q28" s="2"/>
      <c r="R28" s="7">
        <f t="shared" si="16"/>
        <v>1.5664508538966303E-2</v>
      </c>
      <c r="S28" s="2"/>
      <c r="T28" s="6">
        <v>138623.29</v>
      </c>
      <c r="U28" s="2"/>
      <c r="V28" s="7">
        <f t="shared" si="17"/>
        <v>1.2855991943678082E-2</v>
      </c>
      <c r="W28" s="2"/>
      <c r="X28" s="6">
        <f t="shared" si="18"/>
        <v>5054.070000000007</v>
      </c>
      <c r="Y28" s="2"/>
      <c r="Z28" s="7">
        <f t="shared" si="19"/>
        <v>3.6459025031075273E-2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>
        <v>5577.67</v>
      </c>
      <c r="E29" s="2"/>
      <c r="F29" s="7">
        <f t="shared" si="12"/>
        <v>4.5507414851307271E-2</v>
      </c>
      <c r="G29" s="2"/>
      <c r="H29" s="6">
        <v>9648.15</v>
      </c>
      <c r="I29" s="2"/>
      <c r="J29" s="7">
        <f t="shared" si="13"/>
        <v>1.456067403282249E-2</v>
      </c>
      <c r="K29" s="2"/>
      <c r="L29" s="6">
        <f t="shared" si="14"/>
        <v>-4070.4799999999996</v>
      </c>
      <c r="M29" s="2"/>
      <c r="N29" s="7">
        <f t="shared" si="15"/>
        <v>-0.42189227986712474</v>
      </c>
      <c r="O29" s="11"/>
      <c r="P29" s="6">
        <v>91553.67</v>
      </c>
      <c r="Q29" s="2"/>
      <c r="R29" s="7">
        <f t="shared" si="16"/>
        <v>9.9816926305487715E-3</v>
      </c>
      <c r="S29" s="2"/>
      <c r="T29" s="6">
        <v>84479.62999999999</v>
      </c>
      <c r="U29" s="2"/>
      <c r="V29" s="7">
        <f t="shared" si="17"/>
        <v>7.8346823443946906E-3</v>
      </c>
      <c r="W29" s="2"/>
      <c r="X29" s="6">
        <f t="shared" si="18"/>
        <v>7074.0400000000081</v>
      </c>
      <c r="Y29" s="2"/>
      <c r="Z29" s="7">
        <f t="shared" si="19"/>
        <v>8.3736635683655442E-2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>
        <v>41691.089999999997</v>
      </c>
      <c r="E30" s="2"/>
      <c r="F30" s="7">
        <f t="shared" si="12"/>
        <v>0.34015166337076019</v>
      </c>
      <c r="G30" s="2"/>
      <c r="H30" s="6">
        <v>45732.28</v>
      </c>
      <c r="I30" s="2"/>
      <c r="J30" s="7">
        <f t="shared" si="13"/>
        <v>6.9017668864784165E-2</v>
      </c>
      <c r="K30" s="2"/>
      <c r="L30" s="6">
        <f t="shared" si="14"/>
        <v>-4041.1900000000023</v>
      </c>
      <c r="M30" s="2"/>
      <c r="N30" s="7">
        <f t="shared" si="15"/>
        <v>-8.8366248085597357E-2</v>
      </c>
      <c r="O30" s="11"/>
      <c r="P30" s="6">
        <v>516248.63</v>
      </c>
      <c r="Q30" s="2"/>
      <c r="R30" s="7">
        <f t="shared" si="16"/>
        <v>5.6284310018395768E-2</v>
      </c>
      <c r="S30" s="2"/>
      <c r="T30" s="6">
        <v>498174.06000000006</v>
      </c>
      <c r="U30" s="2"/>
      <c r="V30" s="7">
        <f t="shared" si="17"/>
        <v>4.6200906802236492E-2</v>
      </c>
      <c r="W30" s="2"/>
      <c r="X30" s="6">
        <f t="shared" si="18"/>
        <v>18074.569999999949</v>
      </c>
      <c r="Y30" s="2"/>
      <c r="Z30" s="7">
        <f t="shared" si="19"/>
        <v>3.6281636181538533E-2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>
        <v>379.18</v>
      </c>
      <c r="E31" s="2"/>
      <c r="F31" s="7">
        <f t="shared" si="12"/>
        <v>3.0936755963186582E-3</v>
      </c>
      <c r="G31" s="2"/>
      <c r="H31" s="6">
        <v>720.63</v>
      </c>
      <c r="I31" s="2"/>
      <c r="J31" s="7">
        <f t="shared" si="13"/>
        <v>1.0875513469704421E-3</v>
      </c>
      <c r="K31" s="2"/>
      <c r="L31" s="6">
        <f t="shared" si="14"/>
        <v>-341.45</v>
      </c>
      <c r="M31" s="2"/>
      <c r="N31" s="7">
        <f t="shared" si="15"/>
        <v>-0.47382151728348804</v>
      </c>
      <c r="O31" s="11"/>
      <c r="P31" s="6">
        <v>7153.84</v>
      </c>
      <c r="Q31" s="2"/>
      <c r="R31" s="7">
        <f t="shared" si="16"/>
        <v>7.7995160661637082E-4</v>
      </c>
      <c r="S31" s="2"/>
      <c r="T31" s="6">
        <v>7071.44</v>
      </c>
      <c r="U31" s="2"/>
      <c r="V31" s="7">
        <f t="shared" si="17"/>
        <v>6.5580881589380057E-4</v>
      </c>
      <c r="W31" s="2"/>
      <c r="X31" s="6">
        <f t="shared" si="18"/>
        <v>82.400000000000546</v>
      </c>
      <c r="Y31" s="2"/>
      <c r="Z31" s="7">
        <f t="shared" si="19"/>
        <v>1.1652506420191722E-2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>
        <v>3282.73</v>
      </c>
      <c r="E32" s="2"/>
      <c r="F32" s="7">
        <f t="shared" si="12"/>
        <v>2.6783326362949389E-2</v>
      </c>
      <c r="G32" s="2"/>
      <c r="H32" s="6">
        <v>3639.48</v>
      </c>
      <c r="I32" s="2"/>
      <c r="J32" s="7">
        <f t="shared" si="13"/>
        <v>5.4925847886876551E-3</v>
      </c>
      <c r="K32" s="2"/>
      <c r="L32" s="6">
        <f t="shared" si="14"/>
        <v>-356.75</v>
      </c>
      <c r="M32" s="2"/>
      <c r="N32" s="7">
        <f t="shared" si="15"/>
        <v>-9.802224493608977E-2</v>
      </c>
      <c r="O32" s="11"/>
      <c r="P32" s="6">
        <v>48405.71</v>
      </c>
      <c r="Q32" s="2"/>
      <c r="R32" s="7">
        <f t="shared" si="16"/>
        <v>5.2774609557812479E-3</v>
      </c>
      <c r="S32" s="2"/>
      <c r="T32" s="6">
        <v>44903.369999999995</v>
      </c>
      <c r="U32" s="2"/>
      <c r="V32" s="7">
        <f t="shared" si="17"/>
        <v>4.1643605700311687E-3</v>
      </c>
      <c r="W32" s="2"/>
      <c r="X32" s="6">
        <f t="shared" si="18"/>
        <v>3502.3400000000038</v>
      </c>
      <c r="Y32" s="2"/>
      <c r="Z32" s="7">
        <f t="shared" si="19"/>
        <v>7.7997263902464434E-2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1448.63</v>
      </c>
      <c r="E33" s="2"/>
      <c r="F33" s="7">
        <f t="shared" si="12"/>
        <v>1.1819165776399332E-2</v>
      </c>
      <c r="G33" s="2"/>
      <c r="H33" s="6">
        <v>1438.2</v>
      </c>
      <c r="I33" s="2"/>
      <c r="J33" s="7">
        <f t="shared" si="13"/>
        <v>2.1704846415121354E-3</v>
      </c>
      <c r="K33" s="2"/>
      <c r="L33" s="6">
        <f t="shared" si="14"/>
        <v>10.430000000000064</v>
      </c>
      <c r="M33" s="2"/>
      <c r="N33" s="7">
        <f t="shared" si="15"/>
        <v>7.252120706438648E-3</v>
      </c>
      <c r="O33" s="11"/>
      <c r="P33" s="6">
        <v>19423.689999999999</v>
      </c>
      <c r="Q33" s="2"/>
      <c r="R33" s="7">
        <f t="shared" si="16"/>
        <v>2.1176792075190856E-3</v>
      </c>
      <c r="S33" s="2"/>
      <c r="T33" s="6">
        <v>17058.38</v>
      </c>
      <c r="U33" s="2"/>
      <c r="V33" s="7">
        <f t="shared" si="17"/>
        <v>1.5820025325628856E-3</v>
      </c>
      <c r="W33" s="2"/>
      <c r="X33" s="6">
        <f t="shared" si="18"/>
        <v>2365.3099999999977</v>
      </c>
      <c r="Y33" s="2"/>
      <c r="Z33" s="7">
        <f t="shared" si="19"/>
        <v>0.13865970860069934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5908.39</v>
      </c>
      <c r="E34" s="2"/>
      <c r="F34" s="7">
        <f t="shared" si="12"/>
        <v>4.8205712211965818E-2</v>
      </c>
      <c r="G34" s="2"/>
      <c r="H34" s="6">
        <v>11207.64</v>
      </c>
      <c r="I34" s="2"/>
      <c r="J34" s="7">
        <f t="shared" si="13"/>
        <v>1.6914205595603578E-2</v>
      </c>
      <c r="K34" s="2"/>
      <c r="L34" s="6">
        <f t="shared" si="14"/>
        <v>-5299.2499999999991</v>
      </c>
      <c r="M34" s="2"/>
      <c r="N34" s="7">
        <f t="shared" si="15"/>
        <v>-0.47282478737718192</v>
      </c>
      <c r="O34" s="11"/>
      <c r="P34" s="6">
        <v>92741.95</v>
      </c>
      <c r="Q34" s="2"/>
      <c r="R34" s="7">
        <f t="shared" si="16"/>
        <v>1.0111245555287108E-2</v>
      </c>
      <c r="S34" s="2"/>
      <c r="T34" s="6">
        <v>92220.150000000009</v>
      </c>
      <c r="U34" s="2"/>
      <c r="V34" s="7">
        <f t="shared" si="17"/>
        <v>8.5525419678380479E-3</v>
      </c>
      <c r="W34" s="2"/>
      <c r="X34" s="6">
        <f t="shared" si="18"/>
        <v>521.79999999998836</v>
      </c>
      <c r="Y34" s="2"/>
      <c r="Z34" s="7">
        <f t="shared" si="19"/>
        <v>5.658199428215941E-3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4472.3100000000004</v>
      </c>
      <c r="E35" s="2"/>
      <c r="F35" s="7">
        <f t="shared" si="12"/>
        <v>3.6488940097504877E-2</v>
      </c>
      <c r="G35" s="2"/>
      <c r="H35" s="6">
        <v>7109.54</v>
      </c>
      <c r="I35" s="2"/>
      <c r="J35" s="7">
        <f t="shared" si="13"/>
        <v>1.0729486426238482E-2</v>
      </c>
      <c r="K35" s="2"/>
      <c r="L35" s="6">
        <f t="shared" si="14"/>
        <v>-2637.2299999999996</v>
      </c>
      <c r="M35" s="2"/>
      <c r="N35" s="7">
        <f t="shared" si="15"/>
        <v>-0.37094242384176745</v>
      </c>
      <c r="O35" s="11"/>
      <c r="P35" s="6">
        <v>-14315.68</v>
      </c>
      <c r="Q35" s="2"/>
      <c r="R35" s="7">
        <f t="shared" si="16"/>
        <v>-1.560775417930209E-3</v>
      </c>
      <c r="S35" s="2"/>
      <c r="T35" s="6">
        <v>68891.13</v>
      </c>
      <c r="U35" s="2"/>
      <c r="V35" s="7">
        <f t="shared" si="17"/>
        <v>6.3889972043722201E-3</v>
      </c>
      <c r="W35" s="2"/>
      <c r="X35" s="6">
        <f t="shared" si="18"/>
        <v>-83206.81</v>
      </c>
      <c r="Y35" s="2"/>
      <c r="Z35" s="7">
        <f t="shared" si="19"/>
        <v>-1.2078014978125631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2076.0100000000002</v>
      </c>
      <c r="E36" s="2"/>
      <c r="F36" s="7">
        <f t="shared" si="12"/>
        <v>1.6937869810415895E-2</v>
      </c>
      <c r="G36" s="2"/>
      <c r="H36" s="6">
        <v>3156.47</v>
      </c>
      <c r="I36" s="2"/>
      <c r="J36" s="7">
        <f t="shared" si="13"/>
        <v>4.7636418136516537E-3</v>
      </c>
      <c r="K36" s="2"/>
      <c r="L36" s="6">
        <f t="shared" si="14"/>
        <v>-1080.4599999999996</v>
      </c>
      <c r="M36" s="2"/>
      <c r="N36" s="7">
        <f t="shared" si="15"/>
        <v>-0.3423001010622625</v>
      </c>
      <c r="O36" s="11"/>
      <c r="P36" s="6">
        <v>38607.839999999997</v>
      </c>
      <c r="Q36" s="2"/>
      <c r="R36" s="7">
        <f t="shared" si="16"/>
        <v>4.2092424258842499E-3</v>
      </c>
      <c r="S36" s="2"/>
      <c r="T36" s="6">
        <v>37510.339999999997</v>
      </c>
      <c r="U36" s="2"/>
      <c r="V36" s="7">
        <f t="shared" si="17"/>
        <v>3.4787273397177752E-3</v>
      </c>
      <c r="W36" s="2"/>
      <c r="X36" s="6">
        <f t="shared" si="18"/>
        <v>1097.5</v>
      </c>
      <c r="Y36" s="2"/>
      <c r="Z36" s="7">
        <f t="shared" si="19"/>
        <v>2.9258599095609374E-2</v>
      </c>
    </row>
    <row r="37" spans="1:26" s="27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65388.45</v>
      </c>
      <c r="E37" s="1"/>
      <c r="F37" s="5">
        <f t="shared" ref="F37:F44" si="20">IF(D$12=0,0,D37/D$12)</f>
        <v>0.53349504732871667</v>
      </c>
      <c r="G37" s="1"/>
      <c r="H37" s="1">
        <f>SUM(OSRRefH22_1x_0)</f>
        <v>234826.44999999998</v>
      </c>
      <c r="I37" s="1"/>
      <c r="J37" s="5">
        <f t="shared" ref="J37:J44" si="21">IF(H$12=0,0,H37/H$12)</f>
        <v>0.35439243717550917</v>
      </c>
      <c r="K37" s="1"/>
      <c r="L37" s="1">
        <f t="shared" ref="L37:L44" si="22">+D37-H37</f>
        <v>-169438</v>
      </c>
      <c r="M37" s="1"/>
      <c r="N37" s="5">
        <f t="shared" ref="N37:N44" si="23">IF(H37=0,0,L37/H37)</f>
        <v>-0.72154563508497449</v>
      </c>
      <c r="O37" s="13"/>
      <c r="P37" s="1">
        <f>SUM(OSRRefP22_1x_0)</f>
        <v>2534012.4000000004</v>
      </c>
      <c r="Q37" s="1"/>
      <c r="R37" s="5">
        <f t="shared" ref="R37:R44" si="24">IF(P$12=0,0,P37/P$12)</f>
        <v>0.27627218984011465</v>
      </c>
      <c r="S37" s="1"/>
      <c r="T37" s="1">
        <f>SUM(OSRRefT22_1x_0)</f>
        <v>2526884.42</v>
      </c>
      <c r="U37" s="1"/>
      <c r="V37" s="5">
        <f t="shared" ref="V37:V44" si="25">IF(T$12=0,0,T37/T$12)</f>
        <v>0.23434450117383351</v>
      </c>
      <c r="W37" s="1"/>
      <c r="X37" s="1">
        <f t="shared" ref="X37:X44" si="26">+P37-T37</f>
        <v>7127.980000000447</v>
      </c>
      <c r="Y37" s="1"/>
      <c r="Z37" s="5">
        <f t="shared" ref="Z37:Z44" si="27">IF(T37=0,0,X37/T37)</f>
        <v>2.8208571565772078E-3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>
        <v>8959.5400000000009</v>
      </c>
      <c r="E38" s="2"/>
      <c r="F38" s="7">
        <f t="shared" si="20"/>
        <v>7.3099610349282335E-2</v>
      </c>
      <c r="G38" s="2"/>
      <c r="H38" s="6">
        <v>9489.31</v>
      </c>
      <c r="I38" s="2"/>
      <c r="J38" s="7">
        <f t="shared" si="21"/>
        <v>1.4320957873416435E-2</v>
      </c>
      <c r="K38" s="2"/>
      <c r="L38" s="6">
        <f t="shared" si="22"/>
        <v>-529.76999999999862</v>
      </c>
      <c r="M38" s="2"/>
      <c r="N38" s="7">
        <f t="shared" si="23"/>
        <v>-5.5828084444495822E-2</v>
      </c>
      <c r="O38" s="11"/>
      <c r="P38" s="6">
        <v>91631.709999999992</v>
      </c>
      <c r="Q38" s="2"/>
      <c r="R38" s="7">
        <f t="shared" si="24"/>
        <v>9.9902009873725668E-3</v>
      </c>
      <c r="S38" s="2"/>
      <c r="T38" s="6">
        <v>85799.62999999999</v>
      </c>
      <c r="U38" s="2"/>
      <c r="V38" s="7">
        <f t="shared" si="25"/>
        <v>7.9570997921818206E-3</v>
      </c>
      <c r="W38" s="2"/>
      <c r="X38" s="6">
        <f t="shared" si="26"/>
        <v>5832.0800000000017</v>
      </c>
      <c r="Y38" s="2"/>
      <c r="Z38" s="7">
        <f t="shared" si="27"/>
        <v>6.7973253497713243E-2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14298.82</v>
      </c>
      <c r="E39" s="2"/>
      <c r="F39" s="7">
        <f t="shared" si="20"/>
        <v>0.11666203515521166</v>
      </c>
      <c r="G39" s="2"/>
      <c r="H39" s="6">
        <v>38590.15</v>
      </c>
      <c r="I39" s="2"/>
      <c r="J39" s="7">
        <f t="shared" si="21"/>
        <v>5.8238998671012045E-2</v>
      </c>
      <c r="K39" s="2"/>
      <c r="L39" s="6">
        <f t="shared" si="22"/>
        <v>-24291.33</v>
      </c>
      <c r="M39" s="2"/>
      <c r="N39" s="7">
        <f t="shared" si="23"/>
        <v>-0.62946969628260063</v>
      </c>
      <c r="O39" s="11"/>
      <c r="P39" s="6">
        <v>409872.81</v>
      </c>
      <c r="Q39" s="2"/>
      <c r="R39" s="7">
        <f t="shared" si="24"/>
        <v>4.4686623780775987E-2</v>
      </c>
      <c r="S39" s="2"/>
      <c r="T39" s="6">
        <v>407695.88</v>
      </c>
      <c r="U39" s="2"/>
      <c r="V39" s="7">
        <f t="shared" si="25"/>
        <v>3.7809915987066428E-2</v>
      </c>
      <c r="W39" s="2"/>
      <c r="X39" s="6">
        <f t="shared" si="26"/>
        <v>2176.929999999993</v>
      </c>
      <c r="Y39" s="2"/>
      <c r="Z39" s="7">
        <f t="shared" si="27"/>
        <v>5.3395928357186069E-3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42130.09</v>
      </c>
      <c r="E40" s="2"/>
      <c r="F40" s="7">
        <f t="shared" si="20"/>
        <v>0.34373340182422263</v>
      </c>
      <c r="G40" s="2"/>
      <c r="H40" s="6">
        <v>68113.69</v>
      </c>
      <c r="I40" s="2"/>
      <c r="J40" s="7">
        <f t="shared" si="21"/>
        <v>0.1027949645541084</v>
      </c>
      <c r="K40" s="2"/>
      <c r="L40" s="6">
        <f t="shared" si="22"/>
        <v>-25983.600000000006</v>
      </c>
      <c r="M40" s="2"/>
      <c r="N40" s="7">
        <f t="shared" si="23"/>
        <v>-0.38147397388102167</v>
      </c>
      <c r="O40" s="11"/>
      <c r="P40" s="6">
        <v>665161.30000000005</v>
      </c>
      <c r="Q40" s="2"/>
      <c r="R40" s="7">
        <f t="shared" si="24"/>
        <v>7.2519601304199405E-2</v>
      </c>
      <c r="S40" s="2"/>
      <c r="T40" s="6">
        <v>622440.1399999999</v>
      </c>
      <c r="U40" s="2"/>
      <c r="V40" s="7">
        <f t="shared" si="25"/>
        <v>5.772540404474498E-2</v>
      </c>
      <c r="W40" s="2"/>
      <c r="X40" s="6">
        <f t="shared" si="26"/>
        <v>42721.160000000149</v>
      </c>
      <c r="Y40" s="2"/>
      <c r="Z40" s="7">
        <f t="shared" si="27"/>
        <v>6.8634969460678028E-2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56061.75</v>
      </c>
      <c r="I41" s="2"/>
      <c r="J41" s="7">
        <f t="shared" si="21"/>
        <v>8.4606568871709739E-2</v>
      </c>
      <c r="K41" s="2"/>
      <c r="L41" s="6">
        <f t="shared" si="22"/>
        <v>-56061.75</v>
      </c>
      <c r="M41" s="2"/>
      <c r="N41" s="7">
        <f t="shared" si="23"/>
        <v>-1</v>
      </c>
      <c r="O41" s="11"/>
      <c r="P41" s="6">
        <v>393545.39999999997</v>
      </c>
      <c r="Q41" s="2"/>
      <c r="R41" s="7">
        <f t="shared" si="24"/>
        <v>4.2906518318341233E-2</v>
      </c>
      <c r="S41" s="2"/>
      <c r="T41" s="6">
        <v>431540.49</v>
      </c>
      <c r="U41" s="2"/>
      <c r="V41" s="7">
        <f t="shared" si="25"/>
        <v>4.002127682015693E-2</v>
      </c>
      <c r="W41" s="2"/>
      <c r="X41" s="6">
        <f t="shared" si="26"/>
        <v>-37995.090000000026</v>
      </c>
      <c r="Y41" s="2"/>
      <c r="Z41" s="7">
        <f t="shared" si="27"/>
        <v>-8.8045249241849879E-2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7600.78</v>
      </c>
      <c r="I42" s="2"/>
      <c r="J42" s="7">
        <f t="shared" si="21"/>
        <v>1.1470849849473374E-2</v>
      </c>
      <c r="K42" s="2"/>
      <c r="L42" s="6">
        <f t="shared" si="22"/>
        <v>-7600.78</v>
      </c>
      <c r="M42" s="2"/>
      <c r="N42" s="7">
        <f t="shared" si="23"/>
        <v>-1</v>
      </c>
      <c r="O42" s="11"/>
      <c r="P42" s="6">
        <v>34130.700000000004</v>
      </c>
      <c r="Q42" s="2"/>
      <c r="R42" s="7">
        <f t="shared" si="24"/>
        <v>3.7211196084817903E-3</v>
      </c>
      <c r="S42" s="2"/>
      <c r="T42" s="6">
        <v>33233.33</v>
      </c>
      <c r="U42" s="2"/>
      <c r="V42" s="7">
        <f t="shared" si="25"/>
        <v>3.08207533338442E-3</v>
      </c>
      <c r="W42" s="2"/>
      <c r="X42" s="6">
        <f t="shared" si="26"/>
        <v>897.37000000000262</v>
      </c>
      <c r="Y42" s="2"/>
      <c r="Z42" s="7">
        <f t="shared" si="27"/>
        <v>2.7002109027292859E-2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0"/>
        <v>0</v>
      </c>
      <c r="G43" s="2"/>
      <c r="H43" s="6">
        <v>28245.27</v>
      </c>
      <c r="I43" s="2"/>
      <c r="J43" s="7">
        <f t="shared" si="21"/>
        <v>4.2626842393522088E-2</v>
      </c>
      <c r="K43" s="2"/>
      <c r="L43" s="6">
        <f t="shared" si="22"/>
        <v>-28245.27</v>
      </c>
      <c r="M43" s="2"/>
      <c r="N43" s="7">
        <f t="shared" si="23"/>
        <v>-1</v>
      </c>
      <c r="O43" s="11"/>
      <c r="P43" s="6">
        <v>767218.78</v>
      </c>
      <c r="Q43" s="2"/>
      <c r="R43" s="7">
        <f t="shared" si="24"/>
        <v>8.3646477987661449E-2</v>
      </c>
      <c r="S43" s="2"/>
      <c r="T43" s="6">
        <v>729364.01</v>
      </c>
      <c r="U43" s="2"/>
      <c r="V43" s="7">
        <f t="shared" si="25"/>
        <v>6.7641576221201649E-2</v>
      </c>
      <c r="W43" s="2"/>
      <c r="X43" s="6">
        <f t="shared" si="26"/>
        <v>37854.770000000019</v>
      </c>
      <c r="Y43" s="2"/>
      <c r="Z43" s="7">
        <f t="shared" si="27"/>
        <v>5.1901066519583296E-2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26725.5</v>
      </c>
      <c r="I44" s="2"/>
      <c r="J44" s="7">
        <f t="shared" si="21"/>
        <v>4.0333254962267119E-2</v>
      </c>
      <c r="K44" s="2"/>
      <c r="L44" s="6">
        <f t="shared" si="22"/>
        <v>-26725.5</v>
      </c>
      <c r="M44" s="2"/>
      <c r="N44" s="7">
        <f t="shared" si="23"/>
        <v>-1</v>
      </c>
      <c r="O44" s="11"/>
      <c r="P44" s="6">
        <v>172451.69999999998</v>
      </c>
      <c r="Q44" s="2"/>
      <c r="R44" s="7">
        <f t="shared" si="24"/>
        <v>1.8801647853282207E-2</v>
      </c>
      <c r="S44" s="2"/>
      <c r="T44" s="6">
        <v>216810.94</v>
      </c>
      <c r="U44" s="2"/>
      <c r="V44" s="7">
        <f t="shared" si="25"/>
        <v>2.0107152975097273E-2</v>
      </c>
      <c r="W44" s="2"/>
      <c r="X44" s="6">
        <f t="shared" si="26"/>
        <v>-44359.24000000002</v>
      </c>
      <c r="Y44" s="2"/>
      <c r="Z44" s="7">
        <f t="shared" si="27"/>
        <v>-0.20459871628249027</v>
      </c>
    </row>
    <row r="45" spans="1:26" s="27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70" si="28">IF(D$12=0,0,D45/D$12)</f>
        <v>0</v>
      </c>
      <c r="G45" s="1"/>
      <c r="H45" s="1">
        <f>SUM(OSRRefH22_2x_0)</f>
        <v>111</v>
      </c>
      <c r="I45" s="1"/>
      <c r="J45" s="5">
        <f t="shared" ref="J45:J70" si="29">IF(H$12=0,0,H45/H$12)</f>
        <v>1.6751758810168752E-4</v>
      </c>
      <c r="K45" s="1"/>
      <c r="L45" s="1">
        <f t="shared" ref="L45:L70" si="30">+D45-H45</f>
        <v>-111</v>
      </c>
      <c r="M45" s="1"/>
      <c r="N45" s="5">
        <f t="shared" ref="N45:N70" si="31">IF(H45=0,0,L45/H45)</f>
        <v>-1</v>
      </c>
      <c r="O45" s="13"/>
      <c r="P45" s="1">
        <f>SUM(OSRRefP22_2x_0)</f>
        <v>8477.7099999999991</v>
      </c>
      <c r="Q45" s="1"/>
      <c r="R45" s="5">
        <f t="shared" ref="R45:R70" si="32">IF(P$12=0,0,P45/P$12)</f>
        <v>9.242873107209096E-4</v>
      </c>
      <c r="S45" s="1"/>
      <c r="T45" s="1">
        <f>SUM(OSRRefT22_2x_0)</f>
        <v>13338.11</v>
      </c>
      <c r="U45" s="1"/>
      <c r="V45" s="5">
        <f t="shared" ref="V45:V70" si="33">IF(T$12=0,0,T45/T$12)</f>
        <v>1.236982867048474E-3</v>
      </c>
      <c r="W45" s="1"/>
      <c r="X45" s="1">
        <f t="shared" ref="X45:X70" si="34">+P45-T45</f>
        <v>-4860.4000000000015</v>
      </c>
      <c r="Y45" s="1"/>
      <c r="Z45" s="5">
        <f t="shared" ref="Z45:Z70" si="35">IF(T45=0,0,X45/T45)</f>
        <v>-0.36439945389564199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111</v>
      </c>
      <c r="I46" s="2"/>
      <c r="J46" s="7">
        <f t="shared" si="29"/>
        <v>1.6751758810168752E-4</v>
      </c>
      <c r="K46" s="2"/>
      <c r="L46" s="6">
        <f t="shared" si="30"/>
        <v>-111</v>
      </c>
      <c r="M46" s="2"/>
      <c r="N46" s="7">
        <f t="shared" si="31"/>
        <v>-1</v>
      </c>
      <c r="O46" s="11"/>
      <c r="P46" s="6">
        <v>8477.7099999999991</v>
      </c>
      <c r="Q46" s="2"/>
      <c r="R46" s="7">
        <f t="shared" si="32"/>
        <v>9.242873107209096E-4</v>
      </c>
      <c r="S46" s="2"/>
      <c r="T46" s="6">
        <v>13338.11</v>
      </c>
      <c r="U46" s="2"/>
      <c r="V46" s="7">
        <f t="shared" si="33"/>
        <v>1.236982867048474E-3</v>
      </c>
      <c r="W46" s="2"/>
      <c r="X46" s="6">
        <f t="shared" si="34"/>
        <v>-4860.4000000000015</v>
      </c>
      <c r="Y46" s="2"/>
      <c r="Z46" s="7">
        <f t="shared" si="35"/>
        <v>-0.36439945389564199</v>
      </c>
    </row>
    <row r="47" spans="1:26" s="27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8"/>
        <v>0</v>
      </c>
      <c r="G47" s="1"/>
      <c r="H47" s="1">
        <f>SUM(OSRRefH22_3x_0)</f>
        <v>6.58</v>
      </c>
      <c r="I47" s="1"/>
      <c r="J47" s="5">
        <f t="shared" si="29"/>
        <v>9.9303218892712069E-6</v>
      </c>
      <c r="K47" s="1"/>
      <c r="L47" s="1">
        <f t="shared" si="30"/>
        <v>-6.58</v>
      </c>
      <c r="M47" s="1"/>
      <c r="N47" s="5">
        <f t="shared" si="31"/>
        <v>-1</v>
      </c>
      <c r="O47" s="13"/>
      <c r="P47" s="1">
        <f>SUM(OSRRefP22_3x_0)</f>
        <v>63.55</v>
      </c>
      <c r="Q47" s="1"/>
      <c r="R47" s="5">
        <f t="shared" si="32"/>
        <v>6.928576065507526E-6</v>
      </c>
      <c r="S47" s="1"/>
      <c r="T47" s="1">
        <f>SUM(OSRRefT22_3x_0)</f>
        <v>27.29</v>
      </c>
      <c r="U47" s="1"/>
      <c r="V47" s="5">
        <f t="shared" si="33"/>
        <v>2.530887992508148E-6</v>
      </c>
      <c r="W47" s="1"/>
      <c r="X47" s="1">
        <f t="shared" si="34"/>
        <v>36.26</v>
      </c>
      <c r="Y47" s="1"/>
      <c r="Z47" s="5">
        <f t="shared" si="35"/>
        <v>1.3286918285086111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8"/>
        <v>0</v>
      </c>
      <c r="G48" s="2"/>
      <c r="H48" s="6">
        <v>6.58</v>
      </c>
      <c r="I48" s="2"/>
      <c r="J48" s="7">
        <f t="shared" si="29"/>
        <v>9.9303218892712069E-6</v>
      </c>
      <c r="K48" s="2"/>
      <c r="L48" s="6">
        <f t="shared" si="30"/>
        <v>-6.58</v>
      </c>
      <c r="M48" s="2"/>
      <c r="N48" s="7">
        <f t="shared" si="31"/>
        <v>-1</v>
      </c>
      <c r="O48" s="11"/>
      <c r="P48" s="6">
        <v>63.55</v>
      </c>
      <c r="Q48" s="2"/>
      <c r="R48" s="7">
        <f t="shared" si="32"/>
        <v>6.928576065507526E-6</v>
      </c>
      <c r="S48" s="2"/>
      <c r="T48" s="6">
        <v>27.29</v>
      </c>
      <c r="U48" s="2"/>
      <c r="V48" s="7">
        <f t="shared" si="33"/>
        <v>2.530887992508148E-6</v>
      </c>
      <c r="W48" s="2"/>
      <c r="X48" s="6">
        <f t="shared" si="34"/>
        <v>36.26</v>
      </c>
      <c r="Y48" s="2"/>
      <c r="Z48" s="7">
        <f t="shared" si="35"/>
        <v>1.3286918285086111</v>
      </c>
    </row>
    <row r="49" spans="1:26" s="27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29.5</v>
      </c>
      <c r="E49" s="1"/>
      <c r="F49" s="5">
        <f t="shared" si="28"/>
        <v>2.4068629698665653E-4</v>
      </c>
      <c r="G49" s="1"/>
      <c r="H49" s="1">
        <f>SUM(OSRRefH22_4x_0)</f>
        <v>250.6</v>
      </c>
      <c r="I49" s="1"/>
      <c r="J49" s="5">
        <f t="shared" si="29"/>
        <v>3.7819736557011615E-4</v>
      </c>
      <c r="K49" s="1"/>
      <c r="L49" s="1">
        <f t="shared" si="30"/>
        <v>-221.1</v>
      </c>
      <c r="M49" s="1"/>
      <c r="N49" s="5">
        <f t="shared" si="31"/>
        <v>-0.88228252194732637</v>
      </c>
      <c r="O49" s="13"/>
      <c r="P49" s="1">
        <f>SUM(OSRRefP22_4x_0)</f>
        <v>3181.84</v>
      </c>
      <c r="Q49" s="1"/>
      <c r="R49" s="5">
        <f t="shared" si="32"/>
        <v>3.4690197432375247E-4</v>
      </c>
      <c r="S49" s="1"/>
      <c r="T49" s="1">
        <f>SUM(OSRRefT22_4x_0)</f>
        <v>4153.7</v>
      </c>
      <c r="U49" s="1"/>
      <c r="V49" s="5">
        <f t="shared" si="33"/>
        <v>3.8521617641924127E-4</v>
      </c>
      <c r="W49" s="1"/>
      <c r="X49" s="1">
        <f t="shared" si="34"/>
        <v>-971.85999999999967</v>
      </c>
      <c r="Y49" s="1"/>
      <c r="Z49" s="5">
        <f t="shared" si="35"/>
        <v>-0.23397452873341834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>
        <v>29.5</v>
      </c>
      <c r="E50" s="2"/>
      <c r="F50" s="7">
        <f t="shared" si="28"/>
        <v>2.4068629698665653E-4</v>
      </c>
      <c r="G50" s="2"/>
      <c r="H50" s="6">
        <v>250.6</v>
      </c>
      <c r="I50" s="2"/>
      <c r="J50" s="7">
        <f t="shared" si="29"/>
        <v>3.7819736557011615E-4</v>
      </c>
      <c r="K50" s="2"/>
      <c r="L50" s="6">
        <f t="shared" si="30"/>
        <v>-221.1</v>
      </c>
      <c r="M50" s="2"/>
      <c r="N50" s="7">
        <f t="shared" si="31"/>
        <v>-0.88228252194732637</v>
      </c>
      <c r="O50" s="11"/>
      <c r="P50" s="6">
        <v>3181.84</v>
      </c>
      <c r="Q50" s="2"/>
      <c r="R50" s="7">
        <f t="shared" si="32"/>
        <v>3.4690197432375247E-4</v>
      </c>
      <c r="S50" s="2"/>
      <c r="T50" s="6">
        <v>4153.7</v>
      </c>
      <c r="U50" s="2"/>
      <c r="V50" s="7">
        <f t="shared" si="33"/>
        <v>3.8521617641924127E-4</v>
      </c>
      <c r="W50" s="2"/>
      <c r="X50" s="6">
        <f t="shared" si="34"/>
        <v>-971.85999999999967</v>
      </c>
      <c r="Y50" s="2"/>
      <c r="Z50" s="7">
        <f t="shared" si="35"/>
        <v>-0.23397452873341834</v>
      </c>
    </row>
    <row r="51" spans="1:26" s="27" customFormat="1" outlineLevel="1" collapsed="1" x14ac:dyDescent="0.25">
      <c r="A51" s="25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213.02</v>
      </c>
      <c r="E51" s="1"/>
      <c r="F51" s="5">
        <f t="shared" si="28"/>
        <v>1.7379998299694094E-3</v>
      </c>
      <c r="G51" s="1"/>
      <c r="H51" s="1">
        <f>SUM(OSRRefH22_5x_0)</f>
        <v>0</v>
      </c>
      <c r="I51" s="1"/>
      <c r="J51" s="5">
        <f t="shared" si="29"/>
        <v>0</v>
      </c>
      <c r="K51" s="1"/>
      <c r="L51" s="1">
        <f t="shared" si="30"/>
        <v>213.02</v>
      </c>
      <c r="M51" s="1"/>
      <c r="N51" s="5">
        <f t="shared" si="31"/>
        <v>0</v>
      </c>
      <c r="O51" s="13"/>
      <c r="P51" s="1">
        <f>SUM(OSRRefP22_5x_0)</f>
        <v>639.05999999999995</v>
      </c>
      <c r="Q51" s="1"/>
      <c r="R51" s="5">
        <f t="shared" si="32"/>
        <v>6.9673891745448299E-5</v>
      </c>
      <c r="S51" s="1"/>
      <c r="T51" s="1">
        <f>SUM(OSRRefT22_5x_0)</f>
        <v>0</v>
      </c>
      <c r="U51" s="1"/>
      <c r="V51" s="5">
        <f t="shared" si="33"/>
        <v>0</v>
      </c>
      <c r="W51" s="1"/>
      <c r="X51" s="1">
        <f t="shared" si="34"/>
        <v>639.05999999999995</v>
      </c>
      <c r="Y51" s="1"/>
      <c r="Z51" s="5">
        <f t="shared" si="35"/>
        <v>0</v>
      </c>
    </row>
    <row r="52" spans="1:26" s="24" customFormat="1" hidden="1" outlineLevel="2" x14ac:dyDescent="0.25">
      <c r="A52" s="26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213.02</v>
      </c>
      <c r="E52" s="2"/>
      <c r="F52" s="7">
        <f t="shared" si="28"/>
        <v>1.7379998299694094E-3</v>
      </c>
      <c r="G52" s="2"/>
      <c r="H52" s="6"/>
      <c r="I52" s="2"/>
      <c r="J52" s="7">
        <f t="shared" si="29"/>
        <v>0</v>
      </c>
      <c r="K52" s="2"/>
      <c r="L52" s="6">
        <f t="shared" si="30"/>
        <v>213.02</v>
      </c>
      <c r="M52" s="2"/>
      <c r="N52" s="7">
        <f t="shared" si="31"/>
        <v>0</v>
      </c>
      <c r="O52" s="11"/>
      <c r="P52" s="6">
        <v>639.05999999999995</v>
      </c>
      <c r="Q52" s="2"/>
      <c r="R52" s="7">
        <f t="shared" si="32"/>
        <v>6.9673891745448299E-5</v>
      </c>
      <c r="S52" s="2"/>
      <c r="T52" s="6"/>
      <c r="U52" s="2"/>
      <c r="V52" s="7">
        <f t="shared" si="33"/>
        <v>0</v>
      </c>
      <c r="W52" s="2"/>
      <c r="X52" s="6">
        <f t="shared" si="34"/>
        <v>639.05999999999995</v>
      </c>
      <c r="Y52" s="2"/>
      <c r="Z52" s="7">
        <f t="shared" si="35"/>
        <v>0</v>
      </c>
    </row>
    <row r="53" spans="1:26" s="27" customFormat="1" outlineLevel="1" collapsed="1" x14ac:dyDescent="0.25">
      <c r="A53" s="25"/>
      <c r="B53" s="13" t="str">
        <f>CONCATENATE("     ","Donations                                         ")</f>
        <v xml:space="preserve">     Donations                                         </v>
      </c>
      <c r="C53" s="13"/>
      <c r="D53" s="1">
        <f>SUM(OSRRefD22_6x_0)</f>
        <v>17557.53</v>
      </c>
      <c r="E53" s="1"/>
      <c r="F53" s="5">
        <f t="shared" si="28"/>
        <v>0.14324938576041124</v>
      </c>
      <c r="G53" s="1"/>
      <c r="H53" s="1">
        <f>SUM(OSRRefH22_6x_0)</f>
        <v>9187.02</v>
      </c>
      <c r="I53" s="1"/>
      <c r="J53" s="5">
        <f t="shared" si="29"/>
        <v>1.3864751641819509E-2</v>
      </c>
      <c r="K53" s="1"/>
      <c r="L53" s="1">
        <f t="shared" si="30"/>
        <v>8370.5099999999984</v>
      </c>
      <c r="M53" s="1"/>
      <c r="N53" s="5">
        <f t="shared" si="31"/>
        <v>0.91112351992267326</v>
      </c>
      <c r="O53" s="13"/>
      <c r="P53" s="1">
        <f>SUM(OSRRefP22_6x_0)</f>
        <v>137701.38</v>
      </c>
      <c r="Q53" s="1"/>
      <c r="R53" s="5">
        <f t="shared" si="32"/>
        <v>1.5012973810469817E-2</v>
      </c>
      <c r="S53" s="1"/>
      <c r="T53" s="1">
        <f>SUM(OSRRefT22_6x_0)</f>
        <v>134048.69999999998</v>
      </c>
      <c r="U53" s="1"/>
      <c r="V53" s="5">
        <f t="shared" si="33"/>
        <v>1.2431742222107987E-2</v>
      </c>
      <c r="W53" s="1"/>
      <c r="X53" s="1">
        <f t="shared" si="34"/>
        <v>3652.6800000000221</v>
      </c>
      <c r="Y53" s="1"/>
      <c r="Z53" s="5">
        <f t="shared" si="35"/>
        <v>2.7248902824123043E-2</v>
      </c>
    </row>
    <row r="54" spans="1:26" s="24" customFormat="1" hidden="1" outlineLevel="2" x14ac:dyDescent="0.25">
      <c r="A54" s="26"/>
      <c r="B54" s="11" t="str">
        <f>CONCATENATE("          ", "6399", " - ", "DONATION-ON CAMPUS")</f>
        <v xml:space="preserve">          6399 - DONATION-ON CAMPUS</v>
      </c>
      <c r="C54" s="11"/>
      <c r="D54" s="6">
        <v>17557.53</v>
      </c>
      <c r="E54" s="2"/>
      <c r="F54" s="7">
        <f t="shared" si="28"/>
        <v>0.14324938576041124</v>
      </c>
      <c r="G54" s="2"/>
      <c r="H54" s="6">
        <v>9187.02</v>
      </c>
      <c r="I54" s="2"/>
      <c r="J54" s="7">
        <f t="shared" si="29"/>
        <v>1.3864751641819509E-2</v>
      </c>
      <c r="K54" s="2"/>
      <c r="L54" s="6">
        <f t="shared" si="30"/>
        <v>8370.5099999999984</v>
      </c>
      <c r="M54" s="2"/>
      <c r="N54" s="7">
        <f t="shared" si="31"/>
        <v>0.91112351992267326</v>
      </c>
      <c r="O54" s="11"/>
      <c r="P54" s="6">
        <v>137701.38</v>
      </c>
      <c r="Q54" s="2"/>
      <c r="R54" s="7">
        <f t="shared" si="32"/>
        <v>1.5012973810469817E-2</v>
      </c>
      <c r="S54" s="2"/>
      <c r="T54" s="6">
        <v>134048.69999999998</v>
      </c>
      <c r="U54" s="2"/>
      <c r="V54" s="7">
        <f t="shared" si="33"/>
        <v>1.2431742222107987E-2</v>
      </c>
      <c r="W54" s="2"/>
      <c r="X54" s="6">
        <f t="shared" si="34"/>
        <v>3652.6800000000221</v>
      </c>
      <c r="Y54" s="2"/>
      <c r="Z54" s="7">
        <f t="shared" si="35"/>
        <v>2.7248902824123043E-2</v>
      </c>
    </row>
    <row r="55" spans="1:26" s="27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0</v>
      </c>
      <c r="E55" s="1"/>
      <c r="F55" s="5">
        <f t="shared" si="28"/>
        <v>0</v>
      </c>
      <c r="G55" s="1"/>
      <c r="H55" s="1">
        <f>SUM(OSRRefH22_7x_0)</f>
        <v>281.39999999999998</v>
      </c>
      <c r="I55" s="1"/>
      <c r="J55" s="5">
        <f t="shared" si="29"/>
        <v>4.246797233496835E-4</v>
      </c>
      <c r="K55" s="1"/>
      <c r="L55" s="1">
        <f t="shared" si="30"/>
        <v>-281.39999999999998</v>
      </c>
      <c r="M55" s="1"/>
      <c r="N55" s="5">
        <f t="shared" si="31"/>
        <v>-1</v>
      </c>
      <c r="O55" s="13"/>
      <c r="P55" s="1">
        <f>SUM(OSRRefP22_7x_0)</f>
        <v>1798.43</v>
      </c>
      <c r="Q55" s="1"/>
      <c r="R55" s="5">
        <f t="shared" si="32"/>
        <v>1.9607488675831158E-4</v>
      </c>
      <c r="S55" s="1"/>
      <c r="T55" s="1">
        <f>SUM(OSRRefT22_7x_0)</f>
        <v>2629.86</v>
      </c>
      <c r="U55" s="1"/>
      <c r="V55" s="5">
        <f t="shared" si="33"/>
        <v>2.4389450699807545E-4</v>
      </c>
      <c r="W55" s="1"/>
      <c r="X55" s="1">
        <f t="shared" si="34"/>
        <v>-831.43000000000006</v>
      </c>
      <c r="Y55" s="1"/>
      <c r="Z55" s="5">
        <f t="shared" si="35"/>
        <v>-0.31614990912063762</v>
      </c>
    </row>
    <row r="56" spans="1:26" s="24" customFormat="1" hidden="1" outlineLevel="2" x14ac:dyDescent="0.25">
      <c r="A56" s="26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8"/>
        <v>0</v>
      </c>
      <c r="G56" s="2"/>
      <c r="H56" s="6">
        <v>281.39999999999998</v>
      </c>
      <c r="I56" s="2"/>
      <c r="J56" s="7">
        <f t="shared" si="29"/>
        <v>4.246797233496835E-4</v>
      </c>
      <c r="K56" s="2"/>
      <c r="L56" s="6">
        <f t="shared" si="30"/>
        <v>-281.39999999999998</v>
      </c>
      <c r="M56" s="2"/>
      <c r="N56" s="7">
        <f t="shared" si="31"/>
        <v>-1</v>
      </c>
      <c r="O56" s="11"/>
      <c r="P56" s="6">
        <v>1798.43</v>
      </c>
      <c r="Q56" s="2"/>
      <c r="R56" s="7">
        <f t="shared" si="32"/>
        <v>1.9607488675831158E-4</v>
      </c>
      <c r="S56" s="2"/>
      <c r="T56" s="6">
        <v>2629.86</v>
      </c>
      <c r="U56" s="2"/>
      <c r="V56" s="7">
        <f t="shared" si="33"/>
        <v>2.4389450699807545E-4</v>
      </c>
      <c r="W56" s="2"/>
      <c r="X56" s="6">
        <f t="shared" si="34"/>
        <v>-831.43000000000006</v>
      </c>
      <c r="Y56" s="2"/>
      <c r="Z56" s="7">
        <f t="shared" si="35"/>
        <v>-0.31614990912063762</v>
      </c>
    </row>
    <row r="57" spans="1:26" s="27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91.26</v>
      </c>
      <c r="E57" s="1"/>
      <c r="F57" s="5">
        <f t="shared" si="28"/>
        <v>7.4457733772889071E-4</v>
      </c>
      <c r="G57" s="1"/>
      <c r="H57" s="1">
        <f>SUM(OSRRefH22_8x_0)</f>
        <v>1725.94</v>
      </c>
      <c r="I57" s="1"/>
      <c r="J57" s="5">
        <f t="shared" si="29"/>
        <v>2.6047324865605998E-3</v>
      </c>
      <c r="K57" s="1"/>
      <c r="L57" s="1">
        <f t="shared" si="30"/>
        <v>-1634.68</v>
      </c>
      <c r="M57" s="1"/>
      <c r="N57" s="5">
        <f t="shared" si="31"/>
        <v>-0.94712446550865037</v>
      </c>
      <c r="O57" s="13"/>
      <c r="P57" s="1">
        <f>SUM(OSRRefP22_8x_0)</f>
        <v>4950.8599999999997</v>
      </c>
      <c r="Q57" s="1"/>
      <c r="R57" s="5">
        <f t="shared" si="32"/>
        <v>5.3977041856299911E-4</v>
      </c>
      <c r="S57" s="1"/>
      <c r="T57" s="1">
        <f>SUM(OSRRefT22_8x_0)</f>
        <v>6632.05</v>
      </c>
      <c r="U57" s="1"/>
      <c r="V57" s="5">
        <f t="shared" si="33"/>
        <v>6.1505957166411377E-4</v>
      </c>
      <c r="W57" s="1"/>
      <c r="X57" s="1">
        <f t="shared" si="34"/>
        <v>-1681.1900000000005</v>
      </c>
      <c r="Y57" s="1"/>
      <c r="Z57" s="5">
        <f t="shared" si="35"/>
        <v>-0.25349477160154105</v>
      </c>
    </row>
    <row r="58" spans="1:26" s="24" customFormat="1" hidden="1" outlineLevel="2" x14ac:dyDescent="0.25">
      <c r="A58" s="26"/>
      <c r="B58" s="11" t="str">
        <f>CONCATENATE("          ", "6351", " - ", "EQUIPMENT RENTAL")</f>
        <v xml:space="preserve">          6351 - EQUIPMENT RENTAL</v>
      </c>
      <c r="C58" s="11"/>
      <c r="D58" s="6">
        <v>91.26</v>
      </c>
      <c r="E58" s="2"/>
      <c r="F58" s="7">
        <f t="shared" si="28"/>
        <v>7.4457733772889071E-4</v>
      </c>
      <c r="G58" s="2"/>
      <c r="H58" s="6">
        <v>1725.94</v>
      </c>
      <c r="I58" s="2"/>
      <c r="J58" s="7">
        <f t="shared" si="29"/>
        <v>2.6047324865605998E-3</v>
      </c>
      <c r="K58" s="2"/>
      <c r="L58" s="6">
        <f t="shared" si="30"/>
        <v>-1634.68</v>
      </c>
      <c r="M58" s="2"/>
      <c r="N58" s="7">
        <f t="shared" si="31"/>
        <v>-0.94712446550865037</v>
      </c>
      <c r="O58" s="11"/>
      <c r="P58" s="6">
        <v>4950.8599999999997</v>
      </c>
      <c r="Q58" s="2"/>
      <c r="R58" s="7">
        <f t="shared" si="32"/>
        <v>5.3977041856299911E-4</v>
      </c>
      <c r="S58" s="2"/>
      <c r="T58" s="6">
        <v>6632.05</v>
      </c>
      <c r="U58" s="2"/>
      <c r="V58" s="7">
        <f t="shared" si="33"/>
        <v>6.1505957166411377E-4</v>
      </c>
      <c r="W58" s="2"/>
      <c r="X58" s="6">
        <f t="shared" si="34"/>
        <v>-1681.1900000000005</v>
      </c>
      <c r="Y58" s="2"/>
      <c r="Z58" s="7">
        <f t="shared" si="35"/>
        <v>-0.25349477160154105</v>
      </c>
    </row>
    <row r="59" spans="1:26" s="27" customFormat="1" outlineLevel="1" collapsed="1" x14ac:dyDescent="0.25">
      <c r="A59" s="25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SUM(OSRRefP22_9x_0)</f>
        <v>0</v>
      </c>
      <c r="Q59" s="1"/>
      <c r="R59" s="5">
        <f t="shared" si="32"/>
        <v>0</v>
      </c>
      <c r="S59" s="1"/>
      <c r="T59" s="1">
        <f>SUM(OSRRefT22_9x_0)</f>
        <v>7.4</v>
      </c>
      <c r="U59" s="1"/>
      <c r="V59" s="5">
        <f t="shared" si="33"/>
        <v>6.8627963153390616E-7</v>
      </c>
      <c r="W59" s="1"/>
      <c r="X59" s="1">
        <f t="shared" si="34"/>
        <v>-7.4</v>
      </c>
      <c r="Y59" s="1"/>
      <c r="Z59" s="5">
        <f t="shared" si="35"/>
        <v>-1</v>
      </c>
    </row>
    <row r="60" spans="1:26" s="24" customFormat="1" hidden="1" outlineLevel="2" x14ac:dyDescent="0.25">
      <c r="A60" s="26"/>
      <c r="B60" s="11" t="str">
        <f>CONCATENATE("          ", "6307", " - ", "POSTAGE")</f>
        <v xml:space="preserve">          6307 - POSTAGE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7.4</v>
      </c>
      <c r="U60" s="2"/>
      <c r="V60" s="7">
        <f t="shared" si="33"/>
        <v>6.8627963153390616E-7</v>
      </c>
      <c r="W60" s="2"/>
      <c r="X60" s="6">
        <f t="shared" si="34"/>
        <v>-7.4</v>
      </c>
      <c r="Y60" s="2"/>
      <c r="Z60" s="7">
        <f t="shared" si="35"/>
        <v>-1</v>
      </c>
    </row>
    <row r="61" spans="1:26" s="27" customFormat="1" outlineLevel="1" collapsed="1" x14ac:dyDescent="0.25">
      <c r="A61" s="25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0</v>
      </c>
      <c r="E61" s="1"/>
      <c r="F61" s="5">
        <f t="shared" si="28"/>
        <v>0</v>
      </c>
      <c r="G61" s="1"/>
      <c r="H61" s="1">
        <f>SUM(OSRRefH22_10x_0)</f>
        <v>67.2</v>
      </c>
      <c r="I61" s="1"/>
      <c r="J61" s="5">
        <f t="shared" si="29"/>
        <v>1.0141605333723786E-4</v>
      </c>
      <c r="K61" s="1"/>
      <c r="L61" s="1">
        <f t="shared" si="30"/>
        <v>-67.2</v>
      </c>
      <c r="M61" s="1"/>
      <c r="N61" s="5">
        <f t="shared" si="31"/>
        <v>-1</v>
      </c>
      <c r="O61" s="13"/>
      <c r="P61" s="1">
        <f>SUM(OSRRefP22_10x_0)</f>
        <v>9014.11</v>
      </c>
      <c r="Q61" s="1"/>
      <c r="R61" s="5">
        <f t="shared" si="32"/>
        <v>9.8276863568610637E-4</v>
      </c>
      <c r="S61" s="1"/>
      <c r="T61" s="1">
        <f>SUM(OSRRefT22_10x_0)</f>
        <v>10026.89</v>
      </c>
      <c r="U61" s="1"/>
      <c r="V61" s="5">
        <f t="shared" si="33"/>
        <v>9.2989869927446046E-4</v>
      </c>
      <c r="W61" s="1"/>
      <c r="X61" s="1">
        <f t="shared" si="34"/>
        <v>-1012.7799999999988</v>
      </c>
      <c r="Y61" s="1"/>
      <c r="Z61" s="5">
        <f t="shared" si="35"/>
        <v>-0.10100639380705273</v>
      </c>
    </row>
    <row r="62" spans="1:26" s="24" customFormat="1" hidden="1" outlineLevel="2" x14ac:dyDescent="0.25">
      <c r="A62" s="26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28"/>
        <v>0</v>
      </c>
      <c r="G62" s="2"/>
      <c r="H62" s="6">
        <v>67.2</v>
      </c>
      <c r="I62" s="2"/>
      <c r="J62" s="7">
        <f t="shared" si="29"/>
        <v>1.0141605333723786E-4</v>
      </c>
      <c r="K62" s="2"/>
      <c r="L62" s="6">
        <f t="shared" si="30"/>
        <v>-67.2</v>
      </c>
      <c r="M62" s="2"/>
      <c r="N62" s="7">
        <f t="shared" si="31"/>
        <v>-1</v>
      </c>
      <c r="O62" s="11"/>
      <c r="P62" s="6">
        <v>9014.11</v>
      </c>
      <c r="Q62" s="2"/>
      <c r="R62" s="7">
        <f t="shared" si="32"/>
        <v>9.8276863568610637E-4</v>
      </c>
      <c r="S62" s="2"/>
      <c r="T62" s="6">
        <v>10026.89</v>
      </c>
      <c r="U62" s="2"/>
      <c r="V62" s="7">
        <f t="shared" si="33"/>
        <v>9.2989869927446046E-4</v>
      </c>
      <c r="W62" s="2"/>
      <c r="X62" s="6">
        <f t="shared" si="34"/>
        <v>-1012.7799999999988</v>
      </c>
      <c r="Y62" s="2"/>
      <c r="Z62" s="7">
        <f t="shared" si="35"/>
        <v>-0.10100639380705273</v>
      </c>
    </row>
    <row r="63" spans="1:26" s="27" customFormat="1" outlineLevel="1" collapsed="1" x14ac:dyDescent="0.25">
      <c r="A63" s="25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5.9</v>
      </c>
      <c r="E63" s="1"/>
      <c r="F63" s="5">
        <f t="shared" si="28"/>
        <v>4.8137259397331309E-5</v>
      </c>
      <c r="G63" s="1"/>
      <c r="H63" s="1">
        <f>SUM(OSRRefH22_11x_0)</f>
        <v>4.93</v>
      </c>
      <c r="I63" s="1"/>
      <c r="J63" s="5">
        <f t="shared" si="29"/>
        <v>7.4401955796515264E-6</v>
      </c>
      <c r="K63" s="1"/>
      <c r="L63" s="1">
        <f t="shared" si="30"/>
        <v>0.97000000000000064</v>
      </c>
      <c r="M63" s="1"/>
      <c r="N63" s="5">
        <f t="shared" si="31"/>
        <v>0.19675456389452348</v>
      </c>
      <c r="O63" s="13"/>
      <c r="P63" s="1">
        <f>SUM(OSRRefP22_11x_0)</f>
        <v>64.900000000000006</v>
      </c>
      <c r="Q63" s="1"/>
      <c r="R63" s="5">
        <f t="shared" si="32"/>
        <v>7.0757606082051695E-6</v>
      </c>
      <c r="S63" s="1"/>
      <c r="T63" s="1">
        <f>SUM(OSRRefT22_11x_0)</f>
        <v>54.23</v>
      </c>
      <c r="U63" s="1"/>
      <c r="V63" s="5">
        <f t="shared" si="33"/>
        <v>5.0293168132545573E-6</v>
      </c>
      <c r="W63" s="1"/>
      <c r="X63" s="1">
        <f t="shared" si="34"/>
        <v>10.670000000000009</v>
      </c>
      <c r="Y63" s="1"/>
      <c r="Z63" s="5">
        <f t="shared" si="35"/>
        <v>0.1967545638945235</v>
      </c>
    </row>
    <row r="64" spans="1:26" s="24" customFormat="1" hidden="1" outlineLevel="2" x14ac:dyDescent="0.25">
      <c r="A64" s="26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28"/>
        <v>4.8137259397331309E-5</v>
      </c>
      <c r="G64" s="2"/>
      <c r="H64" s="6">
        <v>4.93</v>
      </c>
      <c r="I64" s="2"/>
      <c r="J64" s="7">
        <f t="shared" si="29"/>
        <v>7.4401955796515264E-6</v>
      </c>
      <c r="K64" s="2"/>
      <c r="L64" s="6">
        <f t="shared" si="30"/>
        <v>0.97000000000000064</v>
      </c>
      <c r="M64" s="2"/>
      <c r="N64" s="7">
        <f t="shared" si="31"/>
        <v>0.19675456389452348</v>
      </c>
      <c r="O64" s="11"/>
      <c r="P64" s="6">
        <v>64.900000000000006</v>
      </c>
      <c r="Q64" s="2"/>
      <c r="R64" s="7">
        <f t="shared" si="32"/>
        <v>7.0757606082051695E-6</v>
      </c>
      <c r="S64" s="2"/>
      <c r="T64" s="6">
        <v>54.23</v>
      </c>
      <c r="U64" s="2"/>
      <c r="V64" s="7">
        <f t="shared" si="33"/>
        <v>5.0293168132545573E-6</v>
      </c>
      <c r="W64" s="2"/>
      <c r="X64" s="6">
        <f t="shared" si="34"/>
        <v>10.670000000000009</v>
      </c>
      <c r="Y64" s="2"/>
      <c r="Z64" s="7">
        <f t="shared" si="35"/>
        <v>0.1967545638945235</v>
      </c>
    </row>
    <row r="65" spans="1:26" s="27" customFormat="1" outlineLevel="1" collapsed="1" x14ac:dyDescent="0.25">
      <c r="A65" s="25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SUM(OSRRefD22_12x_0)</f>
        <v>8698.56</v>
      </c>
      <c r="E65" s="1"/>
      <c r="F65" s="5">
        <f t="shared" si="28"/>
        <v>7.0970311712415288E-2</v>
      </c>
      <c r="G65" s="1"/>
      <c r="H65" s="1">
        <f>SUM(OSRRefH22_12x_0)</f>
        <v>52274.400000000001</v>
      </c>
      <c r="I65" s="1"/>
      <c r="J65" s="5">
        <f t="shared" si="29"/>
        <v>7.8890823490656348E-2</v>
      </c>
      <c r="K65" s="1"/>
      <c r="L65" s="1">
        <f t="shared" si="30"/>
        <v>-43575.840000000004</v>
      </c>
      <c r="M65" s="1"/>
      <c r="N65" s="5">
        <f t="shared" si="31"/>
        <v>-0.83359809007850882</v>
      </c>
      <c r="O65" s="13"/>
      <c r="P65" s="1">
        <f>SUM(OSRRefP22_12x_0)</f>
        <v>714561.85000000009</v>
      </c>
      <c r="Q65" s="1"/>
      <c r="R65" s="5">
        <f t="shared" si="32"/>
        <v>7.7905525275134224E-2</v>
      </c>
      <c r="S65" s="1"/>
      <c r="T65" s="1">
        <f>SUM(OSRRefT22_12x_0)</f>
        <v>841273.8</v>
      </c>
      <c r="U65" s="1"/>
      <c r="V65" s="5">
        <f t="shared" si="33"/>
        <v>7.8020145065287705E-2</v>
      </c>
      <c r="W65" s="1"/>
      <c r="X65" s="1">
        <f t="shared" si="34"/>
        <v>-126711.94999999995</v>
      </c>
      <c r="Y65" s="1"/>
      <c r="Z65" s="5">
        <f t="shared" si="35"/>
        <v>-0.15061915633174353</v>
      </c>
    </row>
    <row r="66" spans="1:26" s="24" customFormat="1" hidden="1" outlineLevel="2" x14ac:dyDescent="0.25">
      <c r="A66" s="26"/>
      <c r="B66" s="11" t="str">
        <f>CONCATENATE("          ", "6387", " - ", "COMMISSION DUE HOUSING")</f>
        <v xml:space="preserve">          6387 - COMMISSION DUE HOUSING</v>
      </c>
      <c r="C66" s="11"/>
      <c r="D66" s="6">
        <v>8698.56</v>
      </c>
      <c r="E66" s="2"/>
      <c r="F66" s="7">
        <f t="shared" si="28"/>
        <v>7.0970311712415288E-2</v>
      </c>
      <c r="G66" s="2"/>
      <c r="H66" s="6">
        <v>52274.400000000001</v>
      </c>
      <c r="I66" s="2"/>
      <c r="J66" s="7">
        <f t="shared" si="29"/>
        <v>7.8890823490656348E-2</v>
      </c>
      <c r="K66" s="2"/>
      <c r="L66" s="6">
        <f t="shared" si="30"/>
        <v>-43575.840000000004</v>
      </c>
      <c r="M66" s="2"/>
      <c r="N66" s="7">
        <f t="shared" si="31"/>
        <v>-0.83359809007850882</v>
      </c>
      <c r="O66" s="11"/>
      <c r="P66" s="6">
        <v>714561.85000000009</v>
      </c>
      <c r="Q66" s="2"/>
      <c r="R66" s="7">
        <f t="shared" si="32"/>
        <v>7.7905525275134224E-2</v>
      </c>
      <c r="S66" s="2"/>
      <c r="T66" s="6">
        <v>841273.8</v>
      </c>
      <c r="U66" s="2"/>
      <c r="V66" s="7">
        <f t="shared" si="33"/>
        <v>7.8020145065287705E-2</v>
      </c>
      <c r="W66" s="2"/>
      <c r="X66" s="6">
        <f t="shared" si="34"/>
        <v>-126711.94999999995</v>
      </c>
      <c r="Y66" s="2"/>
      <c r="Z66" s="7">
        <f t="shared" si="35"/>
        <v>-0.15061915633174353</v>
      </c>
    </row>
    <row r="67" spans="1:26" s="27" customFormat="1" outlineLevel="1" collapsed="1" x14ac:dyDescent="0.25">
      <c r="A67" s="25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SUM(OSRRefD22_13x_0)</f>
        <v>0.52</v>
      </c>
      <c r="E67" s="1"/>
      <c r="F67" s="5">
        <f t="shared" si="28"/>
        <v>4.2426059129851325E-6</v>
      </c>
      <c r="G67" s="1"/>
      <c r="H67" s="1">
        <f>SUM(OSRRefH22_13x_0)</f>
        <v>31034.84</v>
      </c>
      <c r="I67" s="1"/>
      <c r="J67" s="5">
        <f t="shared" si="29"/>
        <v>4.6836770665961945E-2</v>
      </c>
      <c r="K67" s="1"/>
      <c r="L67" s="1">
        <f t="shared" si="30"/>
        <v>-31034.32</v>
      </c>
      <c r="M67" s="1"/>
      <c r="N67" s="5">
        <f t="shared" si="31"/>
        <v>-0.99998324463731725</v>
      </c>
      <c r="O67" s="13"/>
      <c r="P67" s="1">
        <f>SUM(OSRRefP22_13x_0)</f>
        <v>64845.540000000008</v>
      </c>
      <c r="Q67" s="1"/>
      <c r="R67" s="5">
        <f t="shared" si="32"/>
        <v>7.0698230747271596E-3</v>
      </c>
      <c r="S67" s="1"/>
      <c r="T67" s="1">
        <f>SUM(OSRRefT22_13x_0)</f>
        <v>44618.740000000005</v>
      </c>
      <c r="U67" s="1"/>
      <c r="V67" s="5">
        <f t="shared" si="33"/>
        <v>4.1379638441496162E-3</v>
      </c>
      <c r="W67" s="1"/>
      <c r="X67" s="1">
        <f t="shared" si="34"/>
        <v>20226.800000000003</v>
      </c>
      <c r="Y67" s="1"/>
      <c r="Z67" s="5">
        <f t="shared" si="35"/>
        <v>0.45332521716211621</v>
      </c>
    </row>
    <row r="68" spans="1:26" s="24" customFormat="1" hidden="1" outlineLevel="2" x14ac:dyDescent="0.25">
      <c r="A68" s="26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28"/>
        <v>0</v>
      </c>
      <c r="G68" s="2"/>
      <c r="H68" s="6">
        <v>31029.75</v>
      </c>
      <c r="I68" s="2"/>
      <c r="J68" s="7">
        <f t="shared" si="29"/>
        <v>4.6829089003588634E-2</v>
      </c>
      <c r="K68" s="2"/>
      <c r="L68" s="6">
        <f t="shared" si="30"/>
        <v>-31029.75</v>
      </c>
      <c r="M68" s="2"/>
      <c r="N68" s="7">
        <f t="shared" si="31"/>
        <v>-1</v>
      </c>
      <c r="O68" s="11"/>
      <c r="P68" s="6">
        <v>63062.930000000008</v>
      </c>
      <c r="Q68" s="2"/>
      <c r="R68" s="7">
        <f t="shared" si="32"/>
        <v>6.8754729727580899E-3</v>
      </c>
      <c r="S68" s="2"/>
      <c r="T68" s="6">
        <v>41387.870000000003</v>
      </c>
      <c r="U68" s="2"/>
      <c r="V68" s="7">
        <f t="shared" si="33"/>
        <v>3.83833137480719E-3</v>
      </c>
      <c r="W68" s="2"/>
      <c r="X68" s="6">
        <f t="shared" si="34"/>
        <v>21675.060000000005</v>
      </c>
      <c r="Y68" s="2"/>
      <c r="Z68" s="7">
        <f t="shared" si="35"/>
        <v>0.52370561712888353</v>
      </c>
    </row>
    <row r="69" spans="1:26" s="24" customFormat="1" hidden="1" outlineLevel="2" x14ac:dyDescent="0.25">
      <c r="A69" s="26"/>
      <c r="B69" s="11" t="str">
        <f>CONCATENATE("          ", "6373", " - ", "MAINTENANCE CONTRACTS")</f>
        <v xml:space="preserve">          6373 - MAINTENANCE CONTRACTS</v>
      </c>
      <c r="C69" s="11"/>
      <c r="D69" s="6">
        <v>0.52</v>
      </c>
      <c r="E69" s="2"/>
      <c r="F69" s="7">
        <f t="shared" si="28"/>
        <v>4.2426059129851325E-6</v>
      </c>
      <c r="G69" s="2"/>
      <c r="H69" s="6">
        <v>5.09</v>
      </c>
      <c r="I69" s="2"/>
      <c r="J69" s="7">
        <f t="shared" si="29"/>
        <v>7.6816623733116169E-6</v>
      </c>
      <c r="K69" s="2"/>
      <c r="L69" s="6">
        <f t="shared" si="30"/>
        <v>-4.57</v>
      </c>
      <c r="M69" s="2"/>
      <c r="N69" s="7">
        <f t="shared" si="31"/>
        <v>-0.89783889980353637</v>
      </c>
      <c r="O69" s="11"/>
      <c r="P69" s="6">
        <v>723.42</v>
      </c>
      <c r="Q69" s="2"/>
      <c r="R69" s="7">
        <f t="shared" si="32"/>
        <v>7.8871290280243186E-5</v>
      </c>
      <c r="S69" s="2"/>
      <c r="T69" s="6">
        <v>713.39</v>
      </c>
      <c r="U69" s="2"/>
      <c r="V69" s="7">
        <f t="shared" si="33"/>
        <v>6.6160138694590985E-5</v>
      </c>
      <c r="W69" s="2"/>
      <c r="X69" s="6">
        <f t="shared" si="34"/>
        <v>10.029999999999973</v>
      </c>
      <c r="Y69" s="2"/>
      <c r="Z69" s="7">
        <f t="shared" si="35"/>
        <v>1.4059630776994313E-2</v>
      </c>
    </row>
    <row r="70" spans="1:26" s="24" customFormat="1" hidden="1" outlineLevel="2" x14ac:dyDescent="0.25">
      <c r="A70" s="26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28"/>
        <v>0</v>
      </c>
      <c r="G70" s="2"/>
      <c r="H70" s="6"/>
      <c r="I70" s="2"/>
      <c r="J70" s="7">
        <f t="shared" si="29"/>
        <v>0</v>
      </c>
      <c r="K70" s="2"/>
      <c r="L70" s="6">
        <f t="shared" si="30"/>
        <v>0</v>
      </c>
      <c r="M70" s="2"/>
      <c r="N70" s="7">
        <f t="shared" si="31"/>
        <v>0</v>
      </c>
      <c r="O70" s="11"/>
      <c r="P70" s="6">
        <v>1059.19</v>
      </c>
      <c r="Q70" s="2"/>
      <c r="R70" s="7">
        <f t="shared" si="32"/>
        <v>1.1547881168882639E-4</v>
      </c>
      <c r="S70" s="2"/>
      <c r="T70" s="6">
        <v>2517.48</v>
      </c>
      <c r="U70" s="2"/>
      <c r="V70" s="7">
        <f t="shared" si="33"/>
        <v>2.3347233064783485E-4</v>
      </c>
      <c r="W70" s="2"/>
      <c r="X70" s="6">
        <f t="shared" si="34"/>
        <v>-1458.29</v>
      </c>
      <c r="Y70" s="2"/>
      <c r="Z70" s="7">
        <f t="shared" si="35"/>
        <v>-0.57926577371021815</v>
      </c>
    </row>
    <row r="71" spans="1:26" s="27" customFormat="1" outlineLevel="1" collapsed="1" x14ac:dyDescent="0.25">
      <c r="A71" s="25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SUM(OSRRefD22_14x_0)</f>
        <v>7168.58</v>
      </c>
      <c r="E71" s="1"/>
      <c r="F71" s="5">
        <f t="shared" ref="F71:F74" si="36">IF(D$12=0,0,D71/D$12)</f>
        <v>5.8487422876359531E-2</v>
      </c>
      <c r="G71" s="1"/>
      <c r="H71" s="1">
        <f>SUM(OSRRefH22_14x_0)</f>
        <v>18756.75</v>
      </c>
      <c r="I71" s="1"/>
      <c r="J71" s="5">
        <f t="shared" ref="J71:J74" si="37">IF(H$12=0,0,H71/H$12)</f>
        <v>2.8307076762399346E-2</v>
      </c>
      <c r="K71" s="1"/>
      <c r="L71" s="1">
        <f t="shared" ref="L71:L74" si="38">+D71-H71</f>
        <v>-11588.17</v>
      </c>
      <c r="M71" s="1"/>
      <c r="N71" s="5">
        <f t="shared" ref="N71:N74" si="39">IF(H71=0,0,L71/H71)</f>
        <v>-0.61781332053793969</v>
      </c>
      <c r="O71" s="13"/>
      <c r="P71" s="1">
        <f>SUM(OSRRefP22_14x_0)</f>
        <v>183032.39</v>
      </c>
      <c r="Q71" s="1"/>
      <c r="R71" s="5">
        <f t="shared" ref="R71:R74" si="40">IF(P$12=0,0,P71/P$12)</f>
        <v>1.9955213793338148E-2</v>
      </c>
      <c r="S71" s="1"/>
      <c r="T71" s="1">
        <f>SUM(OSRRefT22_14x_0)</f>
        <v>178431.61</v>
      </c>
      <c r="U71" s="1"/>
      <c r="V71" s="5">
        <f t="shared" ref="V71:V74" si="41">IF(T$12=0,0,T71/T$12)</f>
        <v>1.6547835076324544E-2</v>
      </c>
      <c r="W71" s="1"/>
      <c r="X71" s="1">
        <f t="shared" ref="X71:X74" si="42">+P71-T71</f>
        <v>4600.7800000000279</v>
      </c>
      <c r="Y71" s="1"/>
      <c r="Z71" s="5">
        <f t="shared" ref="Z71:Z74" si="43">IF(T71=0,0,X71/T71)</f>
        <v>2.578455689549642E-2</v>
      </c>
    </row>
    <row r="72" spans="1:26" s="24" customFormat="1" hidden="1" outlineLevel="2" x14ac:dyDescent="0.25">
      <c r="A72" s="26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1436.53</v>
      </c>
      <c r="E72" s="2"/>
      <c r="F72" s="7">
        <f t="shared" si="36"/>
        <v>1.1720443600347177E-2</v>
      </c>
      <c r="G72" s="2"/>
      <c r="H72" s="6">
        <v>3016.6</v>
      </c>
      <c r="I72" s="2"/>
      <c r="J72" s="7">
        <f t="shared" si="37"/>
        <v>4.5525545609689244E-3</v>
      </c>
      <c r="K72" s="2"/>
      <c r="L72" s="6">
        <f t="shared" si="38"/>
        <v>-1580.07</v>
      </c>
      <c r="M72" s="2"/>
      <c r="N72" s="7">
        <f t="shared" si="39"/>
        <v>-0.52379168600411063</v>
      </c>
      <c r="O72" s="11"/>
      <c r="P72" s="6">
        <v>18297.830000000002</v>
      </c>
      <c r="Q72" s="2"/>
      <c r="R72" s="7">
        <f t="shared" si="40"/>
        <v>1.9949316599327397E-3</v>
      </c>
      <c r="S72" s="2"/>
      <c r="T72" s="6">
        <v>16755.419999999998</v>
      </c>
      <c r="U72" s="2"/>
      <c r="V72" s="7">
        <f t="shared" si="41"/>
        <v>1.5539058734859242E-3</v>
      </c>
      <c r="W72" s="2"/>
      <c r="X72" s="6">
        <f t="shared" si="42"/>
        <v>1542.4100000000035</v>
      </c>
      <c r="Y72" s="2"/>
      <c r="Z72" s="7">
        <f t="shared" si="43"/>
        <v>9.2054391951977552E-2</v>
      </c>
    </row>
    <row r="73" spans="1:26" s="24" customFormat="1" hidden="1" outlineLevel="2" x14ac:dyDescent="0.25">
      <c r="A73" s="26"/>
      <c r="B73" s="11" t="str">
        <f>CONCATENATE("          ", "6285", " - ", "JANITORIAL SERVICES")</f>
        <v xml:space="preserve">          6285 - JANITORIAL SERVICES</v>
      </c>
      <c r="C73" s="11"/>
      <c r="D73" s="6">
        <v>5732.05</v>
      </c>
      <c r="E73" s="2"/>
      <c r="F73" s="7">
        <f t="shared" si="36"/>
        <v>4.6766979276012359E-2</v>
      </c>
      <c r="G73" s="2"/>
      <c r="H73" s="6">
        <v>12464.01</v>
      </c>
      <c r="I73" s="2"/>
      <c r="J73" s="7">
        <f t="shared" si="37"/>
        <v>1.8810278317795626E-2</v>
      </c>
      <c r="K73" s="2"/>
      <c r="L73" s="6">
        <f t="shared" si="38"/>
        <v>-6731.96</v>
      </c>
      <c r="M73" s="2"/>
      <c r="N73" s="7">
        <f t="shared" si="39"/>
        <v>-0.54011189015413175</v>
      </c>
      <c r="O73" s="11"/>
      <c r="P73" s="6">
        <v>123196.56999999999</v>
      </c>
      <c r="Q73" s="2"/>
      <c r="R73" s="7">
        <f t="shared" si="40"/>
        <v>1.3431578383235603E-2</v>
      </c>
      <c r="S73" s="2"/>
      <c r="T73" s="6">
        <v>119866.38</v>
      </c>
      <c r="U73" s="2"/>
      <c r="V73" s="7">
        <f t="shared" si="41"/>
        <v>1.1116466905365293E-2</v>
      </c>
      <c r="W73" s="2"/>
      <c r="X73" s="6">
        <f t="shared" si="42"/>
        <v>3330.1899999999878</v>
      </c>
      <c r="Y73" s="2"/>
      <c r="Z73" s="7">
        <f t="shared" si="43"/>
        <v>2.7782519168427274E-2</v>
      </c>
    </row>
    <row r="74" spans="1:26" s="24" customFormat="1" hidden="1" outlineLevel="2" x14ac:dyDescent="0.25">
      <c r="A74" s="26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6"/>
        <v>0</v>
      </c>
      <c r="G74" s="2"/>
      <c r="H74" s="6">
        <v>3276.14</v>
      </c>
      <c r="I74" s="2"/>
      <c r="J74" s="7">
        <f t="shared" si="37"/>
        <v>4.9442438836347974E-3</v>
      </c>
      <c r="K74" s="2"/>
      <c r="L74" s="6">
        <f t="shared" si="38"/>
        <v>-3276.14</v>
      </c>
      <c r="M74" s="2"/>
      <c r="N74" s="7">
        <f t="shared" si="39"/>
        <v>-1</v>
      </c>
      <c r="O74" s="11"/>
      <c r="P74" s="6">
        <v>41537.990000000005</v>
      </c>
      <c r="Q74" s="2"/>
      <c r="R74" s="7">
        <f t="shared" si="40"/>
        <v>4.5287037501698033E-3</v>
      </c>
      <c r="S74" s="2"/>
      <c r="T74" s="6">
        <v>41809.81</v>
      </c>
      <c r="U74" s="2"/>
      <c r="V74" s="7">
        <f t="shared" si="41"/>
        <v>3.8774622974733271E-3</v>
      </c>
      <c r="W74" s="2"/>
      <c r="X74" s="6">
        <f t="shared" si="42"/>
        <v>-271.81999999999243</v>
      </c>
      <c r="Y74" s="2"/>
      <c r="Z74" s="7">
        <f t="shared" si="43"/>
        <v>-6.501345019266829E-3</v>
      </c>
    </row>
    <row r="75" spans="1:26" s="27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3421.66</v>
      </c>
      <c r="E75" s="1"/>
      <c r="F75" s="5">
        <f t="shared" ref="F75:F84" si="44">IF(D$12=0,0,D75/D$12)</f>
        <v>2.7916836438893665E-2</v>
      </c>
      <c r="G75" s="1"/>
      <c r="H75" s="1">
        <f>SUM(OSRRefH22_15x_0)</f>
        <v>12062.35</v>
      </c>
      <c r="I75" s="1"/>
      <c r="J75" s="5">
        <f t="shared" ref="J75:J84" si="45">IF(H$12=0,0,H75/H$12)</f>
        <v>1.8204106115661176E-2</v>
      </c>
      <c r="K75" s="1"/>
      <c r="L75" s="1">
        <f t="shared" ref="L75:L84" si="46">+D75-H75</f>
        <v>-8640.69</v>
      </c>
      <c r="M75" s="1"/>
      <c r="N75" s="5">
        <f t="shared" ref="N75:N84" si="47">IF(H75=0,0,L75/H75)</f>
        <v>-0.71633553992381249</v>
      </c>
      <c r="O75" s="13"/>
      <c r="P75" s="1">
        <f>SUM(OSRRefP22_15x_0)</f>
        <v>192436.13</v>
      </c>
      <c r="Q75" s="1"/>
      <c r="R75" s="5">
        <f t="shared" ref="R75:R84" si="48">IF(P$12=0,0,P75/P$12)</f>
        <v>2.0980462068558536E-2</v>
      </c>
      <c r="S75" s="1"/>
      <c r="T75" s="1">
        <f>SUM(OSRRefT22_15x_0)</f>
        <v>222618.05000000005</v>
      </c>
      <c r="U75" s="1"/>
      <c r="V75" s="5">
        <f t="shared" ref="V75:V84" si="49">IF(T$12=0,0,T75/T$12)</f>
        <v>2.0645707206323881E-2</v>
      </c>
      <c r="W75" s="1"/>
      <c r="X75" s="1">
        <f t="shared" ref="X75:X84" si="50">+P75-T75</f>
        <v>-30181.920000000042</v>
      </c>
      <c r="Y75" s="1"/>
      <c r="Z75" s="5">
        <f t="shared" ref="Z75:Z84" si="51">IF(T75=0,0,X75/T75)</f>
        <v>-0.13557714659705283</v>
      </c>
    </row>
    <row r="76" spans="1:26" s="24" customFormat="1" hidden="1" outlineLevel="2" x14ac:dyDescent="0.25">
      <c r="A76" s="26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118.34</v>
      </c>
      <c r="Q76" s="2"/>
      <c r="R76" s="7">
        <f t="shared" si="48"/>
        <v>1.2902087987288131E-5</v>
      </c>
      <c r="S76" s="2"/>
      <c r="T76" s="6">
        <v>30.98</v>
      </c>
      <c r="U76" s="2"/>
      <c r="V76" s="7">
        <f t="shared" si="49"/>
        <v>2.8731004033676233E-6</v>
      </c>
      <c r="W76" s="2"/>
      <c r="X76" s="6">
        <f t="shared" si="50"/>
        <v>87.36</v>
      </c>
      <c r="Y76" s="2"/>
      <c r="Z76" s="7">
        <f t="shared" si="51"/>
        <v>2.8198837959974177</v>
      </c>
    </row>
    <row r="77" spans="1:26" s="24" customFormat="1" hidden="1" outlineLevel="2" x14ac:dyDescent="0.25">
      <c r="A77" s="26"/>
      <c r="B77" s="11" t="str">
        <f>CONCATENATE("          ", "6235", " - ", "COVID-19 EXPENSES")</f>
        <v xml:space="preserve">          6235 - COVID-19 EXPENSES</v>
      </c>
      <c r="C77" s="11"/>
      <c r="D77" s="6">
        <v>856.03</v>
      </c>
      <c r="E77" s="2"/>
      <c r="F77" s="7">
        <f t="shared" si="44"/>
        <v>6.9842268071012743E-3</v>
      </c>
      <c r="G77" s="2"/>
      <c r="H77" s="6"/>
      <c r="I77" s="2"/>
      <c r="J77" s="7">
        <f t="shared" si="45"/>
        <v>0</v>
      </c>
      <c r="K77" s="2"/>
      <c r="L77" s="6">
        <f t="shared" si="46"/>
        <v>856.03</v>
      </c>
      <c r="M77" s="2"/>
      <c r="N77" s="7">
        <f t="shared" si="47"/>
        <v>0</v>
      </c>
      <c r="O77" s="11"/>
      <c r="P77" s="6">
        <v>856.03</v>
      </c>
      <c r="Q77" s="2"/>
      <c r="R77" s="7">
        <f t="shared" si="48"/>
        <v>9.3329173396638994E-5</v>
      </c>
      <c r="S77" s="2"/>
      <c r="T77" s="6"/>
      <c r="U77" s="2"/>
      <c r="V77" s="7">
        <f t="shared" si="49"/>
        <v>0</v>
      </c>
      <c r="W77" s="2"/>
      <c r="X77" s="6">
        <f t="shared" si="50"/>
        <v>856.03</v>
      </c>
      <c r="Y77" s="2"/>
      <c r="Z77" s="7">
        <f t="shared" si="51"/>
        <v>0</v>
      </c>
    </row>
    <row r="78" spans="1:26" s="24" customFormat="1" hidden="1" outlineLevel="2" x14ac:dyDescent="0.25">
      <c r="A78" s="26"/>
      <c r="B78" s="11" t="str">
        <f>CONCATENATE("          ", "6237", " - ", "JANITORIAL SUPPLIES")</f>
        <v xml:space="preserve">          6237 - JANITORIAL SUPPLIES</v>
      </c>
      <c r="C78" s="11"/>
      <c r="D78" s="6">
        <v>1075.9100000000001</v>
      </c>
      <c r="E78" s="2"/>
      <c r="F78" s="7">
        <f t="shared" si="44"/>
        <v>8.7781963996919881E-3</v>
      </c>
      <c r="G78" s="2"/>
      <c r="H78" s="6">
        <v>4411.6899999999996</v>
      </c>
      <c r="I78" s="2"/>
      <c r="J78" s="7">
        <f t="shared" si="45"/>
        <v>6.6579789932642679E-3</v>
      </c>
      <c r="K78" s="2"/>
      <c r="L78" s="6">
        <f t="shared" si="46"/>
        <v>-3335.7799999999997</v>
      </c>
      <c r="M78" s="2"/>
      <c r="N78" s="7">
        <f t="shared" si="47"/>
        <v>-0.75612293701506683</v>
      </c>
      <c r="O78" s="11"/>
      <c r="P78" s="6">
        <v>74207.23</v>
      </c>
      <c r="Q78" s="2"/>
      <c r="R78" s="7">
        <f t="shared" si="48"/>
        <v>8.0904868240064837E-3</v>
      </c>
      <c r="S78" s="2"/>
      <c r="T78" s="6">
        <v>98952.290000000008</v>
      </c>
      <c r="U78" s="2"/>
      <c r="V78" s="7">
        <f t="shared" si="49"/>
        <v>9.1768839352211109E-3</v>
      </c>
      <c r="W78" s="2"/>
      <c r="X78" s="6">
        <f t="shared" si="50"/>
        <v>-24745.060000000012</v>
      </c>
      <c r="Y78" s="2"/>
      <c r="Z78" s="7">
        <f t="shared" si="51"/>
        <v>-0.25007061483872695</v>
      </c>
    </row>
    <row r="79" spans="1:26" s="24" customFormat="1" hidden="1" outlineLevel="2" x14ac:dyDescent="0.25">
      <c r="A79" s="26"/>
      <c r="B79" s="11" t="str">
        <f>CONCATENATE("          ", "6239", " - ", "KITCHEN SUPPLIES")</f>
        <v xml:space="preserve">          6239 - KITCHEN SUPPLIES</v>
      </c>
      <c r="C79" s="11"/>
      <c r="D79" s="6">
        <v>50</v>
      </c>
      <c r="E79" s="2"/>
      <c r="F79" s="7">
        <f t="shared" si="44"/>
        <v>4.079428762485704E-4</v>
      </c>
      <c r="G79" s="2"/>
      <c r="H79" s="6">
        <v>2258.1799999999998</v>
      </c>
      <c r="I79" s="2"/>
      <c r="J79" s="7">
        <f t="shared" si="45"/>
        <v>3.4079717756708892E-3</v>
      </c>
      <c r="K79" s="2"/>
      <c r="L79" s="6">
        <f t="shared" si="46"/>
        <v>-2208.1799999999998</v>
      </c>
      <c r="M79" s="2"/>
      <c r="N79" s="7">
        <f t="shared" si="47"/>
        <v>-0.97785827524820879</v>
      </c>
      <c r="O79" s="11"/>
      <c r="P79" s="6">
        <v>26848.5</v>
      </c>
      <c r="Q79" s="2"/>
      <c r="R79" s="7">
        <f t="shared" si="48"/>
        <v>2.9271734774945525E-3</v>
      </c>
      <c r="S79" s="2"/>
      <c r="T79" s="6">
        <v>26134.769999999997</v>
      </c>
      <c r="U79" s="2"/>
      <c r="V79" s="7">
        <f t="shared" si="49"/>
        <v>2.4237513953815379E-3</v>
      </c>
      <c r="W79" s="2"/>
      <c r="X79" s="6">
        <f t="shared" si="50"/>
        <v>713.7300000000032</v>
      </c>
      <c r="Y79" s="2"/>
      <c r="Z79" s="7">
        <f t="shared" si="51"/>
        <v>2.730959560769057E-2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177.61</v>
      </c>
      <c r="E80" s="2"/>
      <c r="F80" s="7">
        <f t="shared" si="44"/>
        <v>1.4490946850101718E-3</v>
      </c>
      <c r="G80" s="2"/>
      <c r="H80" s="6">
        <v>1143.04</v>
      </c>
      <c r="I80" s="2"/>
      <c r="J80" s="7">
        <f t="shared" si="45"/>
        <v>1.7250387739076837E-3</v>
      </c>
      <c r="K80" s="2"/>
      <c r="L80" s="6">
        <f t="shared" si="46"/>
        <v>-965.43</v>
      </c>
      <c r="M80" s="2"/>
      <c r="N80" s="7">
        <f t="shared" si="47"/>
        <v>-0.84461611142217241</v>
      </c>
      <c r="O80" s="11"/>
      <c r="P80" s="6">
        <v>28558.06</v>
      </c>
      <c r="Q80" s="2"/>
      <c r="R80" s="7">
        <f t="shared" si="48"/>
        <v>3.1135592603198721E-3</v>
      </c>
      <c r="S80" s="2"/>
      <c r="T80" s="6">
        <v>12920.23</v>
      </c>
      <c r="U80" s="2"/>
      <c r="V80" s="7">
        <f t="shared" si="49"/>
        <v>1.1982284707747729E-3</v>
      </c>
      <c r="W80" s="2"/>
      <c r="X80" s="6">
        <f t="shared" si="50"/>
        <v>15637.830000000002</v>
      </c>
      <c r="Y80" s="2"/>
      <c r="Z80" s="7">
        <f t="shared" si="51"/>
        <v>1.210336812889554</v>
      </c>
    </row>
    <row r="81" spans="1:26" s="24" customFormat="1" hidden="1" outlineLevel="2" x14ac:dyDescent="0.25">
      <c r="A81" s="26"/>
      <c r="B81" s="11" t="str">
        <f>CONCATENATE("          ", "6243", " - ", "PAPER SUPPLIES")</f>
        <v xml:space="preserve">          6243 - PAPER SUPPLIES</v>
      </c>
      <c r="C81" s="11"/>
      <c r="D81" s="6">
        <v>1262.1099999999999</v>
      </c>
      <c r="E81" s="2"/>
      <c r="F81" s="7">
        <f t="shared" si="44"/>
        <v>1.0297375670841663E-2</v>
      </c>
      <c r="G81" s="2"/>
      <c r="H81" s="6">
        <v>3880.41</v>
      </c>
      <c r="I81" s="2"/>
      <c r="J81" s="7">
        <f t="shared" si="45"/>
        <v>5.8561885049159389E-3</v>
      </c>
      <c r="K81" s="2"/>
      <c r="L81" s="6">
        <f t="shared" si="46"/>
        <v>-2618.3000000000002</v>
      </c>
      <c r="M81" s="2"/>
      <c r="N81" s="7">
        <f t="shared" si="47"/>
        <v>-0.67474828690782684</v>
      </c>
      <c r="O81" s="11"/>
      <c r="P81" s="6">
        <v>59955.549999999996</v>
      </c>
      <c r="Q81" s="2"/>
      <c r="R81" s="7">
        <f t="shared" si="48"/>
        <v>6.5366890436560146E-3</v>
      </c>
      <c r="S81" s="2"/>
      <c r="T81" s="6">
        <v>72145.260000000009</v>
      </c>
      <c r="U81" s="2"/>
      <c r="V81" s="7">
        <f t="shared" si="49"/>
        <v>6.6907868175294406E-3</v>
      </c>
      <c r="W81" s="2"/>
      <c r="X81" s="6">
        <f t="shared" si="50"/>
        <v>-12189.710000000014</v>
      </c>
      <c r="Y81" s="2"/>
      <c r="Z81" s="7">
        <f t="shared" si="51"/>
        <v>-0.16896064966707464</v>
      </c>
    </row>
    <row r="82" spans="1:26" s="24" customFormat="1" hidden="1" outlineLevel="2" x14ac:dyDescent="0.25">
      <c r="A82" s="26"/>
      <c r="B82" s="11" t="str">
        <f>CONCATENATE("          ", "6245", " - ", "PRINTING")</f>
        <v xml:space="preserve">          6245 - PRINTING</v>
      </c>
      <c r="C82" s="11"/>
      <c r="D82" s="6"/>
      <c r="E82" s="2"/>
      <c r="F82" s="7">
        <f t="shared" si="44"/>
        <v>0</v>
      </c>
      <c r="G82" s="2"/>
      <c r="H82" s="6">
        <v>157.68</v>
      </c>
      <c r="I82" s="2"/>
      <c r="J82" s="7">
        <f t="shared" si="45"/>
        <v>2.3796552515201882E-4</v>
      </c>
      <c r="K82" s="2"/>
      <c r="L82" s="6">
        <f t="shared" si="46"/>
        <v>-157.68</v>
      </c>
      <c r="M82" s="2"/>
      <c r="N82" s="7">
        <f t="shared" si="47"/>
        <v>-1</v>
      </c>
      <c r="O82" s="11"/>
      <c r="P82" s="6">
        <v>1351.44</v>
      </c>
      <c r="Q82" s="2"/>
      <c r="R82" s="7">
        <f t="shared" si="48"/>
        <v>1.4734153954318633E-4</v>
      </c>
      <c r="S82" s="2"/>
      <c r="T82" s="6">
        <v>2007.28</v>
      </c>
      <c r="U82" s="2"/>
      <c r="V82" s="7">
        <f t="shared" si="49"/>
        <v>1.8615613226829445E-4</v>
      </c>
      <c r="W82" s="2"/>
      <c r="X82" s="6">
        <f t="shared" si="50"/>
        <v>-655.83999999999992</v>
      </c>
      <c r="Y82" s="2"/>
      <c r="Z82" s="7">
        <f t="shared" si="51"/>
        <v>-0.32673070025108603</v>
      </c>
    </row>
    <row r="83" spans="1:26" s="24" customFormat="1" hidden="1" outlineLevel="2" x14ac:dyDescent="0.25">
      <c r="A83" s="26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44"/>
        <v>0</v>
      </c>
      <c r="G83" s="2"/>
      <c r="H83" s="6">
        <v>20.58</v>
      </c>
      <c r="I83" s="2"/>
      <c r="J83" s="7">
        <f t="shared" si="45"/>
        <v>3.1058666334529091E-5</v>
      </c>
      <c r="K83" s="2"/>
      <c r="L83" s="6">
        <f t="shared" si="46"/>
        <v>-20.58</v>
      </c>
      <c r="M83" s="2"/>
      <c r="N83" s="7">
        <f t="shared" si="47"/>
        <v>-1</v>
      </c>
      <c r="O83" s="11"/>
      <c r="P83" s="6">
        <v>667.78</v>
      </c>
      <c r="Q83" s="2"/>
      <c r="R83" s="7">
        <f t="shared" si="48"/>
        <v>7.2805106609356656E-5</v>
      </c>
      <c r="S83" s="2"/>
      <c r="T83" s="6">
        <v>-65.900000000000006</v>
      </c>
      <c r="U83" s="2"/>
      <c r="V83" s="7">
        <f t="shared" si="49"/>
        <v>-6.1115983402816778E-6</v>
      </c>
      <c r="W83" s="2"/>
      <c r="X83" s="6">
        <f t="shared" si="50"/>
        <v>733.68</v>
      </c>
      <c r="Y83" s="2"/>
      <c r="Z83" s="7">
        <f t="shared" si="51"/>
        <v>-11.133232169954475</v>
      </c>
    </row>
    <row r="84" spans="1:26" s="24" customFormat="1" hidden="1" outlineLevel="2" x14ac:dyDescent="0.25">
      <c r="A84" s="26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44"/>
        <v>0</v>
      </c>
      <c r="G84" s="2"/>
      <c r="H84" s="6">
        <v>190.77</v>
      </c>
      <c r="I84" s="2"/>
      <c r="J84" s="7">
        <f t="shared" si="45"/>
        <v>2.879038764158462E-4</v>
      </c>
      <c r="K84" s="2"/>
      <c r="L84" s="6">
        <f t="shared" si="46"/>
        <v>-190.77</v>
      </c>
      <c r="M84" s="2"/>
      <c r="N84" s="7">
        <f t="shared" si="47"/>
        <v>-1</v>
      </c>
      <c r="O84" s="11"/>
      <c r="P84" s="6">
        <v>-126.8</v>
      </c>
      <c r="Q84" s="2"/>
      <c r="R84" s="7">
        <f t="shared" si="48"/>
        <v>-1.3824444454860021E-5</v>
      </c>
      <c r="S84" s="2"/>
      <c r="T84" s="6">
        <v>10493.14</v>
      </c>
      <c r="U84" s="2"/>
      <c r="V84" s="7">
        <f t="shared" si="49"/>
        <v>9.7313895308563387E-4</v>
      </c>
      <c r="W84" s="2"/>
      <c r="X84" s="6">
        <f t="shared" si="50"/>
        <v>-10619.939999999999</v>
      </c>
      <c r="Y84" s="2"/>
      <c r="Z84" s="7">
        <f t="shared" si="51"/>
        <v>-1.012084085411993</v>
      </c>
    </row>
    <row r="85" spans="1:26" s="27" customFormat="1" outlineLevel="1" collapsed="1" x14ac:dyDescent="0.25">
      <c r="A85" s="25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SUM(OSRRefD22_16x_0)</f>
        <v>536.29999999999995</v>
      </c>
      <c r="E85" s="1"/>
      <c r="F85" s="5">
        <f t="shared" ref="F85:F91" si="52">IF(D$12=0,0,D85/D$12)</f>
        <v>4.3755952906421652E-3</v>
      </c>
      <c r="G85" s="1"/>
      <c r="H85" s="1">
        <f>SUM(OSRRefH22_16x_0)</f>
        <v>736.25</v>
      </c>
      <c r="I85" s="1"/>
      <c r="J85" s="5">
        <f t="shared" ref="J85:J91" si="53">IF(H$12=0,0,H85/H$12)</f>
        <v>1.1111245427015085E-3</v>
      </c>
      <c r="K85" s="1"/>
      <c r="L85" s="1">
        <f t="shared" ref="L85:L91" si="54">+D85-H85</f>
        <v>-199.95000000000005</v>
      </c>
      <c r="M85" s="1"/>
      <c r="N85" s="5">
        <f t="shared" ref="N85:N91" si="55">IF(H85=0,0,L85/H85)</f>
        <v>-0.27157894736842114</v>
      </c>
      <c r="O85" s="13"/>
      <c r="P85" s="1">
        <f>SUM(OSRRefP22_16x_0)</f>
        <v>7096.8</v>
      </c>
      <c r="Q85" s="1"/>
      <c r="R85" s="5">
        <f t="shared" ref="R85:R91" si="56">IF(P$12=0,0,P85/P$12)</f>
        <v>7.7373278712342748E-4</v>
      </c>
      <c r="S85" s="1"/>
      <c r="T85" s="1">
        <f>SUM(OSRRefT22_16x_0)</f>
        <v>7917.75</v>
      </c>
      <c r="U85" s="1"/>
      <c r="V85" s="5">
        <f t="shared" ref="V85:V91" si="57">IF(T$12=0,0,T85/T$12)</f>
        <v>7.342960206185925E-4</v>
      </c>
      <c r="W85" s="1"/>
      <c r="X85" s="1">
        <f t="shared" ref="X85:X91" si="58">+P85-T85</f>
        <v>-820.94999999999982</v>
      </c>
      <c r="Y85" s="1"/>
      <c r="Z85" s="5">
        <f t="shared" ref="Z85:Z91" si="59">IF(T85=0,0,X85/T85)</f>
        <v>-0.10368475892772566</v>
      </c>
    </row>
    <row r="86" spans="1:26" s="24" customFormat="1" hidden="1" outlineLevel="2" x14ac:dyDescent="0.25">
      <c r="A86" s="26"/>
      <c r="B86" s="11" t="str">
        <f>CONCATENATE("          ", "6309", " - ", "TELEPHONE")</f>
        <v xml:space="preserve">          6309 - TELEPHONE</v>
      </c>
      <c r="C86" s="11"/>
      <c r="D86" s="6">
        <v>536.29999999999995</v>
      </c>
      <c r="E86" s="2"/>
      <c r="F86" s="7">
        <f t="shared" si="52"/>
        <v>4.3755952906421652E-3</v>
      </c>
      <c r="G86" s="2"/>
      <c r="H86" s="6">
        <v>736.25</v>
      </c>
      <c r="I86" s="2"/>
      <c r="J86" s="7">
        <f t="shared" si="53"/>
        <v>1.1111245427015085E-3</v>
      </c>
      <c r="K86" s="2"/>
      <c r="L86" s="6">
        <f t="shared" si="54"/>
        <v>-199.95000000000005</v>
      </c>
      <c r="M86" s="2"/>
      <c r="N86" s="7">
        <f t="shared" si="55"/>
        <v>-0.27157894736842114</v>
      </c>
      <c r="O86" s="11"/>
      <c r="P86" s="6">
        <v>7096.8</v>
      </c>
      <c r="Q86" s="2"/>
      <c r="R86" s="7">
        <f t="shared" si="56"/>
        <v>7.7373278712342748E-4</v>
      </c>
      <c r="S86" s="2"/>
      <c r="T86" s="6">
        <v>7917.75</v>
      </c>
      <c r="U86" s="2"/>
      <c r="V86" s="7">
        <f t="shared" si="57"/>
        <v>7.342960206185925E-4</v>
      </c>
      <c r="W86" s="2"/>
      <c r="X86" s="6">
        <f t="shared" si="58"/>
        <v>-820.94999999999982</v>
      </c>
      <c r="Y86" s="2"/>
      <c r="Z86" s="7">
        <f t="shared" si="59"/>
        <v>-0.10368475892772566</v>
      </c>
    </row>
    <row r="87" spans="1:26" s="27" customFormat="1" outlineLevel="1" collapsed="1" x14ac:dyDescent="0.25">
      <c r="A87" s="25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SUM(OSRRefD22_17x_0)</f>
        <v>0</v>
      </c>
      <c r="E87" s="1"/>
      <c r="F87" s="5">
        <f t="shared" si="52"/>
        <v>0</v>
      </c>
      <c r="G87" s="1"/>
      <c r="H87" s="1">
        <f>SUM(OSRRefH22_17x_0)</f>
        <v>2067.66</v>
      </c>
      <c r="I87" s="1"/>
      <c r="J87" s="5">
        <f t="shared" si="53"/>
        <v>3.120445191120137E-3</v>
      </c>
      <c r="K87" s="1"/>
      <c r="L87" s="1">
        <f t="shared" si="54"/>
        <v>-2067.66</v>
      </c>
      <c r="M87" s="1"/>
      <c r="N87" s="5">
        <f t="shared" si="55"/>
        <v>-1</v>
      </c>
      <c r="O87" s="13"/>
      <c r="P87" s="1">
        <f>SUM(OSRRefP22_17x_0)</f>
        <v>6398.23</v>
      </c>
      <c r="Q87" s="1"/>
      <c r="R87" s="5">
        <f t="shared" si="56"/>
        <v>6.9757078268469267E-4</v>
      </c>
      <c r="S87" s="1"/>
      <c r="T87" s="1">
        <f>SUM(OSRRefT22_17x_0)</f>
        <v>10583.25</v>
      </c>
      <c r="U87" s="1"/>
      <c r="V87" s="5">
        <f t="shared" si="57"/>
        <v>9.8149579870692046E-4</v>
      </c>
      <c r="W87" s="1"/>
      <c r="X87" s="1">
        <f t="shared" si="58"/>
        <v>-4185.0200000000004</v>
      </c>
      <c r="Y87" s="1"/>
      <c r="Z87" s="5">
        <f t="shared" si="59"/>
        <v>-0.39543807431554584</v>
      </c>
    </row>
    <row r="88" spans="1:26" s="24" customFormat="1" hidden="1" outlineLevel="2" x14ac:dyDescent="0.25">
      <c r="A88" s="26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>
        <v>2067.66</v>
      </c>
      <c r="I88" s="2"/>
      <c r="J88" s="7">
        <f t="shared" si="53"/>
        <v>3.120445191120137E-3</v>
      </c>
      <c r="K88" s="2"/>
      <c r="L88" s="6">
        <f t="shared" si="54"/>
        <v>-2067.66</v>
      </c>
      <c r="M88" s="2"/>
      <c r="N88" s="7">
        <f t="shared" si="55"/>
        <v>-1</v>
      </c>
      <c r="O88" s="11"/>
      <c r="P88" s="6">
        <v>6398.23</v>
      </c>
      <c r="Q88" s="2"/>
      <c r="R88" s="7">
        <f t="shared" si="56"/>
        <v>6.9757078268469267E-4</v>
      </c>
      <c r="S88" s="2"/>
      <c r="T88" s="6">
        <v>10583.25</v>
      </c>
      <c r="U88" s="2"/>
      <c r="V88" s="7">
        <f t="shared" si="57"/>
        <v>9.8149579870692046E-4</v>
      </c>
      <c r="W88" s="2"/>
      <c r="X88" s="6">
        <f t="shared" si="58"/>
        <v>-4185.0200000000004</v>
      </c>
      <c r="Y88" s="2"/>
      <c r="Z88" s="7">
        <f t="shared" si="59"/>
        <v>-0.39543807431554584</v>
      </c>
    </row>
    <row r="89" spans="1:26" s="27" customFormat="1" outlineLevel="1" collapsed="1" x14ac:dyDescent="0.25">
      <c r="A89" s="25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SUM(OSRRefD22_18x_0)</f>
        <v>0</v>
      </c>
      <c r="E89" s="1"/>
      <c r="F89" s="5">
        <f t="shared" si="52"/>
        <v>0</v>
      </c>
      <c r="G89" s="1"/>
      <c r="H89" s="1">
        <f>SUM(OSRRefH22_18x_0)</f>
        <v>299.75</v>
      </c>
      <c r="I89" s="1"/>
      <c r="J89" s="5">
        <f t="shared" si="53"/>
        <v>4.5237294624757507E-4</v>
      </c>
      <c r="K89" s="1"/>
      <c r="L89" s="1">
        <f t="shared" si="54"/>
        <v>-299.75</v>
      </c>
      <c r="M89" s="1"/>
      <c r="N89" s="5">
        <f t="shared" si="55"/>
        <v>-1</v>
      </c>
      <c r="O89" s="13"/>
      <c r="P89" s="1">
        <f>SUM(OSRRefP22_18x_0)</f>
        <v>1894.26</v>
      </c>
      <c r="Q89" s="1"/>
      <c r="R89" s="5">
        <f t="shared" si="56"/>
        <v>2.0652280877810051E-4</v>
      </c>
      <c r="S89" s="1"/>
      <c r="T89" s="1">
        <f>SUM(OSRRefT22_18x_0)</f>
        <v>2517.9899999999998</v>
      </c>
      <c r="U89" s="1"/>
      <c r="V89" s="5">
        <f t="shared" si="57"/>
        <v>2.3351962829811621E-4</v>
      </c>
      <c r="W89" s="1"/>
      <c r="X89" s="1">
        <f t="shared" si="58"/>
        <v>-623.72999999999979</v>
      </c>
      <c r="Y89" s="1"/>
      <c r="Z89" s="5">
        <f t="shared" si="59"/>
        <v>-0.24770948256347319</v>
      </c>
    </row>
    <row r="90" spans="1:26" s="24" customFormat="1" hidden="1" outlineLevel="2" x14ac:dyDescent="0.25">
      <c r="A90" s="26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52"/>
        <v>0</v>
      </c>
      <c r="G90" s="2"/>
      <c r="H90" s="6">
        <v>299.75</v>
      </c>
      <c r="I90" s="2"/>
      <c r="J90" s="7">
        <f t="shared" si="53"/>
        <v>4.5237294624757507E-4</v>
      </c>
      <c r="K90" s="2"/>
      <c r="L90" s="6">
        <f t="shared" si="54"/>
        <v>-299.75</v>
      </c>
      <c r="M90" s="2"/>
      <c r="N90" s="7">
        <f t="shared" si="55"/>
        <v>-1</v>
      </c>
      <c r="O90" s="11"/>
      <c r="P90" s="6">
        <v>1894.26</v>
      </c>
      <c r="Q90" s="2"/>
      <c r="R90" s="7">
        <f t="shared" si="56"/>
        <v>2.0652280877810051E-4</v>
      </c>
      <c r="S90" s="2"/>
      <c r="T90" s="6">
        <v>1889.61</v>
      </c>
      <c r="U90" s="2"/>
      <c r="V90" s="7">
        <f t="shared" si="57"/>
        <v>1.7524335872199786E-4</v>
      </c>
      <c r="W90" s="2"/>
      <c r="X90" s="6">
        <f t="shared" si="58"/>
        <v>4.6500000000000909</v>
      </c>
      <c r="Y90" s="2"/>
      <c r="Z90" s="7">
        <f t="shared" si="59"/>
        <v>2.460825249654739E-3</v>
      </c>
    </row>
    <row r="91" spans="1:26" s="24" customFormat="1" hidden="1" outlineLevel="2" x14ac:dyDescent="0.25">
      <c r="A91" s="26"/>
      <c r="B91" s="11" t="str">
        <f>CONCATENATE("          ", "6294", " - ", "TRAVEL OPERATIONAL")</f>
        <v xml:space="preserve">          6294 - TRAVEL OPERATIONAL</v>
      </c>
      <c r="C91" s="11"/>
      <c r="D91" s="6"/>
      <c r="E91" s="2"/>
      <c r="F91" s="7">
        <f t="shared" si="52"/>
        <v>0</v>
      </c>
      <c r="G91" s="2"/>
      <c r="H91" s="6"/>
      <c r="I91" s="2"/>
      <c r="J91" s="7">
        <f t="shared" si="53"/>
        <v>0</v>
      </c>
      <c r="K91" s="2"/>
      <c r="L91" s="6">
        <f t="shared" si="54"/>
        <v>0</v>
      </c>
      <c r="M91" s="2"/>
      <c r="N91" s="7">
        <f t="shared" si="55"/>
        <v>0</v>
      </c>
      <c r="O91" s="11"/>
      <c r="P91" s="6"/>
      <c r="Q91" s="2"/>
      <c r="R91" s="7">
        <f t="shared" si="56"/>
        <v>0</v>
      </c>
      <c r="S91" s="2"/>
      <c r="T91" s="6">
        <v>628.38</v>
      </c>
      <c r="U91" s="2"/>
      <c r="V91" s="7">
        <f t="shared" si="57"/>
        <v>5.8276269576118361E-5</v>
      </c>
      <c r="W91" s="2"/>
      <c r="X91" s="6">
        <f t="shared" si="58"/>
        <v>-628.38</v>
      </c>
      <c r="Y91" s="2"/>
      <c r="Z91" s="7">
        <f t="shared" si="59"/>
        <v>-1</v>
      </c>
    </row>
    <row r="92" spans="1:26" s="58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8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1">
        <f>+D24-D26+D93</f>
        <v>-78558.849999999919</v>
      </c>
      <c r="E95" s="14"/>
      <c r="F95" s="20">
        <f>IF(D$12=0,0,D95/D$12)</f>
        <v>-0.64095046447559945</v>
      </c>
      <c r="G95" s="14"/>
      <c r="H95" s="21">
        <f>+H24-H26+H93</f>
        <v>62637.139999999839</v>
      </c>
      <c r="I95" s="14"/>
      <c r="J95" s="20">
        <f>IF(H$12=0,0,H95/H$12)</f>
        <v>9.4529933498988361E-2</v>
      </c>
      <c r="K95" s="16"/>
      <c r="L95" s="21">
        <f>+D95-H95</f>
        <v>-141195.98999999976</v>
      </c>
      <c r="M95" s="16"/>
      <c r="N95" s="20">
        <f>IF(H95=0,0,L95/H95)</f>
        <v>-2.2541896069967455</v>
      </c>
      <c r="O95" s="28"/>
      <c r="P95" s="21">
        <f>+P24-P26+P93</f>
        <v>2163350.2199999988</v>
      </c>
      <c r="Q95" s="14"/>
      <c r="R95" s="20">
        <f>IF(P$12=0,0,P95/P$12)</f>
        <v>0.23586052801892107</v>
      </c>
      <c r="S95" s="14"/>
      <c r="T95" s="21">
        <f>+T24-T26+T93</f>
        <v>3156120.3800000027</v>
      </c>
      <c r="U95" s="14"/>
      <c r="V95" s="20">
        <f>IF(T$12=0,0,T95/T$12)</f>
        <v>0.29270015290041262</v>
      </c>
      <c r="W95" s="16"/>
      <c r="X95" s="21">
        <f>+P95-T95</f>
        <v>-992770.16000000387</v>
      </c>
      <c r="Y95" s="16"/>
      <c r="Z95" s="20">
        <f>IF(T95=0,0,X95/T95)</f>
        <v>-0.31455395880685738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>
        <v>58610.380000000005</v>
      </c>
      <c r="E97" s="4"/>
      <c r="F97" s="12">
        <f>IF(D$12=0,0,D97/D$12)</f>
        <v>0.47819373990443376</v>
      </c>
      <c r="G97" s="4"/>
      <c r="H97" s="4">
        <v>69488.78</v>
      </c>
      <c r="I97" s="4"/>
      <c r="J97" s="12">
        <f>IF(H$12=0,0,H97/H$12)</f>
        <v>0.10487020563719623</v>
      </c>
      <c r="K97" s="4"/>
      <c r="L97" s="4">
        <f>+D97-H97</f>
        <v>-10878.399999999994</v>
      </c>
      <c r="M97" s="4"/>
      <c r="N97" s="12">
        <f>IF(H97=0,0,L97/H97)</f>
        <v>-0.15654901409983013</v>
      </c>
      <c r="O97" s="10"/>
      <c r="P97" s="4">
        <v>1086126.8499999999</v>
      </c>
      <c r="Q97" s="4"/>
      <c r="R97" s="12">
        <f>IF(P$12=0,0,P97/P$12)</f>
        <v>0.11841561757694859</v>
      </c>
      <c r="S97" s="4"/>
      <c r="T97" s="4">
        <v>1121565.93</v>
      </c>
      <c r="U97" s="4"/>
      <c r="V97" s="12">
        <f>IF(T$12=0,0,T97/T$12)</f>
        <v>0.1040145747542409</v>
      </c>
      <c r="W97" s="4"/>
      <c r="X97" s="4">
        <f>+P97-T97</f>
        <v>-35439.080000000075</v>
      </c>
      <c r="Y97" s="4"/>
      <c r="Z97" s="12">
        <f>IF(T97=0,0,X97/T97)</f>
        <v>-3.1597857113937186E-2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5">
        <f>+D95-D97</f>
        <v>-137169.22999999992</v>
      </c>
      <c r="E99" s="14"/>
      <c r="F99" s="32">
        <f>IF(D$12=0,0,D99/D$12)</f>
        <v>-1.119144204380033</v>
      </c>
      <c r="G99" s="14"/>
      <c r="H99" s="35">
        <f>+H95-H97</f>
        <v>-6851.6400000001595</v>
      </c>
      <c r="I99" s="14"/>
      <c r="J99" s="32">
        <f>IF(H$12=0,0,H99/H$12)</f>
        <v>-1.0340272138207865E-2</v>
      </c>
      <c r="K99" s="16"/>
      <c r="L99" s="35">
        <f>D99-H99</f>
        <v>-130317.58999999976</v>
      </c>
      <c r="M99" s="16"/>
      <c r="N99" s="32">
        <f>IF(H99=0,0,L99/H99)</f>
        <v>19.019912021063092</v>
      </c>
      <c r="O99" s="28"/>
      <c r="P99" s="35">
        <f>+P95-P97</f>
        <v>1077223.3699999989</v>
      </c>
      <c r="Q99" s="14"/>
      <c r="R99" s="32">
        <f>IF(P$12=0,0,P99/P$12)</f>
        <v>0.11744491044197249</v>
      </c>
      <c r="S99" s="14"/>
      <c r="T99" s="35">
        <f>+T95-T97</f>
        <v>2034554.4500000027</v>
      </c>
      <c r="U99" s="14"/>
      <c r="V99" s="32">
        <f>IF(T$12=0,0,T99/T$12)</f>
        <v>0.18868557814617173</v>
      </c>
      <c r="W99" s="16"/>
      <c r="X99" s="35">
        <f>P99-T99</f>
        <v>-957331.0800000038</v>
      </c>
      <c r="Y99" s="16"/>
      <c r="Z99" s="32">
        <f>IF(T99=0,0,X99/T99)</f>
        <v>-0.47053598393496054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6">
        <f>SUM(D99:D101)</f>
        <v>-137169.22999999992</v>
      </c>
      <c r="E102" s="14"/>
      <c r="F102" s="33">
        <f>IF(D$12=0,0,D102/D$12)</f>
        <v>-1.119144204380033</v>
      </c>
      <c r="G102" s="14"/>
      <c r="H102" s="36">
        <f>SUM(H99:H101)</f>
        <v>-6851.6400000001595</v>
      </c>
      <c r="I102" s="14"/>
      <c r="J102" s="33">
        <f>IF(H$12=0,0,H102/H$12)</f>
        <v>-1.0340272138207865E-2</v>
      </c>
      <c r="K102" s="16"/>
      <c r="L102" s="36">
        <f>+D102-H102</f>
        <v>-130317.58999999976</v>
      </c>
      <c r="M102" s="16"/>
      <c r="N102" s="33">
        <f>IF(H102=0,0,L102/H102)</f>
        <v>19.019912021063092</v>
      </c>
      <c r="O102" s="28"/>
      <c r="P102" s="36">
        <f>SUM(P99:P101)</f>
        <v>1077223.3699999989</v>
      </c>
      <c r="Q102" s="14"/>
      <c r="R102" s="33">
        <f>IF(P$12=0,0,P102/P$12)</f>
        <v>0.11744491044197249</v>
      </c>
      <c r="S102" s="14"/>
      <c r="T102" s="36">
        <f>SUM(T99:T101)</f>
        <v>2034554.4500000027</v>
      </c>
      <c r="U102" s="14"/>
      <c r="V102" s="33">
        <f>IF(T$12=0,0,T102/T$12)</f>
        <v>0.18868557814617173</v>
      </c>
      <c r="W102" s="16"/>
      <c r="X102" s="36">
        <f>+P102-T102</f>
        <v>-957331.0800000038</v>
      </c>
      <c r="Y102" s="16"/>
      <c r="Z102" s="33">
        <f>IF(T102=0,0,X102/T102)</f>
        <v>-0.47053598393496054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5">
        <v>43992.375039004626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62" t="s">
        <v>313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3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14475.840000000002</v>
      </c>
      <c r="E18" s="22"/>
      <c r="F18" s="31">
        <f t="shared" ref="F18:F27" si="0">IF(D$12=0,0,D18/D$12)</f>
        <v>0</v>
      </c>
      <c r="G18" s="22"/>
      <c r="H18" s="22">
        <f>SUM(OSRRefH22x_0)</f>
        <v>17340.129999999997</v>
      </c>
      <c r="I18" s="22"/>
      <c r="J18" s="31">
        <f t="shared" ref="J18:J27" si="1">IF(H$12=0,0,H18/H$12)</f>
        <v>0</v>
      </c>
      <c r="K18" s="4"/>
      <c r="L18" s="22">
        <f t="shared" ref="L18:L27" si="2">+D18-H18</f>
        <v>-2864.2899999999954</v>
      </c>
      <c r="M18" s="4"/>
      <c r="N18" s="31">
        <f t="shared" ref="N18:N27" si="3">IF(H18=0,0,L18/H18)</f>
        <v>-0.16518272931056432</v>
      </c>
      <c r="O18" s="10"/>
      <c r="P18" s="22">
        <f>SUM(OSRRefP22x_0)</f>
        <v>211339.99000000002</v>
      </c>
      <c r="Q18" s="22"/>
      <c r="R18" s="31">
        <f t="shared" ref="R18:R27" si="4">IF(P$12=0,0,P18/P$12)</f>
        <v>0</v>
      </c>
      <c r="S18" s="22"/>
      <c r="T18" s="22">
        <f>SUM(OSRRefT22x_0)</f>
        <v>155549.72999999995</v>
      </c>
      <c r="U18" s="22"/>
      <c r="V18" s="31">
        <f t="shared" ref="V18:V27" si="5">IF(T$12=0,0,T18/T$12)</f>
        <v>0</v>
      </c>
      <c r="W18" s="4"/>
      <c r="X18" s="22">
        <f t="shared" ref="X18:X27" si="6">+P18-T18</f>
        <v>55790.260000000068</v>
      </c>
      <c r="Y18" s="4"/>
      <c r="Z18" s="31">
        <f t="shared" ref="Z18:Z27" si="7">IF(T18=0,0,X18/T18)</f>
        <v>0.35866510343669566</v>
      </c>
    </row>
    <row r="19" spans="1:26" s="27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5018.79</v>
      </c>
      <c r="E19" s="1"/>
      <c r="F19" s="5">
        <f t="shared" si="0"/>
        <v>0</v>
      </c>
      <c r="G19" s="1"/>
      <c r="H19" s="1">
        <f>SUM(OSRRefH22_0x_0)</f>
        <v>6249.74</v>
      </c>
      <c r="I19" s="1"/>
      <c r="J19" s="5">
        <f t="shared" si="1"/>
        <v>0</v>
      </c>
      <c r="K19" s="1"/>
      <c r="L19" s="1">
        <f t="shared" si="2"/>
        <v>-1230.9499999999998</v>
      </c>
      <c r="M19" s="1"/>
      <c r="N19" s="5">
        <f t="shared" si="3"/>
        <v>-0.19696019354405142</v>
      </c>
      <c r="O19" s="13"/>
      <c r="P19" s="1">
        <f>SUM(OSRRefP22_0x_0)</f>
        <v>65537.740000000005</v>
      </c>
      <c r="Q19" s="1"/>
      <c r="R19" s="5">
        <f t="shared" si="4"/>
        <v>0</v>
      </c>
      <c r="S19" s="1"/>
      <c r="T19" s="1">
        <f>SUM(OSRRefT22_0x_0)</f>
        <v>60818.54</v>
      </c>
      <c r="U19" s="1"/>
      <c r="V19" s="5">
        <f t="shared" si="5"/>
        <v>0</v>
      </c>
      <c r="W19" s="1"/>
      <c r="X19" s="1">
        <f t="shared" si="6"/>
        <v>4719.2000000000044</v>
      </c>
      <c r="Y19" s="1"/>
      <c r="Z19" s="5">
        <f t="shared" si="7"/>
        <v>7.7594759755824527E-2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685.42</v>
      </c>
      <c r="E20" s="2"/>
      <c r="F20" s="7">
        <f t="shared" si="0"/>
        <v>0</v>
      </c>
      <c r="G20" s="2"/>
      <c r="H20" s="6">
        <v>907.41</v>
      </c>
      <c r="I20" s="2"/>
      <c r="J20" s="7">
        <f t="shared" si="1"/>
        <v>0</v>
      </c>
      <c r="K20" s="2"/>
      <c r="L20" s="6">
        <f t="shared" si="2"/>
        <v>-221.99</v>
      </c>
      <c r="M20" s="2"/>
      <c r="N20" s="7">
        <f t="shared" si="3"/>
        <v>-0.24464134184106415</v>
      </c>
      <c r="O20" s="11"/>
      <c r="P20" s="6">
        <v>8560.7099999999991</v>
      </c>
      <c r="Q20" s="2"/>
      <c r="R20" s="7">
        <f t="shared" si="4"/>
        <v>0</v>
      </c>
      <c r="S20" s="2"/>
      <c r="T20" s="6">
        <v>8099.37</v>
      </c>
      <c r="U20" s="2"/>
      <c r="V20" s="7">
        <f t="shared" si="5"/>
        <v>0</v>
      </c>
      <c r="W20" s="2"/>
      <c r="X20" s="6">
        <f t="shared" si="6"/>
        <v>461.33999999999924</v>
      </c>
      <c r="Y20" s="2"/>
      <c r="Z20" s="7">
        <f t="shared" si="7"/>
        <v>5.6959985776671426E-2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521.45000000000005</v>
      </c>
      <c r="E21" s="2"/>
      <c r="F21" s="7">
        <f t="shared" si="0"/>
        <v>0</v>
      </c>
      <c r="G21" s="2"/>
      <c r="H21" s="6">
        <v>276.77</v>
      </c>
      <c r="I21" s="2"/>
      <c r="J21" s="7">
        <f t="shared" si="1"/>
        <v>0</v>
      </c>
      <c r="K21" s="2"/>
      <c r="L21" s="6">
        <f t="shared" si="2"/>
        <v>244.68000000000006</v>
      </c>
      <c r="M21" s="2"/>
      <c r="N21" s="7">
        <f t="shared" si="3"/>
        <v>0.88405535282003134</v>
      </c>
      <c r="O21" s="11"/>
      <c r="P21" s="6">
        <v>3751.52</v>
      </c>
      <c r="Q21" s="2"/>
      <c r="R21" s="7">
        <f t="shared" si="4"/>
        <v>0</v>
      </c>
      <c r="S21" s="2"/>
      <c r="T21" s="6">
        <v>3282.74</v>
      </c>
      <c r="U21" s="2"/>
      <c r="V21" s="7">
        <f t="shared" si="5"/>
        <v>0</v>
      </c>
      <c r="W21" s="2"/>
      <c r="X21" s="6">
        <f t="shared" si="6"/>
        <v>468.7800000000002</v>
      </c>
      <c r="Y21" s="2"/>
      <c r="Z21" s="7">
        <f t="shared" si="7"/>
        <v>0.14280144026027045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2730.6</v>
      </c>
      <c r="I22" s="2"/>
      <c r="J22" s="7">
        <f t="shared" si="1"/>
        <v>0</v>
      </c>
      <c r="K22" s="2"/>
      <c r="L22" s="6">
        <f t="shared" si="2"/>
        <v>7.3000000000001819</v>
      </c>
      <c r="M22" s="2"/>
      <c r="N22" s="7">
        <f t="shared" si="3"/>
        <v>2.6734051124295694E-3</v>
      </c>
      <c r="O22" s="11"/>
      <c r="P22" s="6">
        <v>30073.100000000002</v>
      </c>
      <c r="Q22" s="2"/>
      <c r="R22" s="7">
        <f t="shared" si="4"/>
        <v>0</v>
      </c>
      <c r="S22" s="2"/>
      <c r="T22" s="6">
        <v>28691.870000000003</v>
      </c>
      <c r="U22" s="2"/>
      <c r="V22" s="7">
        <f t="shared" si="5"/>
        <v>0</v>
      </c>
      <c r="W22" s="2"/>
      <c r="X22" s="6">
        <f t="shared" si="6"/>
        <v>1381.2299999999996</v>
      </c>
      <c r="Y22" s="2"/>
      <c r="Z22" s="7">
        <f t="shared" si="7"/>
        <v>4.814011774067007E-2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34.94</v>
      </c>
      <c r="E23" s="2"/>
      <c r="F23" s="7">
        <f t="shared" si="0"/>
        <v>0</v>
      </c>
      <c r="G23" s="2"/>
      <c r="H23" s="6">
        <v>20.56</v>
      </c>
      <c r="I23" s="2"/>
      <c r="J23" s="7">
        <f t="shared" si="1"/>
        <v>0</v>
      </c>
      <c r="K23" s="2"/>
      <c r="L23" s="6">
        <f t="shared" si="2"/>
        <v>14.379999999999999</v>
      </c>
      <c r="M23" s="2"/>
      <c r="N23" s="7">
        <f t="shared" si="3"/>
        <v>0.69941634241245132</v>
      </c>
      <c r="O23" s="11"/>
      <c r="P23" s="6">
        <v>290.45</v>
      </c>
      <c r="Q23" s="2"/>
      <c r="R23" s="7">
        <f t="shared" si="4"/>
        <v>0</v>
      </c>
      <c r="S23" s="2"/>
      <c r="T23" s="6">
        <v>274.49</v>
      </c>
      <c r="U23" s="2"/>
      <c r="V23" s="7">
        <f t="shared" si="5"/>
        <v>0</v>
      </c>
      <c r="W23" s="2"/>
      <c r="X23" s="6">
        <f t="shared" si="6"/>
        <v>15.95999999999998</v>
      </c>
      <c r="Y23" s="2"/>
      <c r="Z23" s="7">
        <f t="shared" si="7"/>
        <v>5.8144194688331013E-2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625.82000000000005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84.770000000000095</v>
      </c>
      <c r="M24" s="2"/>
      <c r="N24" s="7">
        <f t="shared" si="3"/>
        <v>0.15667683208575936</v>
      </c>
      <c r="O24" s="11"/>
      <c r="P24" s="6">
        <v>6713.37</v>
      </c>
      <c r="Q24" s="2"/>
      <c r="R24" s="7">
        <f t="shared" si="4"/>
        <v>0</v>
      </c>
      <c r="S24" s="2"/>
      <c r="T24" s="6">
        <v>6484.73</v>
      </c>
      <c r="U24" s="2"/>
      <c r="V24" s="7">
        <f t="shared" si="5"/>
        <v>0</v>
      </c>
      <c r="W24" s="2"/>
      <c r="X24" s="6">
        <f t="shared" si="6"/>
        <v>228.64000000000033</v>
      </c>
      <c r="Y24" s="2"/>
      <c r="Z24" s="7">
        <f t="shared" si="7"/>
        <v>3.5258214297279968E-2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0"/>
        <v>0</v>
      </c>
      <c r="G25" s="2"/>
      <c r="H25" s="6">
        <v>1095.72</v>
      </c>
      <c r="I25" s="2"/>
      <c r="J25" s="7">
        <f t="shared" si="1"/>
        <v>0</v>
      </c>
      <c r="K25" s="2"/>
      <c r="L25" s="6">
        <f t="shared" si="2"/>
        <v>-1095.72</v>
      </c>
      <c r="M25" s="2"/>
      <c r="N25" s="7">
        <f t="shared" si="3"/>
        <v>-1</v>
      </c>
      <c r="O25" s="11"/>
      <c r="P25" s="6">
        <v>9187.49</v>
      </c>
      <c r="Q25" s="2"/>
      <c r="R25" s="7">
        <f t="shared" si="4"/>
        <v>0</v>
      </c>
      <c r="S25" s="2"/>
      <c r="T25" s="6">
        <v>7978.16</v>
      </c>
      <c r="U25" s="2"/>
      <c r="V25" s="7">
        <f t="shared" si="5"/>
        <v>0</v>
      </c>
      <c r="W25" s="2"/>
      <c r="X25" s="6">
        <f t="shared" si="6"/>
        <v>1209.33</v>
      </c>
      <c r="Y25" s="2"/>
      <c r="Z25" s="7">
        <f t="shared" si="7"/>
        <v>0.1515800635735558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413.26</v>
      </c>
      <c r="E26" s="2"/>
      <c r="F26" s="7">
        <f t="shared" si="0"/>
        <v>0</v>
      </c>
      <c r="G26" s="2"/>
      <c r="H26" s="6">
        <v>547.11</v>
      </c>
      <c r="I26" s="2"/>
      <c r="J26" s="7">
        <f t="shared" si="1"/>
        <v>0</v>
      </c>
      <c r="K26" s="2"/>
      <c r="L26" s="6">
        <f t="shared" si="2"/>
        <v>-133.85000000000002</v>
      </c>
      <c r="M26" s="2"/>
      <c r="N26" s="7">
        <f t="shared" si="3"/>
        <v>-0.24464915647675975</v>
      </c>
      <c r="O26" s="11"/>
      <c r="P26" s="6">
        <v>5736.51</v>
      </c>
      <c r="Q26" s="2"/>
      <c r="R26" s="7">
        <f t="shared" si="4"/>
        <v>0</v>
      </c>
      <c r="S26" s="2"/>
      <c r="T26" s="6">
        <v>4497.1000000000004</v>
      </c>
      <c r="U26" s="2"/>
      <c r="V26" s="7">
        <f t="shared" si="5"/>
        <v>0</v>
      </c>
      <c r="W26" s="2"/>
      <c r="X26" s="6">
        <f t="shared" si="6"/>
        <v>1239.4099999999999</v>
      </c>
      <c r="Y26" s="2"/>
      <c r="Z26" s="7">
        <f t="shared" si="7"/>
        <v>0.27560205465744586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/>
      <c r="E27" s="2"/>
      <c r="F27" s="7">
        <f t="shared" si="0"/>
        <v>0</v>
      </c>
      <c r="G27" s="2"/>
      <c r="H27" s="6">
        <v>130.52000000000001</v>
      </c>
      <c r="I27" s="2"/>
      <c r="J27" s="7">
        <f t="shared" si="1"/>
        <v>0</v>
      </c>
      <c r="K27" s="2"/>
      <c r="L27" s="6">
        <f t="shared" si="2"/>
        <v>-130.52000000000001</v>
      </c>
      <c r="M27" s="2"/>
      <c r="N27" s="7">
        <f t="shared" si="3"/>
        <v>-1</v>
      </c>
      <c r="O27" s="11"/>
      <c r="P27" s="6">
        <v>1224.5899999999999</v>
      </c>
      <c r="Q27" s="2"/>
      <c r="R27" s="7">
        <f t="shared" si="4"/>
        <v>0</v>
      </c>
      <c r="S27" s="2"/>
      <c r="T27" s="6">
        <v>1510.08</v>
      </c>
      <c r="U27" s="2"/>
      <c r="V27" s="7">
        <f t="shared" si="5"/>
        <v>0</v>
      </c>
      <c r="W27" s="2"/>
      <c r="X27" s="6">
        <f t="shared" si="6"/>
        <v>-285.49</v>
      </c>
      <c r="Y27" s="2"/>
      <c r="Z27" s="7">
        <f t="shared" si="7"/>
        <v>-0.18905620894257261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8959.5400000000009</v>
      </c>
      <c r="E28" s="1"/>
      <c r="F28" s="5">
        <f t="shared" ref="F28:F41" si="8">IF(D$12=0,0,D28/D$12)</f>
        <v>0</v>
      </c>
      <c r="G28" s="1"/>
      <c r="H28" s="1">
        <f>SUM(OSRRefH22_1x_0)</f>
        <v>9489.31</v>
      </c>
      <c r="I28" s="1"/>
      <c r="J28" s="5">
        <f t="shared" ref="J28:J41" si="9">IF(H$12=0,0,H28/H$12)</f>
        <v>0</v>
      </c>
      <c r="K28" s="1"/>
      <c r="L28" s="1">
        <f t="shared" ref="L28:L41" si="10">+D28-H28</f>
        <v>-529.76999999999862</v>
      </c>
      <c r="M28" s="1"/>
      <c r="N28" s="5">
        <f t="shared" ref="N28:N41" si="11">IF(H28=0,0,L28/H28)</f>
        <v>-5.5828084444495822E-2</v>
      </c>
      <c r="O28" s="13"/>
      <c r="P28" s="1">
        <f>SUM(OSRRefP22_1x_0)</f>
        <v>91631.709999999992</v>
      </c>
      <c r="Q28" s="1"/>
      <c r="R28" s="5">
        <f t="shared" ref="R28:R41" si="12">IF(P$12=0,0,P28/P$12)</f>
        <v>0</v>
      </c>
      <c r="S28" s="1"/>
      <c r="T28" s="1">
        <f>SUM(OSRRefT22_1x_0)</f>
        <v>85799.62999999999</v>
      </c>
      <c r="U28" s="1"/>
      <c r="V28" s="5">
        <f t="shared" ref="V28:V41" si="13">IF(T$12=0,0,T28/T$12)</f>
        <v>0</v>
      </c>
      <c r="W28" s="1"/>
      <c r="X28" s="1">
        <f t="shared" ref="X28:X41" si="14">+P28-T28</f>
        <v>5832.0800000000017</v>
      </c>
      <c r="Y28" s="1"/>
      <c r="Z28" s="5">
        <f t="shared" ref="Z28:Z41" si="15">IF(T28=0,0,X28/T28)</f>
        <v>6.7973253497713243E-2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8959.5400000000009</v>
      </c>
      <c r="E29" s="2"/>
      <c r="F29" s="7">
        <f t="shared" si="8"/>
        <v>0</v>
      </c>
      <c r="G29" s="2"/>
      <c r="H29" s="6">
        <v>9489.31</v>
      </c>
      <c r="I29" s="2"/>
      <c r="J29" s="7">
        <f t="shared" si="9"/>
        <v>0</v>
      </c>
      <c r="K29" s="2"/>
      <c r="L29" s="6">
        <f t="shared" si="10"/>
        <v>-529.76999999999862</v>
      </c>
      <c r="M29" s="2"/>
      <c r="N29" s="7">
        <f t="shared" si="11"/>
        <v>-5.5828084444495822E-2</v>
      </c>
      <c r="O29" s="11"/>
      <c r="P29" s="6">
        <v>91631.709999999992</v>
      </c>
      <c r="Q29" s="2"/>
      <c r="R29" s="7">
        <f t="shared" si="12"/>
        <v>0</v>
      </c>
      <c r="S29" s="2"/>
      <c r="T29" s="6">
        <v>85799.62999999999</v>
      </c>
      <c r="U29" s="2"/>
      <c r="V29" s="7">
        <f t="shared" si="13"/>
        <v>0</v>
      </c>
      <c r="W29" s="2"/>
      <c r="X29" s="6">
        <f t="shared" si="14"/>
        <v>5832.0800000000017</v>
      </c>
      <c r="Y29" s="2"/>
      <c r="Z29" s="7">
        <f t="shared" si="15"/>
        <v>6.7973253497713243E-2</v>
      </c>
    </row>
    <row r="30" spans="1:26" s="27" customFormat="1" outlineLevel="1" collapsed="1" x14ac:dyDescent="0.25">
      <c r="A30" s="25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7" customFormat="1" outlineLevel="1" collapsed="1" x14ac:dyDescent="0.25">
      <c r="A32" s="25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950.9</v>
      </c>
      <c r="U32" s="1"/>
      <c r="V32" s="5">
        <f t="shared" si="13"/>
        <v>0</v>
      </c>
      <c r="W32" s="1"/>
      <c r="X32" s="1">
        <f t="shared" si="14"/>
        <v>-950.9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950.9</v>
      </c>
      <c r="U33" s="2"/>
      <c r="V33" s="7">
        <f t="shared" si="13"/>
        <v>0</v>
      </c>
      <c r="W33" s="2"/>
      <c r="X33" s="6">
        <f t="shared" si="14"/>
        <v>-950.9</v>
      </c>
      <c r="Y33" s="2"/>
      <c r="Z33" s="7">
        <f t="shared" si="15"/>
        <v>-1</v>
      </c>
    </row>
    <row r="34" spans="1:26" s="27" customFormat="1" outlineLevel="1" collapsed="1" x14ac:dyDescent="0.25">
      <c r="A34" s="25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3"/>
      <c r="P34" s="1">
        <f>SUM(OSRRefP22_4x_0)</f>
        <v>293.82</v>
      </c>
      <c r="Q34" s="1"/>
      <c r="R34" s="5">
        <f t="shared" si="12"/>
        <v>0</v>
      </c>
      <c r="S34" s="1"/>
      <c r="T34" s="1">
        <f>SUM(OSRRefT22_4x_0)</f>
        <v>323.31</v>
      </c>
      <c r="U34" s="1"/>
      <c r="V34" s="5">
        <f t="shared" si="13"/>
        <v>0</v>
      </c>
      <c r="W34" s="1"/>
      <c r="X34" s="1">
        <f t="shared" si="14"/>
        <v>-29.490000000000009</v>
      </c>
      <c r="Y34" s="1"/>
      <c r="Z34" s="5">
        <f t="shared" si="15"/>
        <v>-9.1212767931706434E-2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6"/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293.82</v>
      </c>
      <c r="Q35" s="2"/>
      <c r="R35" s="7">
        <f t="shared" si="12"/>
        <v>0</v>
      </c>
      <c r="S35" s="2"/>
      <c r="T35" s="6">
        <v>323.31</v>
      </c>
      <c r="U35" s="2"/>
      <c r="V35" s="7">
        <f t="shared" si="13"/>
        <v>0</v>
      </c>
      <c r="W35" s="2"/>
      <c r="X35" s="6">
        <f t="shared" si="14"/>
        <v>-29.490000000000009</v>
      </c>
      <c r="Y35" s="2"/>
      <c r="Z35" s="7">
        <f t="shared" si="15"/>
        <v>-9.1212767931706434E-2</v>
      </c>
    </row>
    <row r="36" spans="1:26" s="27" customFormat="1" outlineLevel="1" collapsed="1" x14ac:dyDescent="0.25">
      <c r="A36" s="25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46585.43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46585.43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46585.43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46585.43</v>
      </c>
      <c r="Y37" s="2"/>
      <c r="Z37" s="7">
        <f t="shared" si="15"/>
        <v>0</v>
      </c>
    </row>
    <row r="38" spans="1:26" s="27" customFormat="1" outlineLevel="1" collapsed="1" x14ac:dyDescent="0.25">
      <c r="A38" s="25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547.51</v>
      </c>
      <c r="E38" s="1"/>
      <c r="F38" s="5">
        <f t="shared" si="8"/>
        <v>0</v>
      </c>
      <c r="G38" s="1"/>
      <c r="H38" s="1">
        <f>SUM(OSRRefH22_6x_0)</f>
        <v>350.98</v>
      </c>
      <c r="I38" s="1"/>
      <c r="J38" s="5">
        <f t="shared" si="9"/>
        <v>0</v>
      </c>
      <c r="K38" s="1"/>
      <c r="L38" s="1">
        <f t="shared" si="10"/>
        <v>196.52999999999997</v>
      </c>
      <c r="M38" s="1"/>
      <c r="N38" s="5">
        <f t="shared" si="11"/>
        <v>0.55994643569434144</v>
      </c>
      <c r="O38" s="13"/>
      <c r="P38" s="1">
        <f>SUM(OSRRefP22_6x_0)</f>
        <v>4465.32</v>
      </c>
      <c r="Q38" s="1"/>
      <c r="R38" s="5">
        <f t="shared" si="12"/>
        <v>0</v>
      </c>
      <c r="S38" s="1"/>
      <c r="T38" s="1">
        <f>SUM(OSRRefT22_6x_0)</f>
        <v>1120.0900000000001</v>
      </c>
      <c r="U38" s="1"/>
      <c r="V38" s="5">
        <f t="shared" si="13"/>
        <v>0</v>
      </c>
      <c r="W38" s="1"/>
      <c r="X38" s="1">
        <f t="shared" si="14"/>
        <v>3345.2299999999996</v>
      </c>
      <c r="Y38" s="1"/>
      <c r="Z38" s="5">
        <f t="shared" si="15"/>
        <v>2.9865725075663554</v>
      </c>
    </row>
    <row r="39" spans="1:26" s="24" customFormat="1" hidden="1" outlineLevel="2" x14ac:dyDescent="0.25">
      <c r="A39" s="26"/>
      <c r="B39" s="11" t="str">
        <f>CONCATENATE("          ", "6235", " - ", "COVID-19 EXPENSES")</f>
        <v xml:space="preserve">          6235 - COVID-19 EXPENSES</v>
      </c>
      <c r="C39" s="11"/>
      <c r="D39" s="6">
        <v>529.20000000000005</v>
      </c>
      <c r="E39" s="2"/>
      <c r="F39" s="7">
        <f t="shared" si="8"/>
        <v>0</v>
      </c>
      <c r="G39" s="2"/>
      <c r="H39" s="6"/>
      <c r="I39" s="2"/>
      <c r="J39" s="7">
        <f t="shared" si="9"/>
        <v>0</v>
      </c>
      <c r="K39" s="2"/>
      <c r="L39" s="6">
        <f t="shared" si="10"/>
        <v>529.20000000000005</v>
      </c>
      <c r="M39" s="2"/>
      <c r="N39" s="7">
        <f t="shared" si="11"/>
        <v>0</v>
      </c>
      <c r="O39" s="11"/>
      <c r="P39" s="6">
        <v>529.20000000000005</v>
      </c>
      <c r="Q39" s="2"/>
      <c r="R39" s="7">
        <f t="shared" si="12"/>
        <v>0</v>
      </c>
      <c r="S39" s="2"/>
      <c r="T39" s="6"/>
      <c r="U39" s="2"/>
      <c r="V39" s="7">
        <f t="shared" si="13"/>
        <v>0</v>
      </c>
      <c r="W39" s="2"/>
      <c r="X39" s="6">
        <f t="shared" si="14"/>
        <v>529.20000000000005</v>
      </c>
      <c r="Y39" s="2"/>
      <c r="Z39" s="7">
        <f t="shared" si="15"/>
        <v>0</v>
      </c>
    </row>
    <row r="40" spans="1:26" s="24" customFormat="1" hidden="1" outlineLevel="2" x14ac:dyDescent="0.25">
      <c r="A40" s="26"/>
      <c r="B40" s="11" t="str">
        <f>CONCATENATE("          ", "6241", " - ", "OFFICE EXPENSE")</f>
        <v xml:space="preserve">          6241 - OFFICE EXPENSE</v>
      </c>
      <c r="C40" s="11"/>
      <c r="D40" s="6">
        <v>18.309999999999999</v>
      </c>
      <c r="E40" s="2"/>
      <c r="F40" s="7">
        <f t="shared" si="8"/>
        <v>0</v>
      </c>
      <c r="G40" s="2"/>
      <c r="H40" s="6">
        <v>193.3</v>
      </c>
      <c r="I40" s="2"/>
      <c r="J40" s="7">
        <f t="shared" si="9"/>
        <v>0</v>
      </c>
      <c r="K40" s="2"/>
      <c r="L40" s="6">
        <f t="shared" si="10"/>
        <v>-174.99</v>
      </c>
      <c r="M40" s="2"/>
      <c r="N40" s="7">
        <f t="shared" si="11"/>
        <v>-0.90527677185721678</v>
      </c>
      <c r="O40" s="11"/>
      <c r="P40" s="6">
        <v>3936.12</v>
      </c>
      <c r="Q40" s="2"/>
      <c r="R40" s="7">
        <f t="shared" si="12"/>
        <v>0</v>
      </c>
      <c r="S40" s="2"/>
      <c r="T40" s="6">
        <v>655.62</v>
      </c>
      <c r="U40" s="2"/>
      <c r="V40" s="7">
        <f t="shared" si="13"/>
        <v>0</v>
      </c>
      <c r="W40" s="2"/>
      <c r="X40" s="6">
        <f t="shared" si="14"/>
        <v>3280.5</v>
      </c>
      <c r="Y40" s="2"/>
      <c r="Z40" s="7">
        <f t="shared" si="15"/>
        <v>5.0036606570879476</v>
      </c>
    </row>
    <row r="41" spans="1:26" s="24" customFormat="1" hidden="1" outlineLevel="2" x14ac:dyDescent="0.25">
      <c r="A41" s="26"/>
      <c r="B41" s="11" t="str">
        <f>CONCATENATE("          ", "6245", " - ", "PRINTING")</f>
        <v xml:space="preserve">          6245 - PRINTING</v>
      </c>
      <c r="C41" s="11"/>
      <c r="D41" s="6"/>
      <c r="E41" s="2"/>
      <c r="F41" s="7">
        <f t="shared" si="8"/>
        <v>0</v>
      </c>
      <c r="G41" s="2"/>
      <c r="H41" s="6">
        <v>157.68</v>
      </c>
      <c r="I41" s="2"/>
      <c r="J41" s="7">
        <f t="shared" si="9"/>
        <v>0</v>
      </c>
      <c r="K41" s="2"/>
      <c r="L41" s="6">
        <f t="shared" si="10"/>
        <v>-157.68</v>
      </c>
      <c r="M41" s="2"/>
      <c r="N41" s="7">
        <f t="shared" si="11"/>
        <v>-1</v>
      </c>
      <c r="O41" s="11"/>
      <c r="P41" s="6"/>
      <c r="Q41" s="2"/>
      <c r="R41" s="7">
        <f t="shared" si="12"/>
        <v>0</v>
      </c>
      <c r="S41" s="2"/>
      <c r="T41" s="6">
        <v>464.47</v>
      </c>
      <c r="U41" s="2"/>
      <c r="V41" s="7">
        <f t="shared" si="13"/>
        <v>0</v>
      </c>
      <c r="W41" s="2"/>
      <c r="X41" s="6">
        <f t="shared" si="14"/>
        <v>-464.47</v>
      </c>
      <c r="Y41" s="2"/>
      <c r="Z41" s="7">
        <f t="shared" si="15"/>
        <v>-1</v>
      </c>
    </row>
    <row r="42" spans="1:26" s="27" customFormat="1" outlineLevel="1" collapsed="1" x14ac:dyDescent="0.25">
      <c r="A42" s="25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-50</v>
      </c>
      <c r="E42" s="1"/>
      <c r="F42" s="5">
        <f t="shared" ref="F42:F47" si="16">IF(D$12=0,0,D42/D$12)</f>
        <v>0</v>
      </c>
      <c r="G42" s="1"/>
      <c r="H42" s="1">
        <f>SUM(OSRRefH22_7x_0)</f>
        <v>50</v>
      </c>
      <c r="I42" s="1"/>
      <c r="J42" s="5">
        <f t="shared" ref="J42:J47" si="17">IF(H$12=0,0,H42/H$12)</f>
        <v>0</v>
      </c>
      <c r="K42" s="1"/>
      <c r="L42" s="1">
        <f t="shared" ref="L42:L47" si="18">+D42-H42</f>
        <v>-100</v>
      </c>
      <c r="M42" s="1"/>
      <c r="N42" s="5">
        <f t="shared" ref="N42:N47" si="19">IF(H42=0,0,L42/H42)</f>
        <v>-2</v>
      </c>
      <c r="O42" s="13"/>
      <c r="P42" s="1">
        <f>SUM(OSRRefP22_7x_0)</f>
        <v>-450</v>
      </c>
      <c r="Q42" s="1"/>
      <c r="R42" s="5">
        <f t="shared" ref="R42:R47" si="20">IF(P$12=0,0,P42/P$12)</f>
        <v>0</v>
      </c>
      <c r="S42" s="1"/>
      <c r="T42" s="1">
        <f>SUM(OSRRefT22_7x_0)</f>
        <v>460</v>
      </c>
      <c r="U42" s="1"/>
      <c r="V42" s="5">
        <f t="shared" ref="V42:V47" si="21">IF(T$12=0,0,T42/T$12)</f>
        <v>0</v>
      </c>
      <c r="W42" s="1"/>
      <c r="X42" s="1">
        <f t="shared" ref="X42:X47" si="22">+P42-T42</f>
        <v>-910</v>
      </c>
      <c r="Y42" s="1"/>
      <c r="Z42" s="5">
        <f t="shared" ref="Z42:Z47" si="23">IF(T42=0,0,X42/T42)</f>
        <v>-1.9782608695652173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6">
        <v>-50</v>
      </c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-2</v>
      </c>
      <c r="O43" s="11"/>
      <c r="P43" s="6">
        <v>-450</v>
      </c>
      <c r="Q43" s="2"/>
      <c r="R43" s="7">
        <f t="shared" si="20"/>
        <v>0</v>
      </c>
      <c r="S43" s="2"/>
      <c r="T43" s="6">
        <v>460</v>
      </c>
      <c r="U43" s="2"/>
      <c r="V43" s="7">
        <f t="shared" si="21"/>
        <v>0</v>
      </c>
      <c r="W43" s="2"/>
      <c r="X43" s="6">
        <f t="shared" si="22"/>
        <v>-910</v>
      </c>
      <c r="Y43" s="2"/>
      <c r="Z43" s="7">
        <f t="shared" si="23"/>
        <v>-1.9782608695652173</v>
      </c>
    </row>
    <row r="44" spans="1:26" s="27" customFormat="1" outlineLevel="1" collapsed="1" x14ac:dyDescent="0.25">
      <c r="A44" s="25"/>
      <c r="B44" s="13" t="str">
        <f>CONCATENATE("     ","Training                                          ")</f>
        <v xml:space="preserve">     Training                                          </v>
      </c>
      <c r="C44" s="13"/>
      <c r="D44" s="1">
        <f>SUM(OSRRefD22_8x_0)</f>
        <v>0</v>
      </c>
      <c r="E44" s="1"/>
      <c r="F44" s="5">
        <f t="shared" si="16"/>
        <v>0</v>
      </c>
      <c r="G44" s="1"/>
      <c r="H44" s="1">
        <f>SUM(OSRRefH22_8x_0)</f>
        <v>900.35</v>
      </c>
      <c r="I44" s="1"/>
      <c r="J44" s="5">
        <f t="shared" si="17"/>
        <v>0</v>
      </c>
      <c r="K44" s="1"/>
      <c r="L44" s="1">
        <f t="shared" si="18"/>
        <v>-900.35</v>
      </c>
      <c r="M44" s="1"/>
      <c r="N44" s="5">
        <f t="shared" si="19"/>
        <v>-1</v>
      </c>
      <c r="O44" s="13"/>
      <c r="P44" s="1">
        <f>SUM(OSRRefP22_8x_0)</f>
        <v>2950.22</v>
      </c>
      <c r="Q44" s="1"/>
      <c r="R44" s="5">
        <f t="shared" si="20"/>
        <v>0</v>
      </c>
      <c r="S44" s="1"/>
      <c r="T44" s="1">
        <f>SUM(OSRRefT22_8x_0)</f>
        <v>3942.65</v>
      </c>
      <c r="U44" s="1"/>
      <c r="V44" s="5">
        <f t="shared" si="21"/>
        <v>0</v>
      </c>
      <c r="W44" s="1"/>
      <c r="X44" s="1">
        <f t="shared" si="22"/>
        <v>-992.43000000000029</v>
      </c>
      <c r="Y44" s="1"/>
      <c r="Z44" s="5">
        <f t="shared" si="23"/>
        <v>-0.25171648510519579</v>
      </c>
    </row>
    <row r="45" spans="1:26" s="24" customFormat="1" hidden="1" outlineLevel="2" x14ac:dyDescent="0.25">
      <c r="A45" s="26"/>
      <c r="B45" s="11" t="str">
        <f>CONCATENATE("          ", "6376", " - ", "TRAINING")</f>
        <v xml:space="preserve">          6376 - TRAINING</v>
      </c>
      <c r="C45" s="11"/>
      <c r="D45" s="6"/>
      <c r="E45" s="2"/>
      <c r="F45" s="7">
        <f t="shared" si="16"/>
        <v>0</v>
      </c>
      <c r="G45" s="2"/>
      <c r="H45" s="6">
        <v>900.35</v>
      </c>
      <c r="I45" s="2"/>
      <c r="J45" s="7">
        <f t="shared" si="17"/>
        <v>0</v>
      </c>
      <c r="K45" s="2"/>
      <c r="L45" s="6">
        <f t="shared" si="18"/>
        <v>-900.35</v>
      </c>
      <c r="M45" s="2"/>
      <c r="N45" s="7">
        <f t="shared" si="19"/>
        <v>-1</v>
      </c>
      <c r="O45" s="11"/>
      <c r="P45" s="6">
        <v>2950.22</v>
      </c>
      <c r="Q45" s="2"/>
      <c r="R45" s="7">
        <f t="shared" si="20"/>
        <v>0</v>
      </c>
      <c r="S45" s="2"/>
      <c r="T45" s="6">
        <v>3942.65</v>
      </c>
      <c r="U45" s="2"/>
      <c r="V45" s="7">
        <f t="shared" si="21"/>
        <v>0</v>
      </c>
      <c r="W45" s="2"/>
      <c r="X45" s="6">
        <f t="shared" si="22"/>
        <v>-992.43000000000029</v>
      </c>
      <c r="Y45" s="2"/>
      <c r="Z45" s="7">
        <f t="shared" si="23"/>
        <v>-0.25171648510519579</v>
      </c>
    </row>
    <row r="46" spans="1:26" s="27" customFormat="1" outlineLevel="1" collapsed="1" x14ac:dyDescent="0.25">
      <c r="A46" s="25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SUM(OSRRefD22_9x_0)</f>
        <v>0</v>
      </c>
      <c r="E46" s="1"/>
      <c r="F46" s="5">
        <f t="shared" si="16"/>
        <v>0</v>
      </c>
      <c r="G46" s="1"/>
      <c r="H46" s="1">
        <f>SUM(OSRRefH22_9x_0)</f>
        <v>299.75</v>
      </c>
      <c r="I46" s="1"/>
      <c r="J46" s="5">
        <f t="shared" si="17"/>
        <v>0</v>
      </c>
      <c r="K46" s="1"/>
      <c r="L46" s="1">
        <f t="shared" si="18"/>
        <v>-299.75</v>
      </c>
      <c r="M46" s="1"/>
      <c r="N46" s="5">
        <f t="shared" si="19"/>
        <v>-1</v>
      </c>
      <c r="O46" s="13"/>
      <c r="P46" s="1">
        <f>SUM(OSRRefP22_9x_0)</f>
        <v>325.75</v>
      </c>
      <c r="Q46" s="1"/>
      <c r="R46" s="5">
        <f t="shared" si="20"/>
        <v>0</v>
      </c>
      <c r="S46" s="1"/>
      <c r="T46" s="1">
        <f>SUM(OSRRefT22_9x_0)</f>
        <v>1858.61</v>
      </c>
      <c r="U46" s="1"/>
      <c r="V46" s="5">
        <f t="shared" si="21"/>
        <v>0</v>
      </c>
      <c r="W46" s="1"/>
      <c r="X46" s="1">
        <f t="shared" si="22"/>
        <v>-1532.86</v>
      </c>
      <c r="Y46" s="1"/>
      <c r="Z46" s="5">
        <f t="shared" si="23"/>
        <v>-0.82473461350148769</v>
      </c>
    </row>
    <row r="47" spans="1:26" s="24" customFormat="1" hidden="1" outlineLevel="2" x14ac:dyDescent="0.25">
      <c r="A47" s="26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16"/>
        <v>0</v>
      </c>
      <c r="G47" s="2"/>
      <c r="H47" s="6">
        <v>299.75</v>
      </c>
      <c r="I47" s="2"/>
      <c r="J47" s="7">
        <f t="shared" si="17"/>
        <v>0</v>
      </c>
      <c r="K47" s="2"/>
      <c r="L47" s="6">
        <f t="shared" si="18"/>
        <v>-299.75</v>
      </c>
      <c r="M47" s="2"/>
      <c r="N47" s="7">
        <f t="shared" si="19"/>
        <v>-1</v>
      </c>
      <c r="O47" s="11"/>
      <c r="P47" s="6">
        <v>325.75</v>
      </c>
      <c r="Q47" s="2"/>
      <c r="R47" s="7">
        <f t="shared" si="20"/>
        <v>0</v>
      </c>
      <c r="S47" s="2"/>
      <c r="T47" s="6">
        <v>1858.61</v>
      </c>
      <c r="U47" s="2"/>
      <c r="V47" s="7">
        <f t="shared" si="21"/>
        <v>0</v>
      </c>
      <c r="W47" s="2"/>
      <c r="X47" s="6">
        <f t="shared" si="22"/>
        <v>-1532.86</v>
      </c>
      <c r="Y47" s="2"/>
      <c r="Z47" s="7">
        <f t="shared" si="23"/>
        <v>-0.82473461350148769</v>
      </c>
    </row>
    <row r="48" spans="1:26" s="58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3</v>
      </c>
      <c r="C51" s="29"/>
      <c r="D51" s="21">
        <f>+D16-D18+D49</f>
        <v>-14475.840000000002</v>
      </c>
      <c r="E51" s="14"/>
      <c r="F51" s="20">
        <f>IF(D$12=0,0,D51/D$12)</f>
        <v>0</v>
      </c>
      <c r="G51" s="14"/>
      <c r="H51" s="21">
        <f>+H16-H18+H49</f>
        <v>-17340.129999999997</v>
      </c>
      <c r="I51" s="14"/>
      <c r="J51" s="20">
        <f>IF(H$12=0,0,H51/H$12)</f>
        <v>0</v>
      </c>
      <c r="K51" s="16"/>
      <c r="L51" s="21">
        <f>+D51-H51</f>
        <v>2864.2899999999954</v>
      </c>
      <c r="M51" s="16"/>
      <c r="N51" s="20">
        <f>IF(H51=0,0,L51/H51)</f>
        <v>-0.16518272931056432</v>
      </c>
      <c r="O51" s="28"/>
      <c r="P51" s="21">
        <f>+P16-P18+P49</f>
        <v>-211339.99000000002</v>
      </c>
      <c r="Q51" s="14"/>
      <c r="R51" s="20">
        <f>IF(P$12=0,0,P51/P$12)</f>
        <v>0</v>
      </c>
      <c r="S51" s="14"/>
      <c r="T51" s="21">
        <f>+T16-T18+T49</f>
        <v>-155549.72999999995</v>
      </c>
      <c r="U51" s="14"/>
      <c r="V51" s="20">
        <f>IF(T$12=0,0,T51/T$12)</f>
        <v>0</v>
      </c>
      <c r="W51" s="16"/>
      <c r="X51" s="21">
        <f>+P51-T51</f>
        <v>-55790.260000000068</v>
      </c>
      <c r="Y51" s="16"/>
      <c r="Z51" s="20">
        <f>IF(T51=0,0,X51/T51)</f>
        <v>0.35866510343669566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9" t="s">
        <v>4</v>
      </c>
      <c r="C55" s="29"/>
      <c r="D55" s="35">
        <f>+D51-D53</f>
        <v>-14475.840000000002</v>
      </c>
      <c r="E55" s="14"/>
      <c r="F55" s="32">
        <f>IF(D$12=0,0,D55/D$12)</f>
        <v>0</v>
      </c>
      <c r="G55" s="14"/>
      <c r="H55" s="35">
        <f>+H51-H53</f>
        <v>-17340.129999999997</v>
      </c>
      <c r="I55" s="14"/>
      <c r="J55" s="32">
        <f>IF(H$12=0,0,H55/H$12)</f>
        <v>0</v>
      </c>
      <c r="K55" s="16"/>
      <c r="L55" s="35">
        <f>D55-H55</f>
        <v>2864.2899999999954</v>
      </c>
      <c r="M55" s="16"/>
      <c r="N55" s="32">
        <f>IF(H55=0,0,L55/H55)</f>
        <v>-0.16518272931056432</v>
      </c>
      <c r="O55" s="28"/>
      <c r="P55" s="35">
        <f>+P51-P53</f>
        <v>-211339.99000000002</v>
      </c>
      <c r="Q55" s="14"/>
      <c r="R55" s="32">
        <f>IF(P$12=0,0,P55/P$12)</f>
        <v>0</v>
      </c>
      <c r="S55" s="14"/>
      <c r="T55" s="35">
        <f>+T51-T53</f>
        <v>-155549.72999999995</v>
      </c>
      <c r="U55" s="14"/>
      <c r="V55" s="32">
        <f>IF(T$12=0,0,T55/T$12)</f>
        <v>0</v>
      </c>
      <c r="W55" s="16"/>
      <c r="X55" s="35">
        <f>P55-T55</f>
        <v>-55790.260000000068</v>
      </c>
      <c r="Y55" s="16"/>
      <c r="Z55" s="32">
        <f>IF(T55=0,0,X55/T55)</f>
        <v>0.35866510343669566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5</v>
      </c>
      <c r="C58" s="29"/>
      <c r="D58" s="36">
        <f>SUM(D55:D57)</f>
        <v>-14475.840000000002</v>
      </c>
      <c r="E58" s="14"/>
      <c r="F58" s="33">
        <f>IF(D$12=0,0,D58/D$12)</f>
        <v>0</v>
      </c>
      <c r="G58" s="14"/>
      <c r="H58" s="36">
        <f>SUM(H55:H57)</f>
        <v>-17340.129999999997</v>
      </c>
      <c r="I58" s="14"/>
      <c r="J58" s="33">
        <f>IF(H$12=0,0,H58/H$12)</f>
        <v>0</v>
      </c>
      <c r="K58" s="16"/>
      <c r="L58" s="36">
        <f>+D58-H58</f>
        <v>2864.2899999999954</v>
      </c>
      <c r="M58" s="16"/>
      <c r="N58" s="33">
        <f>IF(H58=0,0,L58/H58)</f>
        <v>-0.16518272931056432</v>
      </c>
      <c r="O58" s="28"/>
      <c r="P58" s="36">
        <f>SUM(P55:P57)</f>
        <v>-211339.99000000002</v>
      </c>
      <c r="Q58" s="14"/>
      <c r="R58" s="33">
        <f>IF(P$12=0,0,P58/P$12)</f>
        <v>0</v>
      </c>
      <c r="S58" s="14"/>
      <c r="T58" s="36">
        <f>SUM(T55:T57)</f>
        <v>-155549.72999999995</v>
      </c>
      <c r="U58" s="14"/>
      <c r="V58" s="33">
        <f>IF(T$12=0,0,T58/T$12)</f>
        <v>0</v>
      </c>
      <c r="W58" s="16"/>
      <c r="X58" s="36">
        <f>+P58-T58</f>
        <v>-55790.260000000068</v>
      </c>
      <c r="Y58" s="16"/>
      <c r="Z58" s="33">
        <f>IF(T58=0,0,X58/T58)</f>
        <v>0.35866510343669566</v>
      </c>
    </row>
    <row r="59" spans="1:26" ht="15.75" thickTop="1" x14ac:dyDescent="0.25">
      <c r="A59" s="9"/>
      <c r="C59" s="9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25">
      <c r="A60" s="9"/>
      <c r="B60" s="55">
        <v>43992.376073032407</v>
      </c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25">
      <c r="A61" s="9"/>
      <c r="B61" s="62" t="s">
        <v>313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3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122566.18</v>
      </c>
      <c r="E12" s="4"/>
      <c r="F12" s="12"/>
      <c r="G12" s="4"/>
      <c r="H12" s="4">
        <f>SUM(OSRRefH13x_0)</f>
        <v>253471.63</v>
      </c>
      <c r="I12" s="4"/>
      <c r="J12" s="12"/>
      <c r="K12" s="4"/>
      <c r="L12" s="4">
        <f t="shared" ref="L12:L16" si="0">+D12-H12</f>
        <v>-130905.45000000001</v>
      </c>
      <c r="M12" s="4"/>
      <c r="N12" s="12">
        <f t="shared" ref="N12:N16" si="1">IF(H12=0,0,L12/H12)</f>
        <v>-0.51645010528397206</v>
      </c>
      <c r="O12" s="10"/>
      <c r="P12" s="4">
        <f>SUM(OSRRefP13x_0)</f>
        <v>3786156.1700000004</v>
      </c>
      <c r="Q12" s="4"/>
      <c r="R12" s="12"/>
      <c r="S12" s="4"/>
      <c r="T12" s="4">
        <f>SUM(OSRRefT13x_0)</f>
        <v>4320454.8899999997</v>
      </c>
      <c r="U12" s="4"/>
      <c r="V12" s="12"/>
      <c r="W12" s="4"/>
      <c r="X12" s="4">
        <f t="shared" ref="X12:X16" si="2">+P12-T12</f>
        <v>-534298.71999999927</v>
      </c>
      <c r="Y12" s="4"/>
      <c r="Z12" s="12">
        <f t="shared" ref="Z12:Z16" si="3">IF(T12=0,0,X12/T12)</f>
        <v>-0.12366723727093452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--59.42</f>
        <v>59.42</v>
      </c>
      <c r="E13" s="2"/>
      <c r="F13" s="19"/>
      <c r="G13" s="2"/>
      <c r="H13" s="2">
        <f>--639.9</f>
        <v>639.9</v>
      </c>
      <c r="I13" s="2"/>
      <c r="J13" s="19"/>
      <c r="K13" s="2"/>
      <c r="L13" s="2">
        <f t="shared" si="0"/>
        <v>-580.48</v>
      </c>
      <c r="M13" s="2"/>
      <c r="N13" s="19">
        <f t="shared" si="1"/>
        <v>-0.90714174089701527</v>
      </c>
      <c r="O13" s="11"/>
      <c r="P13" s="2">
        <f>--21441.08</f>
        <v>21441.08</v>
      </c>
      <c r="Q13" s="2"/>
      <c r="R13" s="19"/>
      <c r="S13" s="2"/>
      <c r="T13" s="2">
        <f>--16508.34</f>
        <v>16508.34</v>
      </c>
      <c r="U13" s="2"/>
      <c r="V13" s="19"/>
      <c r="W13" s="2"/>
      <c r="X13" s="2">
        <f t="shared" si="2"/>
        <v>4932.7400000000016</v>
      </c>
      <c r="Y13" s="2"/>
      <c r="Z13" s="19">
        <f t="shared" si="3"/>
        <v>0.29880290810584237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--126289.52</f>
        <v>126289.52</v>
      </c>
      <c r="E14" s="2"/>
      <c r="F14" s="19"/>
      <c r="G14" s="2"/>
      <c r="H14" s="2">
        <f>--245639.59</f>
        <v>245639.59</v>
      </c>
      <c r="I14" s="2"/>
      <c r="J14" s="19"/>
      <c r="K14" s="2"/>
      <c r="L14" s="2">
        <f t="shared" si="0"/>
        <v>-119350.06999999999</v>
      </c>
      <c r="M14" s="2"/>
      <c r="N14" s="19">
        <f t="shared" si="1"/>
        <v>-0.48587473216349203</v>
      </c>
      <c r="O14" s="11"/>
      <c r="P14" s="2">
        <f>--3520129.73</f>
        <v>3520129.73</v>
      </c>
      <c r="Q14" s="2"/>
      <c r="R14" s="19"/>
      <c r="S14" s="2"/>
      <c r="T14" s="2">
        <f>--4059268.3</f>
        <v>4059268.3</v>
      </c>
      <c r="U14" s="2"/>
      <c r="V14" s="19"/>
      <c r="W14" s="2"/>
      <c r="X14" s="2">
        <f t="shared" si="2"/>
        <v>-539138.56999999983</v>
      </c>
      <c r="Y14" s="2"/>
      <c r="Z14" s="19">
        <f t="shared" si="3"/>
        <v>-0.13281668767743188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-4166.46</f>
        <v>-4166.46</v>
      </c>
      <c r="E15" s="2"/>
      <c r="F15" s="19"/>
      <c r="G15" s="2"/>
      <c r="H15" s="2">
        <f>--7192.14</f>
        <v>7192.14</v>
      </c>
      <c r="I15" s="2"/>
      <c r="J15" s="19"/>
      <c r="K15" s="2"/>
      <c r="L15" s="2">
        <f t="shared" si="0"/>
        <v>-11358.6</v>
      </c>
      <c r="M15" s="2"/>
      <c r="N15" s="19">
        <f t="shared" si="1"/>
        <v>-1.5793074105898939</v>
      </c>
      <c r="O15" s="11"/>
      <c r="P15" s="2">
        <f>--244201.66</f>
        <v>244201.66</v>
      </c>
      <c r="Q15" s="2"/>
      <c r="R15" s="19"/>
      <c r="S15" s="2"/>
      <c r="T15" s="2">
        <f>--243623.35</f>
        <v>243623.35</v>
      </c>
      <c r="U15" s="2"/>
      <c r="V15" s="19"/>
      <c r="W15" s="2"/>
      <c r="X15" s="2">
        <f t="shared" si="2"/>
        <v>578.30999999999767</v>
      </c>
      <c r="Y15" s="2"/>
      <c r="Z15" s="19">
        <f t="shared" si="3"/>
        <v>2.3737872416580664E-3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--383.7</f>
        <v>383.7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383.7</v>
      </c>
      <c r="M16" s="2"/>
      <c r="N16" s="19">
        <f t="shared" si="1"/>
        <v>0</v>
      </c>
      <c r="O16" s="11"/>
      <c r="P16" s="2">
        <f>--383.7</f>
        <v>383.7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-671.2</v>
      </c>
      <c r="Y16" s="2"/>
      <c r="Z16" s="19">
        <f t="shared" si="3"/>
        <v>-0.63626884064840272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19654.559999999998</v>
      </c>
      <c r="E18" s="4"/>
      <c r="F18" s="12">
        <f t="shared" ref="F18:F20" si="4">IF(D$12=0,0,D18/D$12)</f>
        <v>0.160358754756002</v>
      </c>
      <c r="G18" s="4"/>
      <c r="H18" s="4">
        <f>SUM(OSRRefH16x_0)</f>
        <v>56744.310000000005</v>
      </c>
      <c r="I18" s="4"/>
      <c r="J18" s="12">
        <f t="shared" ref="J18:J20" si="5">IF(H$12=0,0,H18/H$12)</f>
        <v>0.223868485794643</v>
      </c>
      <c r="K18" s="4"/>
      <c r="L18" s="4">
        <f t="shared" ref="L18:L20" si="6">+D18-H18</f>
        <v>-37089.750000000007</v>
      </c>
      <c r="M18" s="4"/>
      <c r="N18" s="12">
        <f t="shared" ref="N18:N20" si="7">IF(H18=0,0,L18/H18)</f>
        <v>-0.65362941235870176</v>
      </c>
      <c r="O18" s="10"/>
      <c r="P18" s="4">
        <f>SUM(OSRRefP16x_0)</f>
        <v>894533.58000000007</v>
      </c>
      <c r="Q18" s="4"/>
      <c r="R18" s="12">
        <f t="shared" ref="R18:R20" si="8">IF(P$12=0,0,P18/P$12)</f>
        <v>0.23626431130546841</v>
      </c>
      <c r="S18" s="4"/>
      <c r="T18" s="4">
        <f>SUM(OSRRefT16x_0)</f>
        <v>1052879.5799999998</v>
      </c>
      <c r="U18" s="4"/>
      <c r="V18" s="12">
        <f t="shared" ref="V18:V20" si="9">IF(T$12=0,0,T18/T$12)</f>
        <v>0.24369646410079748</v>
      </c>
      <c r="W18" s="4"/>
      <c r="X18" s="4">
        <f t="shared" ref="X18:X20" si="10">+P18-T18</f>
        <v>-158345.99999999977</v>
      </c>
      <c r="Y18" s="4"/>
      <c r="Z18" s="12">
        <f t="shared" ref="Z18:Z20" si="11">IF(T18=0,0,X18/T18)</f>
        <v>-0.15039326719585519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13513.56</v>
      </c>
      <c r="E19" s="2"/>
      <c r="F19" s="19">
        <f t="shared" si="4"/>
        <v>0.11025521069515261</v>
      </c>
      <c r="G19" s="2"/>
      <c r="H19" s="2">
        <v>45004.310000000005</v>
      </c>
      <c r="I19" s="2"/>
      <c r="J19" s="19">
        <f t="shared" si="5"/>
        <v>0.17755166524947982</v>
      </c>
      <c r="K19" s="2"/>
      <c r="L19" s="2">
        <f t="shared" si="6"/>
        <v>-31490.750000000007</v>
      </c>
      <c r="M19" s="2"/>
      <c r="N19" s="19">
        <f t="shared" si="7"/>
        <v>-0.69972742610652183</v>
      </c>
      <c r="O19" s="11"/>
      <c r="P19" s="2">
        <v>900169.58000000007</v>
      </c>
      <c r="Q19" s="2"/>
      <c r="R19" s="19">
        <f t="shared" si="8"/>
        <v>0.23775289226910046</v>
      </c>
      <c r="S19" s="2"/>
      <c r="T19" s="2">
        <v>1051142.8299999998</v>
      </c>
      <c r="U19" s="2"/>
      <c r="V19" s="19">
        <f t="shared" si="9"/>
        <v>0.24329448096610029</v>
      </c>
      <c r="W19" s="2"/>
      <c r="X19" s="2">
        <f t="shared" si="10"/>
        <v>-150973.24999999977</v>
      </c>
      <c r="Y19" s="2"/>
      <c r="Z19" s="19">
        <f t="shared" si="11"/>
        <v>-0.14362772183871508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6141</v>
      </c>
      <c r="E20" s="2"/>
      <c r="F20" s="19">
        <f t="shared" si="4"/>
        <v>5.0103544060849416E-2</v>
      </c>
      <c r="G20" s="2"/>
      <c r="H20" s="2">
        <v>11740</v>
      </c>
      <c r="I20" s="2"/>
      <c r="J20" s="19">
        <f t="shared" si="5"/>
        <v>4.631682054516318E-2</v>
      </c>
      <c r="K20" s="2"/>
      <c r="L20" s="2">
        <f t="shared" si="6"/>
        <v>-5599</v>
      </c>
      <c r="M20" s="2"/>
      <c r="N20" s="19">
        <f t="shared" si="7"/>
        <v>-0.47691652470187396</v>
      </c>
      <c r="O20" s="11"/>
      <c r="P20" s="2">
        <v>-5636</v>
      </c>
      <c r="Q20" s="2"/>
      <c r="R20" s="19">
        <f t="shared" si="8"/>
        <v>-1.4885809636320415E-3</v>
      </c>
      <c r="S20" s="2"/>
      <c r="T20" s="2">
        <v>1736.75</v>
      </c>
      <c r="U20" s="2"/>
      <c r="V20" s="19">
        <f t="shared" si="9"/>
        <v>4.0198313469718929E-4</v>
      </c>
      <c r="W20" s="2"/>
      <c r="X20" s="2">
        <f t="shared" si="10"/>
        <v>-7372.75</v>
      </c>
      <c r="Y20" s="2"/>
      <c r="Z20" s="19">
        <f t="shared" si="11"/>
        <v>-4.2451417878220816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D12-D18</f>
        <v>102911.62</v>
      </c>
      <c r="E22" s="14"/>
      <c r="F22" s="20">
        <f>IF(D$12=0,0,D22/D$12)</f>
        <v>0.83964124524399797</v>
      </c>
      <c r="G22" s="14"/>
      <c r="H22" s="21">
        <f>H12-H18</f>
        <v>196727.32</v>
      </c>
      <c r="I22" s="14"/>
      <c r="J22" s="20">
        <f>IF(H$12=0,0,H22/H$12)</f>
        <v>0.77613151420535709</v>
      </c>
      <c r="K22" s="16"/>
      <c r="L22" s="21">
        <f>+D22-H22</f>
        <v>-93815.700000000012</v>
      </c>
      <c r="M22" s="16"/>
      <c r="N22" s="20">
        <f>IF(H22=0,0,L22/H22)</f>
        <v>-0.47688190943687947</v>
      </c>
      <c r="O22" s="28"/>
      <c r="P22" s="21">
        <f>P12-P18</f>
        <v>2891622.5900000003</v>
      </c>
      <c r="Q22" s="14"/>
      <c r="R22" s="20">
        <f>IF(P$12=0,0,P22/P$12)</f>
        <v>0.76373568869453157</v>
      </c>
      <c r="S22" s="14"/>
      <c r="T22" s="21">
        <f>T12-T18</f>
        <v>3267575.3099999996</v>
      </c>
      <c r="U22" s="14"/>
      <c r="V22" s="20">
        <f>IF(T$12=0,0,T22/T$12)</f>
        <v>0.75630353589920252</v>
      </c>
      <c r="W22" s="16"/>
      <c r="X22" s="21">
        <f>+P22-T22</f>
        <v>-375952.71999999927</v>
      </c>
      <c r="Y22" s="16"/>
      <c r="Z22" s="20">
        <f>IF(T22=0,0,X22/T22)</f>
        <v>-0.11505556393740755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77931.780000000013</v>
      </c>
      <c r="E24" s="22"/>
      <c r="F24" s="31">
        <f t="shared" ref="F24:F34" si="12">IF(D$12=0,0,D24/D$12)</f>
        <v>0.6358342896874164</v>
      </c>
      <c r="G24" s="22"/>
      <c r="H24" s="22">
        <f>SUM(OSRRefH22x_0)</f>
        <v>150233.69000000003</v>
      </c>
      <c r="I24" s="22"/>
      <c r="J24" s="31">
        <f t="shared" ref="J24:J34" si="13">IF(H$12=0,0,H24/H$12)</f>
        <v>0.59270416180303898</v>
      </c>
      <c r="K24" s="4"/>
      <c r="L24" s="22">
        <f t="shared" ref="L24:L34" si="14">+D24-H24</f>
        <v>-72301.910000000018</v>
      </c>
      <c r="M24" s="4"/>
      <c r="N24" s="31">
        <f t="shared" ref="N24:N34" si="15">IF(H24=0,0,L24/H24)</f>
        <v>-0.48126295772938815</v>
      </c>
      <c r="O24" s="10"/>
      <c r="P24" s="22">
        <f>SUM(OSRRefP22x_0)</f>
        <v>1687729.9300000002</v>
      </c>
      <c r="Q24" s="22"/>
      <c r="R24" s="31">
        <f t="shared" ref="R24:R34" si="16">IF(P$12=0,0,P24/P$12)</f>
        <v>0.44576342185061002</v>
      </c>
      <c r="S24" s="22"/>
      <c r="T24" s="22">
        <f>SUM(OSRRefT22x_0)</f>
        <v>1727159.07</v>
      </c>
      <c r="U24" s="22"/>
      <c r="V24" s="31">
        <f t="shared" ref="V24:V34" si="17">IF(T$12=0,0,T24/T$12)</f>
        <v>0.39976324576322569</v>
      </c>
      <c r="W24" s="4"/>
      <c r="X24" s="22">
        <f t="shared" ref="X24:X34" si="18">+P24-T24</f>
        <v>-39429.139999999898</v>
      </c>
      <c r="Y24" s="4"/>
      <c r="Z24" s="31">
        <f t="shared" ref="Z24:Z34" si="19">IF(T24=0,0,X24/T24)</f>
        <v>-2.282889901970633E-2</v>
      </c>
    </row>
    <row r="25" spans="1:26" s="27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19917.289999999997</v>
      </c>
      <c r="E25" s="1"/>
      <c r="F25" s="5">
        <f t="shared" si="12"/>
        <v>0.16250233139353776</v>
      </c>
      <c r="G25" s="1"/>
      <c r="H25" s="1">
        <f>SUM(OSRRefH22_0x_0)</f>
        <v>31263.9</v>
      </c>
      <c r="I25" s="1"/>
      <c r="J25" s="5">
        <f t="shared" si="13"/>
        <v>0.12334279777188477</v>
      </c>
      <c r="K25" s="1"/>
      <c r="L25" s="1">
        <f t="shared" si="14"/>
        <v>-11346.610000000004</v>
      </c>
      <c r="M25" s="1"/>
      <c r="N25" s="5">
        <f t="shared" si="15"/>
        <v>-0.36293008869654791</v>
      </c>
      <c r="O25" s="13"/>
      <c r="P25" s="1">
        <f>SUM(OSRRefP22_0x_0)</f>
        <v>287358.15000000002</v>
      </c>
      <c r="Q25" s="1"/>
      <c r="R25" s="5">
        <f t="shared" si="16"/>
        <v>7.589706739434364E-2</v>
      </c>
      <c r="S25" s="1"/>
      <c r="T25" s="1">
        <f>SUM(OSRRefT22_0x_0)</f>
        <v>311351.67999999999</v>
      </c>
      <c r="U25" s="1"/>
      <c r="V25" s="5">
        <f t="shared" si="17"/>
        <v>7.2064559850085599E-2</v>
      </c>
      <c r="W25" s="1"/>
      <c r="X25" s="1">
        <f t="shared" si="18"/>
        <v>-23993.52999999997</v>
      </c>
      <c r="Y25" s="1"/>
      <c r="Z25" s="5">
        <f t="shared" si="19"/>
        <v>-7.706247160766877E-2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2033.36</v>
      </c>
      <c r="E26" s="2"/>
      <c r="F26" s="7">
        <f t="shared" si="12"/>
        <v>1.658989453697586E-2</v>
      </c>
      <c r="G26" s="2"/>
      <c r="H26" s="6">
        <v>4972.6000000000004</v>
      </c>
      <c r="I26" s="2"/>
      <c r="J26" s="7">
        <f t="shared" si="13"/>
        <v>1.9617974603311623E-2</v>
      </c>
      <c r="K26" s="2"/>
      <c r="L26" s="6">
        <f t="shared" si="14"/>
        <v>-2939.2400000000007</v>
      </c>
      <c r="M26" s="2"/>
      <c r="N26" s="7">
        <f t="shared" si="15"/>
        <v>-0.59108715762377839</v>
      </c>
      <c r="O26" s="11"/>
      <c r="P26" s="6">
        <v>45670.54</v>
      </c>
      <c r="Q26" s="2"/>
      <c r="R26" s="7">
        <f t="shared" si="16"/>
        <v>1.2062508240382488E-2</v>
      </c>
      <c r="S26" s="2"/>
      <c r="T26" s="6">
        <v>42172.53</v>
      </c>
      <c r="U26" s="2"/>
      <c r="V26" s="7">
        <f t="shared" si="17"/>
        <v>9.7611318885914809E-3</v>
      </c>
      <c r="W26" s="2"/>
      <c r="X26" s="6">
        <f t="shared" si="18"/>
        <v>3498.010000000002</v>
      </c>
      <c r="Y26" s="2"/>
      <c r="Z26" s="7">
        <f t="shared" si="19"/>
        <v>8.2945225244964005E-2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2055.98</v>
      </c>
      <c r="E27" s="2"/>
      <c r="F27" s="7">
        <f t="shared" si="12"/>
        <v>1.6774447894190716E-2</v>
      </c>
      <c r="G27" s="2"/>
      <c r="H27" s="6">
        <v>3129.61</v>
      </c>
      <c r="I27" s="2"/>
      <c r="J27" s="7">
        <f t="shared" si="13"/>
        <v>1.234698336851347E-2</v>
      </c>
      <c r="K27" s="2"/>
      <c r="L27" s="6">
        <f t="shared" si="14"/>
        <v>-1073.6300000000001</v>
      </c>
      <c r="M27" s="2"/>
      <c r="N27" s="7">
        <f t="shared" si="15"/>
        <v>-0.34305552449027199</v>
      </c>
      <c r="O27" s="11"/>
      <c r="P27" s="6">
        <v>31113.119999999999</v>
      </c>
      <c r="Q27" s="2"/>
      <c r="R27" s="7">
        <f t="shared" si="16"/>
        <v>8.2176008075229498E-3</v>
      </c>
      <c r="S27" s="2"/>
      <c r="T27" s="6">
        <v>27174.79</v>
      </c>
      <c r="U27" s="2"/>
      <c r="V27" s="7">
        <f t="shared" si="17"/>
        <v>6.2897983411186603E-3</v>
      </c>
      <c r="W27" s="2"/>
      <c r="X27" s="6">
        <f t="shared" si="18"/>
        <v>3938.3299999999981</v>
      </c>
      <c r="Y27" s="2"/>
      <c r="Z27" s="7">
        <f t="shared" si="19"/>
        <v>0.14492586695242163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9826.58</v>
      </c>
      <c r="E28" s="2"/>
      <c r="F28" s="7">
        <f t="shared" si="12"/>
        <v>8.0173666177733541E-2</v>
      </c>
      <c r="G28" s="2"/>
      <c r="H28" s="6">
        <v>14616.94</v>
      </c>
      <c r="I28" s="2"/>
      <c r="J28" s="7">
        <f t="shared" si="13"/>
        <v>5.7666966516134371E-2</v>
      </c>
      <c r="K28" s="2"/>
      <c r="L28" s="6">
        <f t="shared" si="14"/>
        <v>-4790.3600000000006</v>
      </c>
      <c r="M28" s="2"/>
      <c r="N28" s="7">
        <f t="shared" si="15"/>
        <v>-0.32772659667481707</v>
      </c>
      <c r="O28" s="11"/>
      <c r="P28" s="6">
        <v>137501.45000000001</v>
      </c>
      <c r="Q28" s="2"/>
      <c r="R28" s="7">
        <f t="shared" si="16"/>
        <v>3.6316898676686124E-2</v>
      </c>
      <c r="S28" s="2"/>
      <c r="T28" s="6">
        <v>157769.01</v>
      </c>
      <c r="U28" s="2"/>
      <c r="V28" s="7">
        <f t="shared" si="17"/>
        <v>3.6516759002661416E-2</v>
      </c>
      <c r="W28" s="2"/>
      <c r="X28" s="6">
        <f t="shared" si="18"/>
        <v>-20267.559999999998</v>
      </c>
      <c r="Y28" s="2"/>
      <c r="Z28" s="7">
        <f t="shared" si="19"/>
        <v>-0.12846350496843453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137.77000000000001</v>
      </c>
      <c r="E29" s="2"/>
      <c r="F29" s="7">
        <f t="shared" si="12"/>
        <v>1.1240458012153108E-3</v>
      </c>
      <c r="G29" s="2"/>
      <c r="H29" s="6">
        <v>232.46</v>
      </c>
      <c r="I29" s="2"/>
      <c r="J29" s="7">
        <f t="shared" si="13"/>
        <v>9.1710460851180862E-4</v>
      </c>
      <c r="K29" s="2"/>
      <c r="L29" s="6">
        <f t="shared" si="14"/>
        <v>-94.69</v>
      </c>
      <c r="M29" s="2"/>
      <c r="N29" s="7">
        <f t="shared" si="15"/>
        <v>-0.40733889701454012</v>
      </c>
      <c r="O29" s="11"/>
      <c r="P29" s="6">
        <v>2396.13</v>
      </c>
      <c r="Q29" s="2"/>
      <c r="R29" s="7">
        <f t="shared" si="16"/>
        <v>6.3286612923840377E-4</v>
      </c>
      <c r="S29" s="2"/>
      <c r="T29" s="6">
        <v>2251.0100000000002</v>
      </c>
      <c r="U29" s="2"/>
      <c r="V29" s="7">
        <f t="shared" si="17"/>
        <v>5.2101226776146258E-4</v>
      </c>
      <c r="W29" s="2"/>
      <c r="X29" s="6">
        <f t="shared" si="18"/>
        <v>145.11999999999989</v>
      </c>
      <c r="Y29" s="2"/>
      <c r="Z29" s="7">
        <f t="shared" si="19"/>
        <v>6.4468838432525793E-2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872.8</v>
      </c>
      <c r="E30" s="2"/>
      <c r="F30" s="7">
        <f t="shared" si="12"/>
        <v>7.1210508477950445E-3</v>
      </c>
      <c r="G30" s="2"/>
      <c r="H30" s="6">
        <v>1111.3599999999999</v>
      </c>
      <c r="I30" s="2"/>
      <c r="J30" s="7">
        <f t="shared" si="13"/>
        <v>4.3845538058835216E-3</v>
      </c>
      <c r="K30" s="2"/>
      <c r="L30" s="6">
        <f t="shared" si="14"/>
        <v>-238.55999999999995</v>
      </c>
      <c r="M30" s="2"/>
      <c r="N30" s="7">
        <f t="shared" si="15"/>
        <v>-0.21465591707457526</v>
      </c>
      <c r="O30" s="11"/>
      <c r="P30" s="6">
        <v>13858.67</v>
      </c>
      <c r="Q30" s="2"/>
      <c r="R30" s="7">
        <f t="shared" si="16"/>
        <v>3.6603535030621834E-3</v>
      </c>
      <c r="S30" s="2"/>
      <c r="T30" s="6">
        <v>13788.77</v>
      </c>
      <c r="U30" s="2"/>
      <c r="V30" s="7">
        <f t="shared" si="17"/>
        <v>3.1915088459585797E-3</v>
      </c>
      <c r="W30" s="2"/>
      <c r="X30" s="6">
        <f t="shared" si="18"/>
        <v>69.899999999999636</v>
      </c>
      <c r="Y30" s="2"/>
      <c r="Z30" s="7">
        <f t="shared" si="19"/>
        <v>5.0693426607304089E-3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6">
        <v>374.48</v>
      </c>
      <c r="E31" s="2"/>
      <c r="F31" s="7">
        <f t="shared" si="12"/>
        <v>3.0553289659512929E-3</v>
      </c>
      <c r="G31" s="2"/>
      <c r="H31" s="6">
        <v>340.31</v>
      </c>
      <c r="I31" s="2"/>
      <c r="J31" s="7">
        <f t="shared" si="13"/>
        <v>1.3425960136051517E-3</v>
      </c>
      <c r="K31" s="2"/>
      <c r="L31" s="6">
        <f t="shared" si="14"/>
        <v>34.170000000000016</v>
      </c>
      <c r="M31" s="2"/>
      <c r="N31" s="7">
        <f t="shared" si="15"/>
        <v>0.10040845111809825</v>
      </c>
      <c r="O31" s="11"/>
      <c r="P31" s="6">
        <v>5652.33</v>
      </c>
      <c r="Q31" s="2"/>
      <c r="R31" s="7">
        <f t="shared" si="16"/>
        <v>1.4928940450969299E-3</v>
      </c>
      <c r="S31" s="2"/>
      <c r="T31" s="6">
        <v>4182.0600000000004</v>
      </c>
      <c r="U31" s="2"/>
      <c r="V31" s="7">
        <f t="shared" si="17"/>
        <v>9.6796751880911332E-4</v>
      </c>
      <c r="W31" s="2"/>
      <c r="X31" s="6">
        <f t="shared" si="18"/>
        <v>1470.2699999999995</v>
      </c>
      <c r="Y31" s="2"/>
      <c r="Z31" s="7">
        <f t="shared" si="19"/>
        <v>0.35156597466320411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2342.59</v>
      </c>
      <c r="E32" s="2"/>
      <c r="F32" s="7">
        <f t="shared" si="12"/>
        <v>1.9112858049422771E-2</v>
      </c>
      <c r="G32" s="2"/>
      <c r="H32" s="6">
        <v>3446.01</v>
      </c>
      <c r="I32" s="2"/>
      <c r="J32" s="7">
        <f t="shared" si="13"/>
        <v>1.3595249298708499E-2</v>
      </c>
      <c r="K32" s="2"/>
      <c r="L32" s="6">
        <f t="shared" si="14"/>
        <v>-1103.42</v>
      </c>
      <c r="M32" s="2"/>
      <c r="N32" s="7">
        <f t="shared" si="15"/>
        <v>-0.32020220486881928</v>
      </c>
      <c r="O32" s="11"/>
      <c r="P32" s="6">
        <v>28022.22</v>
      </c>
      <c r="Q32" s="2"/>
      <c r="R32" s="7">
        <f t="shared" si="16"/>
        <v>7.4012319465417082E-3</v>
      </c>
      <c r="S32" s="2"/>
      <c r="T32" s="6">
        <v>29119.710000000003</v>
      </c>
      <c r="U32" s="2"/>
      <c r="V32" s="7">
        <f t="shared" si="17"/>
        <v>6.7399639022732638E-3</v>
      </c>
      <c r="W32" s="2"/>
      <c r="X32" s="6">
        <f t="shared" si="18"/>
        <v>-1097.4900000000016</v>
      </c>
      <c r="Y32" s="2"/>
      <c r="Z32" s="7">
        <f t="shared" si="19"/>
        <v>-3.7688905555721589E-2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1608.53</v>
      </c>
      <c r="E33" s="2"/>
      <c r="F33" s="7">
        <f t="shared" si="12"/>
        <v>1.3123767094642259E-2</v>
      </c>
      <c r="G33" s="2"/>
      <c r="H33" s="6">
        <v>2324.09</v>
      </c>
      <c r="I33" s="2"/>
      <c r="J33" s="7">
        <f t="shared" si="13"/>
        <v>9.1690340256225123E-3</v>
      </c>
      <c r="K33" s="2"/>
      <c r="L33" s="6">
        <f t="shared" si="14"/>
        <v>-715.56000000000017</v>
      </c>
      <c r="M33" s="2"/>
      <c r="N33" s="7">
        <f t="shared" si="15"/>
        <v>-0.30788824873391313</v>
      </c>
      <c r="O33" s="11"/>
      <c r="P33" s="6">
        <v>11631.64</v>
      </c>
      <c r="Q33" s="2"/>
      <c r="R33" s="7">
        <f t="shared" si="16"/>
        <v>3.0721500851350245E-3</v>
      </c>
      <c r="S33" s="2"/>
      <c r="T33" s="6">
        <v>23314.809999999998</v>
      </c>
      <c r="U33" s="2"/>
      <c r="V33" s="7">
        <f t="shared" si="17"/>
        <v>5.3963785280952206E-3</v>
      </c>
      <c r="W33" s="2"/>
      <c r="X33" s="6">
        <f t="shared" si="18"/>
        <v>-11683.169999999998</v>
      </c>
      <c r="Y33" s="2"/>
      <c r="Z33" s="7">
        <f t="shared" si="19"/>
        <v>-0.50110509157055105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665.2</v>
      </c>
      <c r="E34" s="2"/>
      <c r="F34" s="7">
        <f t="shared" si="12"/>
        <v>5.4272720256109807E-3</v>
      </c>
      <c r="G34" s="2"/>
      <c r="H34" s="6">
        <v>1090.52</v>
      </c>
      <c r="I34" s="2"/>
      <c r="J34" s="7">
        <f t="shared" si="13"/>
        <v>4.3023355315938115E-3</v>
      </c>
      <c r="K34" s="2"/>
      <c r="L34" s="6">
        <f t="shared" si="14"/>
        <v>-425.31999999999994</v>
      </c>
      <c r="M34" s="2"/>
      <c r="N34" s="7">
        <f t="shared" si="15"/>
        <v>-0.39001577229211748</v>
      </c>
      <c r="O34" s="11"/>
      <c r="P34" s="6">
        <v>11512.05</v>
      </c>
      <c r="Q34" s="2"/>
      <c r="R34" s="7">
        <f t="shared" si="16"/>
        <v>3.0405639606778286E-3</v>
      </c>
      <c r="S34" s="2"/>
      <c r="T34" s="6">
        <v>11578.99</v>
      </c>
      <c r="U34" s="2"/>
      <c r="V34" s="7">
        <f t="shared" si="17"/>
        <v>2.6800395548164145E-3</v>
      </c>
      <c r="W34" s="2"/>
      <c r="X34" s="6">
        <f t="shared" si="18"/>
        <v>-66.940000000000509</v>
      </c>
      <c r="Y34" s="2"/>
      <c r="Z34" s="7">
        <f t="shared" si="19"/>
        <v>-5.7811605329998999E-3</v>
      </c>
    </row>
    <row r="35" spans="1:26" s="27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22571.379999999997</v>
      </c>
      <c r="E35" s="1"/>
      <c r="F35" s="5">
        <f t="shared" ref="F35:F41" si="20">IF(D$12=0,0,D35/D$12)</f>
        <v>0.18415667356198911</v>
      </c>
      <c r="G35" s="1"/>
      <c r="H35" s="1">
        <f>SUM(OSRRefH22_1x_0)</f>
        <v>73425.11</v>
      </c>
      <c r="I35" s="1"/>
      <c r="J35" s="5">
        <f t="shared" ref="J35:J41" si="21">IF(H$12=0,0,H35/H$12)</f>
        <v>0.28967782311574669</v>
      </c>
      <c r="K35" s="1"/>
      <c r="L35" s="1">
        <f t="shared" ref="L35:L41" si="22">+D35-H35</f>
        <v>-50853.73</v>
      </c>
      <c r="M35" s="1"/>
      <c r="N35" s="5">
        <f t="shared" ref="N35:N41" si="23">IF(H35=0,0,L35/H35)</f>
        <v>-0.6925931741879584</v>
      </c>
      <c r="O35" s="13"/>
      <c r="P35" s="1">
        <f>SUM(OSRRefP22_1x_0)</f>
        <v>858953.35</v>
      </c>
      <c r="Q35" s="1"/>
      <c r="R35" s="5">
        <f t="shared" ref="R35:R41" si="24">IF(P$12=0,0,P35/P$12)</f>
        <v>0.22686685689460082</v>
      </c>
      <c r="S35" s="1"/>
      <c r="T35" s="1">
        <f>SUM(OSRRefT22_1x_0)</f>
        <v>820079.47</v>
      </c>
      <c r="U35" s="1"/>
      <c r="V35" s="5">
        <f t="shared" ref="V35:V41" si="25">IF(T$12=0,0,T35/T$12)</f>
        <v>0.18981322357933472</v>
      </c>
      <c r="W35" s="1"/>
      <c r="X35" s="1">
        <f t="shared" ref="X35:X41" si="26">+P35-T35</f>
        <v>38873.880000000005</v>
      </c>
      <c r="Y35" s="1"/>
      <c r="Z35" s="5">
        <f t="shared" ref="Z35:Z41" si="27">IF(T35=0,0,X35/T35)</f>
        <v>4.7402576728326103E-2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6911.81</v>
      </c>
      <c r="E36" s="2"/>
      <c r="F36" s="7">
        <f t="shared" si="20"/>
        <v>5.6392473029672631E-2</v>
      </c>
      <c r="G36" s="2"/>
      <c r="H36" s="6">
        <v>13939.25</v>
      </c>
      <c r="I36" s="2"/>
      <c r="J36" s="7">
        <f t="shared" si="21"/>
        <v>5.499333396798687E-2</v>
      </c>
      <c r="K36" s="2"/>
      <c r="L36" s="6">
        <f t="shared" si="22"/>
        <v>-7027.44</v>
      </c>
      <c r="M36" s="2"/>
      <c r="N36" s="7">
        <f t="shared" si="23"/>
        <v>-0.50414764065498496</v>
      </c>
      <c r="O36" s="11"/>
      <c r="P36" s="6">
        <v>150099.07</v>
      </c>
      <c r="Q36" s="2"/>
      <c r="R36" s="7">
        <f t="shared" si="24"/>
        <v>3.9644183509736204E-2</v>
      </c>
      <c r="S36" s="2"/>
      <c r="T36" s="6">
        <v>153855.57999999999</v>
      </c>
      <c r="U36" s="2"/>
      <c r="V36" s="7">
        <f t="shared" si="25"/>
        <v>3.561096780714218E-2</v>
      </c>
      <c r="W36" s="2"/>
      <c r="X36" s="6">
        <f t="shared" si="26"/>
        <v>-3756.5099999999802</v>
      </c>
      <c r="Y36" s="2"/>
      <c r="Z36" s="7">
        <f t="shared" si="27"/>
        <v>-2.4415819042767122E-2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>
        <v>15659.569999999998</v>
      </c>
      <c r="E37" s="2"/>
      <c r="F37" s="7">
        <f t="shared" si="20"/>
        <v>0.12776420053231649</v>
      </c>
      <c r="G37" s="2"/>
      <c r="H37" s="6">
        <v>22045.82</v>
      </c>
      <c r="I37" s="2"/>
      <c r="J37" s="7">
        <f t="shared" si="21"/>
        <v>8.6975493075891766E-2</v>
      </c>
      <c r="K37" s="2"/>
      <c r="L37" s="6">
        <f t="shared" si="22"/>
        <v>-6386.2500000000018</v>
      </c>
      <c r="M37" s="2"/>
      <c r="N37" s="7">
        <f t="shared" si="23"/>
        <v>-0.28968076487969158</v>
      </c>
      <c r="O37" s="11"/>
      <c r="P37" s="6">
        <v>210565.79</v>
      </c>
      <c r="Q37" s="2"/>
      <c r="R37" s="7">
        <f t="shared" si="24"/>
        <v>5.561466050144466E-2</v>
      </c>
      <c r="S37" s="2"/>
      <c r="T37" s="6">
        <v>213700.14</v>
      </c>
      <c r="U37" s="2"/>
      <c r="V37" s="7">
        <f t="shared" si="25"/>
        <v>4.9462416676221803E-2</v>
      </c>
      <c r="W37" s="2"/>
      <c r="X37" s="6">
        <f t="shared" si="26"/>
        <v>-3134.3500000000058</v>
      </c>
      <c r="Y37" s="2"/>
      <c r="Z37" s="7">
        <f t="shared" si="27"/>
        <v>-1.4667047012697351E-2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0"/>
        <v>0</v>
      </c>
      <c r="G38" s="2"/>
      <c r="H38" s="6">
        <v>16030.409999999998</v>
      </c>
      <c r="I38" s="2"/>
      <c r="J38" s="7">
        <f t="shared" si="21"/>
        <v>6.3243409134189882E-2</v>
      </c>
      <c r="K38" s="2"/>
      <c r="L38" s="6">
        <f t="shared" si="22"/>
        <v>-16030.409999999998</v>
      </c>
      <c r="M38" s="2"/>
      <c r="N38" s="7">
        <f t="shared" si="23"/>
        <v>-1</v>
      </c>
      <c r="O38" s="11"/>
      <c r="P38" s="6">
        <v>132250.51</v>
      </c>
      <c r="Q38" s="2"/>
      <c r="R38" s="7">
        <f t="shared" si="24"/>
        <v>3.4930019804227989E-2</v>
      </c>
      <c r="S38" s="2"/>
      <c r="T38" s="6">
        <v>105398.18</v>
      </c>
      <c r="U38" s="2"/>
      <c r="V38" s="7">
        <f t="shared" si="25"/>
        <v>2.4395158075588657E-2</v>
      </c>
      <c r="W38" s="2"/>
      <c r="X38" s="6">
        <f t="shared" si="26"/>
        <v>26852.330000000016</v>
      </c>
      <c r="Y38" s="2"/>
      <c r="Z38" s="7">
        <f t="shared" si="27"/>
        <v>0.25477033853905273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10133.07</v>
      </c>
      <c r="Q39" s="2"/>
      <c r="R39" s="7">
        <f t="shared" si="24"/>
        <v>2.6763476055981067E-3</v>
      </c>
      <c r="S39" s="2"/>
      <c r="T39" s="6"/>
      <c r="U39" s="2"/>
      <c r="V39" s="7">
        <f t="shared" si="25"/>
        <v>0</v>
      </c>
      <c r="W39" s="2"/>
      <c r="X39" s="6">
        <f t="shared" si="26"/>
        <v>10133.07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0"/>
        <v>0</v>
      </c>
      <c r="G40" s="2"/>
      <c r="H40" s="6">
        <v>17911.63</v>
      </c>
      <c r="I40" s="2"/>
      <c r="J40" s="7">
        <f t="shared" si="21"/>
        <v>7.0665225926862113E-2</v>
      </c>
      <c r="K40" s="2"/>
      <c r="L40" s="6">
        <f t="shared" si="22"/>
        <v>-17911.63</v>
      </c>
      <c r="M40" s="2"/>
      <c r="N40" s="7">
        <f t="shared" si="23"/>
        <v>-1</v>
      </c>
      <c r="O40" s="11"/>
      <c r="P40" s="6">
        <v>326051.69</v>
      </c>
      <c r="Q40" s="2"/>
      <c r="R40" s="7">
        <f t="shared" si="24"/>
        <v>8.6116809597951677E-2</v>
      </c>
      <c r="S40" s="2"/>
      <c r="T40" s="6">
        <v>311160.67</v>
      </c>
      <c r="U40" s="2"/>
      <c r="V40" s="7">
        <f t="shared" si="25"/>
        <v>7.2020349227624972E-2</v>
      </c>
      <c r="W40" s="2"/>
      <c r="X40" s="6">
        <f t="shared" si="26"/>
        <v>14891.020000000019</v>
      </c>
      <c r="Y40" s="2"/>
      <c r="Z40" s="7">
        <f t="shared" si="27"/>
        <v>4.7856369508395835E-2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0"/>
        <v>0</v>
      </c>
      <c r="G41" s="2"/>
      <c r="H41" s="6">
        <v>3498</v>
      </c>
      <c r="I41" s="2"/>
      <c r="J41" s="7">
        <f t="shared" si="21"/>
        <v>1.3800361010816081E-2</v>
      </c>
      <c r="K41" s="2"/>
      <c r="L41" s="6">
        <f t="shared" si="22"/>
        <v>-3498</v>
      </c>
      <c r="M41" s="2"/>
      <c r="N41" s="7">
        <f t="shared" si="23"/>
        <v>-1</v>
      </c>
      <c r="O41" s="11"/>
      <c r="P41" s="6">
        <v>29853.219999999998</v>
      </c>
      <c r="Q41" s="2"/>
      <c r="R41" s="7">
        <f t="shared" si="24"/>
        <v>7.8848358756421801E-3</v>
      </c>
      <c r="S41" s="2"/>
      <c r="T41" s="6">
        <v>35964.899999999994</v>
      </c>
      <c r="U41" s="2"/>
      <c r="V41" s="7">
        <f t="shared" si="25"/>
        <v>8.3243317927571281E-3</v>
      </c>
      <c r="W41" s="2"/>
      <c r="X41" s="6">
        <f t="shared" si="26"/>
        <v>-6111.6799999999967</v>
      </c>
      <c r="Y41" s="2"/>
      <c r="Z41" s="7">
        <f t="shared" si="27"/>
        <v>-0.16993457509961093</v>
      </c>
    </row>
    <row r="42" spans="1:26" s="27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61" si="28">IF(D$12=0,0,D42/D$12)</f>
        <v>0</v>
      </c>
      <c r="G42" s="1"/>
      <c r="H42" s="1">
        <f>SUM(OSRRefH22_2x_0)</f>
        <v>12</v>
      </c>
      <c r="I42" s="1"/>
      <c r="J42" s="5">
        <f t="shared" ref="J42:J61" si="29">IF(H$12=0,0,H42/H$12)</f>
        <v>4.7342576366435957E-5</v>
      </c>
      <c r="K42" s="1"/>
      <c r="L42" s="1">
        <f t="shared" ref="L42:L61" si="30">+D42-H42</f>
        <v>-12</v>
      </c>
      <c r="M42" s="1"/>
      <c r="N42" s="5">
        <f t="shared" ref="N42:N61" si="31">IF(H42=0,0,L42/H42)</f>
        <v>-1</v>
      </c>
      <c r="O42" s="13"/>
      <c r="P42" s="1">
        <f>SUM(OSRRefP22_2x_0)</f>
        <v>2828.94</v>
      </c>
      <c r="Q42" s="1"/>
      <c r="R42" s="5">
        <f t="shared" ref="R42:R61" si="32">IF(P$12=0,0,P42/P$12)</f>
        <v>7.4717995586537041E-4</v>
      </c>
      <c r="S42" s="1"/>
      <c r="T42" s="1">
        <f>SUM(OSRRefT22_2x_0)</f>
        <v>5301.27</v>
      </c>
      <c r="U42" s="1"/>
      <c r="V42" s="5">
        <f t="shared" ref="V42:V61" si="33">IF(T$12=0,0,T42/T$12)</f>
        <v>1.2270166301863647E-3</v>
      </c>
      <c r="W42" s="1"/>
      <c r="X42" s="1">
        <f t="shared" ref="X42:X61" si="34">+P42-T42</f>
        <v>-2472.3300000000004</v>
      </c>
      <c r="Y42" s="1"/>
      <c r="Z42" s="5">
        <f t="shared" ref="Z42:Z61" si="35">IF(T42=0,0,X42/T42)</f>
        <v>-0.4663656067319718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12</v>
      </c>
      <c r="I43" s="2"/>
      <c r="J43" s="7">
        <f t="shared" si="29"/>
        <v>4.7342576366435957E-5</v>
      </c>
      <c r="K43" s="2"/>
      <c r="L43" s="6">
        <f t="shared" si="30"/>
        <v>-12</v>
      </c>
      <c r="M43" s="2"/>
      <c r="N43" s="7">
        <f t="shared" si="31"/>
        <v>-1</v>
      </c>
      <c r="O43" s="11"/>
      <c r="P43" s="6">
        <v>2828.94</v>
      </c>
      <c r="Q43" s="2"/>
      <c r="R43" s="7">
        <f t="shared" si="32"/>
        <v>7.4717995586537041E-4</v>
      </c>
      <c r="S43" s="2"/>
      <c r="T43" s="6">
        <v>5301.27</v>
      </c>
      <c r="U43" s="2"/>
      <c r="V43" s="7">
        <f t="shared" si="33"/>
        <v>1.2270166301863647E-3</v>
      </c>
      <c r="W43" s="2"/>
      <c r="X43" s="6">
        <f t="shared" si="34"/>
        <v>-2472.3300000000004</v>
      </c>
      <c r="Y43" s="2"/>
      <c r="Z43" s="7">
        <f t="shared" si="35"/>
        <v>-0.4663656067319718</v>
      </c>
    </row>
    <row r="44" spans="1:26" s="27" customFormat="1" outlineLevel="1" collapsed="1" x14ac:dyDescent="0.25">
      <c r="A44" s="25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0.55000000000000004</v>
      </c>
      <c r="I44" s="1"/>
      <c r="J44" s="5">
        <f t="shared" si="29"/>
        <v>2.1698680834616483E-6</v>
      </c>
      <c r="K44" s="1"/>
      <c r="L44" s="1">
        <f t="shared" si="30"/>
        <v>-0.55000000000000004</v>
      </c>
      <c r="M44" s="1"/>
      <c r="N44" s="5">
        <f t="shared" si="31"/>
        <v>-1</v>
      </c>
      <c r="O44" s="13"/>
      <c r="P44" s="1">
        <f>SUM(OSRRefP22_3x_0)</f>
        <v>1.65</v>
      </c>
      <c r="Q44" s="1"/>
      <c r="R44" s="5">
        <f t="shared" si="32"/>
        <v>4.3579818843024633E-7</v>
      </c>
      <c r="S44" s="1"/>
      <c r="T44" s="1">
        <f>SUM(OSRRefT22_3x_0)</f>
        <v>-0.42</v>
      </c>
      <c r="U44" s="1"/>
      <c r="V44" s="5">
        <f t="shared" si="33"/>
        <v>-9.7211985935119909E-8</v>
      </c>
      <c r="W44" s="1"/>
      <c r="X44" s="1">
        <f t="shared" si="34"/>
        <v>2.0699999999999998</v>
      </c>
      <c r="Y44" s="1"/>
      <c r="Z44" s="5">
        <f t="shared" si="35"/>
        <v>-4.9285714285714279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/>
      <c r="E45" s="2"/>
      <c r="F45" s="7">
        <f t="shared" si="28"/>
        <v>0</v>
      </c>
      <c r="G45" s="2"/>
      <c r="H45" s="6">
        <v>0.55000000000000004</v>
      </c>
      <c r="I45" s="2"/>
      <c r="J45" s="7">
        <f t="shared" si="29"/>
        <v>2.1698680834616483E-6</v>
      </c>
      <c r="K45" s="2"/>
      <c r="L45" s="6">
        <f t="shared" si="30"/>
        <v>-0.55000000000000004</v>
      </c>
      <c r="M45" s="2"/>
      <c r="N45" s="7">
        <f t="shared" si="31"/>
        <v>-1</v>
      </c>
      <c r="O45" s="11"/>
      <c r="P45" s="6">
        <v>1.65</v>
      </c>
      <c r="Q45" s="2"/>
      <c r="R45" s="7">
        <f t="shared" si="32"/>
        <v>4.3579818843024633E-7</v>
      </c>
      <c r="S45" s="2"/>
      <c r="T45" s="6">
        <v>-0.42</v>
      </c>
      <c r="U45" s="2"/>
      <c r="V45" s="7">
        <f t="shared" si="33"/>
        <v>-9.7211985935119909E-8</v>
      </c>
      <c r="W45" s="2"/>
      <c r="X45" s="6">
        <f t="shared" si="34"/>
        <v>2.0699999999999998</v>
      </c>
      <c r="Y45" s="2"/>
      <c r="Z45" s="7">
        <f t="shared" si="35"/>
        <v>-4.9285714285714279</v>
      </c>
    </row>
    <row r="46" spans="1:26" s="27" customFormat="1" outlineLevel="1" collapsed="1" x14ac:dyDescent="0.25">
      <c r="A46" s="25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29.5</v>
      </c>
      <c r="E46" s="1"/>
      <c r="F46" s="5">
        <f t="shared" si="28"/>
        <v>2.4068629698665653E-4</v>
      </c>
      <c r="G46" s="1"/>
      <c r="H46" s="1">
        <f>SUM(OSRRefH22_4x_0)</f>
        <v>155.93</v>
      </c>
      <c r="I46" s="1"/>
      <c r="J46" s="5">
        <f t="shared" si="29"/>
        <v>6.1517732773486329E-4</v>
      </c>
      <c r="K46" s="1"/>
      <c r="L46" s="1">
        <f t="shared" si="30"/>
        <v>-126.43</v>
      </c>
      <c r="M46" s="1"/>
      <c r="N46" s="5">
        <f t="shared" si="31"/>
        <v>-0.8108125440902969</v>
      </c>
      <c r="O46" s="13"/>
      <c r="P46" s="1">
        <f>SUM(OSRRefP22_4x_0)</f>
        <v>1859.94</v>
      </c>
      <c r="Q46" s="1"/>
      <c r="R46" s="5">
        <f t="shared" si="32"/>
        <v>4.9124756520542575E-4</v>
      </c>
      <c r="S46" s="1"/>
      <c r="T46" s="1">
        <f>SUM(OSRRefT22_4x_0)</f>
        <v>2310.67</v>
      </c>
      <c r="U46" s="1"/>
      <c r="V46" s="5">
        <f t="shared" si="33"/>
        <v>5.3482099890643693E-4</v>
      </c>
      <c r="W46" s="1"/>
      <c r="X46" s="1">
        <f t="shared" si="34"/>
        <v>-450.73</v>
      </c>
      <c r="Y46" s="1"/>
      <c r="Z46" s="5">
        <f t="shared" si="35"/>
        <v>-0.19506463493272513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>
        <v>29.5</v>
      </c>
      <c r="E47" s="2"/>
      <c r="F47" s="7">
        <f t="shared" si="28"/>
        <v>2.4068629698665653E-4</v>
      </c>
      <c r="G47" s="2"/>
      <c r="H47" s="6">
        <v>155.93</v>
      </c>
      <c r="I47" s="2"/>
      <c r="J47" s="7">
        <f t="shared" si="29"/>
        <v>6.1517732773486329E-4</v>
      </c>
      <c r="K47" s="2"/>
      <c r="L47" s="6">
        <f t="shared" si="30"/>
        <v>-126.43</v>
      </c>
      <c r="M47" s="2"/>
      <c r="N47" s="7">
        <f t="shared" si="31"/>
        <v>-0.8108125440902969</v>
      </c>
      <c r="O47" s="11"/>
      <c r="P47" s="6">
        <v>1859.94</v>
      </c>
      <c r="Q47" s="2"/>
      <c r="R47" s="7">
        <f t="shared" si="32"/>
        <v>4.9124756520542575E-4</v>
      </c>
      <c r="S47" s="2"/>
      <c r="T47" s="6">
        <v>2310.67</v>
      </c>
      <c r="U47" s="2"/>
      <c r="V47" s="7">
        <f t="shared" si="33"/>
        <v>5.3482099890643693E-4</v>
      </c>
      <c r="W47" s="2"/>
      <c r="X47" s="6">
        <f t="shared" si="34"/>
        <v>-450.73</v>
      </c>
      <c r="Y47" s="2"/>
      <c r="Z47" s="7">
        <f t="shared" si="35"/>
        <v>-0.19506463493272513</v>
      </c>
    </row>
    <row r="48" spans="1:26" s="27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17557.53</v>
      </c>
      <c r="E48" s="1"/>
      <c r="F48" s="5">
        <f t="shared" si="28"/>
        <v>0.14324938576041124</v>
      </c>
      <c r="G48" s="1"/>
      <c r="H48" s="1">
        <f>SUM(OSRRefH22_5x_0)</f>
        <v>5076.1400000000003</v>
      </c>
      <c r="I48" s="1"/>
      <c r="J48" s="5">
        <f t="shared" si="29"/>
        <v>2.002646213306002E-2</v>
      </c>
      <c r="K48" s="1"/>
      <c r="L48" s="1">
        <f t="shared" si="30"/>
        <v>12481.39</v>
      </c>
      <c r="M48" s="1"/>
      <c r="N48" s="5">
        <f t="shared" si="31"/>
        <v>2.458834862710642</v>
      </c>
      <c r="O48" s="13"/>
      <c r="P48" s="1">
        <f>SUM(OSRRefP22_5x_0)</f>
        <v>89701.66</v>
      </c>
      <c r="Q48" s="1"/>
      <c r="R48" s="5">
        <f t="shared" si="32"/>
        <v>2.3692012683142964E-2</v>
      </c>
      <c r="S48" s="1"/>
      <c r="T48" s="1">
        <f>SUM(OSRRefT22_5x_0)</f>
        <v>80130.759999999995</v>
      </c>
      <c r="U48" s="1"/>
      <c r="V48" s="5">
        <f t="shared" si="33"/>
        <v>1.8546834081167782E-2</v>
      </c>
      <c r="W48" s="1"/>
      <c r="X48" s="1">
        <f t="shared" si="34"/>
        <v>9570.9000000000087</v>
      </c>
      <c r="Y48" s="1"/>
      <c r="Z48" s="5">
        <f t="shared" si="35"/>
        <v>0.11944102364684935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17557.53</v>
      </c>
      <c r="E49" s="2"/>
      <c r="F49" s="7">
        <f t="shared" si="28"/>
        <v>0.14324938576041124</v>
      </c>
      <c r="G49" s="2"/>
      <c r="H49" s="6">
        <v>5076.1400000000003</v>
      </c>
      <c r="I49" s="2"/>
      <c r="J49" s="7">
        <f t="shared" si="29"/>
        <v>2.002646213306002E-2</v>
      </c>
      <c r="K49" s="2"/>
      <c r="L49" s="6">
        <f t="shared" si="30"/>
        <v>12481.39</v>
      </c>
      <c r="M49" s="2"/>
      <c r="N49" s="7">
        <f t="shared" si="31"/>
        <v>2.458834862710642</v>
      </c>
      <c r="O49" s="11"/>
      <c r="P49" s="6">
        <v>89701.66</v>
      </c>
      <c r="Q49" s="2"/>
      <c r="R49" s="7">
        <f t="shared" si="32"/>
        <v>2.3692012683142964E-2</v>
      </c>
      <c r="S49" s="2"/>
      <c r="T49" s="6">
        <v>80130.759999999995</v>
      </c>
      <c r="U49" s="2"/>
      <c r="V49" s="7">
        <f t="shared" si="33"/>
        <v>1.8546834081167782E-2</v>
      </c>
      <c r="W49" s="2"/>
      <c r="X49" s="6">
        <f t="shared" si="34"/>
        <v>9570.9000000000087</v>
      </c>
      <c r="Y49" s="2"/>
      <c r="Z49" s="7">
        <f t="shared" si="35"/>
        <v>0.11944102364684935</v>
      </c>
    </row>
    <row r="50" spans="1:26" s="27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137.28</v>
      </c>
      <c r="I50" s="1"/>
      <c r="J50" s="5">
        <f t="shared" si="29"/>
        <v>5.4159907363202737E-4</v>
      </c>
      <c r="K50" s="1"/>
      <c r="L50" s="1">
        <f t="shared" si="30"/>
        <v>-137.28</v>
      </c>
      <c r="M50" s="1"/>
      <c r="N50" s="5">
        <f t="shared" si="31"/>
        <v>-1</v>
      </c>
      <c r="O50" s="13"/>
      <c r="P50" s="1">
        <f>SUM(OSRRefP22_6x_0)</f>
        <v>172.29</v>
      </c>
      <c r="Q50" s="1"/>
      <c r="R50" s="5">
        <f t="shared" si="32"/>
        <v>4.5505254475543724E-5</v>
      </c>
      <c r="S50" s="1"/>
      <c r="T50" s="1">
        <f>SUM(OSRRefT22_6x_0)</f>
        <v>665.85</v>
      </c>
      <c r="U50" s="1"/>
      <c r="V50" s="5">
        <f t="shared" si="33"/>
        <v>1.5411571627357046E-4</v>
      </c>
      <c r="W50" s="1"/>
      <c r="X50" s="1">
        <f t="shared" si="34"/>
        <v>-493.56000000000006</v>
      </c>
      <c r="Y50" s="1"/>
      <c r="Z50" s="5">
        <f t="shared" si="35"/>
        <v>-0.74124802883532337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8"/>
        <v>0</v>
      </c>
      <c r="G51" s="2"/>
      <c r="H51" s="6">
        <v>137.28</v>
      </c>
      <c r="I51" s="2"/>
      <c r="J51" s="7">
        <f t="shared" si="29"/>
        <v>5.4159907363202737E-4</v>
      </c>
      <c r="K51" s="2"/>
      <c r="L51" s="6">
        <f t="shared" si="30"/>
        <v>-137.28</v>
      </c>
      <c r="M51" s="2"/>
      <c r="N51" s="7">
        <f t="shared" si="31"/>
        <v>-1</v>
      </c>
      <c r="O51" s="11"/>
      <c r="P51" s="6">
        <v>172.29</v>
      </c>
      <c r="Q51" s="2"/>
      <c r="R51" s="7">
        <f t="shared" si="32"/>
        <v>4.5505254475543724E-5</v>
      </c>
      <c r="S51" s="2"/>
      <c r="T51" s="6">
        <v>665.85</v>
      </c>
      <c r="U51" s="2"/>
      <c r="V51" s="7">
        <f t="shared" si="33"/>
        <v>1.5411571627357046E-4</v>
      </c>
      <c r="W51" s="2"/>
      <c r="X51" s="6">
        <f t="shared" si="34"/>
        <v>-493.56000000000006</v>
      </c>
      <c r="Y51" s="2"/>
      <c r="Z51" s="7">
        <f t="shared" si="35"/>
        <v>-0.74124802883532337</v>
      </c>
    </row>
    <row r="52" spans="1:26" s="27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0</v>
      </c>
      <c r="E52" s="1"/>
      <c r="F52" s="5">
        <f t="shared" si="28"/>
        <v>0</v>
      </c>
      <c r="G52" s="1"/>
      <c r="H52" s="1">
        <f>SUM(OSRRefH22_7x_0)</f>
        <v>575.21</v>
      </c>
      <c r="I52" s="1"/>
      <c r="J52" s="5">
        <f t="shared" si="29"/>
        <v>2.269326945978136E-3</v>
      </c>
      <c r="K52" s="1"/>
      <c r="L52" s="1">
        <f t="shared" si="30"/>
        <v>-575.21</v>
      </c>
      <c r="M52" s="1"/>
      <c r="N52" s="5">
        <f t="shared" si="31"/>
        <v>-1</v>
      </c>
      <c r="O52" s="13"/>
      <c r="P52" s="1">
        <f>SUM(OSRRefP22_7x_0)</f>
        <v>2193.62</v>
      </c>
      <c r="Q52" s="1"/>
      <c r="R52" s="5">
        <f t="shared" si="32"/>
        <v>5.793791649117315E-4</v>
      </c>
      <c r="S52" s="1"/>
      <c r="T52" s="1">
        <f>SUM(OSRRefT22_7x_0)</f>
        <v>3067.67</v>
      </c>
      <c r="U52" s="1"/>
      <c r="V52" s="5">
        <f t="shared" si="33"/>
        <v>7.1003403069902211E-4</v>
      </c>
      <c r="W52" s="1"/>
      <c r="X52" s="1">
        <f t="shared" si="34"/>
        <v>-874.05000000000018</v>
      </c>
      <c r="Y52" s="1"/>
      <c r="Z52" s="5">
        <f t="shared" si="35"/>
        <v>-0.28492308494720753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28"/>
        <v>0</v>
      </c>
      <c r="G53" s="2"/>
      <c r="H53" s="6">
        <v>575.21</v>
      </c>
      <c r="I53" s="2"/>
      <c r="J53" s="7">
        <f t="shared" si="29"/>
        <v>2.269326945978136E-3</v>
      </c>
      <c r="K53" s="2"/>
      <c r="L53" s="6">
        <f t="shared" si="30"/>
        <v>-575.21</v>
      </c>
      <c r="M53" s="2"/>
      <c r="N53" s="7">
        <f t="shared" si="31"/>
        <v>-1</v>
      </c>
      <c r="O53" s="11"/>
      <c r="P53" s="6">
        <v>2193.62</v>
      </c>
      <c r="Q53" s="2"/>
      <c r="R53" s="7">
        <f t="shared" si="32"/>
        <v>5.793791649117315E-4</v>
      </c>
      <c r="S53" s="2"/>
      <c r="T53" s="6">
        <v>3067.67</v>
      </c>
      <c r="U53" s="2"/>
      <c r="V53" s="7">
        <f t="shared" si="33"/>
        <v>7.1003403069902211E-4</v>
      </c>
      <c r="W53" s="2"/>
      <c r="X53" s="6">
        <f t="shared" si="34"/>
        <v>-874.05000000000018</v>
      </c>
      <c r="Y53" s="2"/>
      <c r="Z53" s="7">
        <f t="shared" si="35"/>
        <v>-0.28492308494720753</v>
      </c>
    </row>
    <row r="54" spans="1:26" s="27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SUM(OSRRefP22_8x_0)</f>
        <v>2391.19</v>
      </c>
      <c r="Q54" s="1"/>
      <c r="R54" s="5">
        <f t="shared" si="32"/>
        <v>6.31561375874255E-4</v>
      </c>
      <c r="S54" s="1"/>
      <c r="T54" s="1">
        <f>SUM(OSRRefT22_8x_0)</f>
        <v>2465.0500000000002</v>
      </c>
      <c r="U54" s="1"/>
      <c r="V54" s="5">
        <f t="shared" si="33"/>
        <v>5.7055334745087461E-4</v>
      </c>
      <c r="W54" s="1"/>
      <c r="X54" s="1">
        <f t="shared" si="34"/>
        <v>-73.860000000000127</v>
      </c>
      <c r="Y54" s="1"/>
      <c r="Z54" s="5">
        <f t="shared" si="35"/>
        <v>-2.9962881077462981E-2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2391.19</v>
      </c>
      <c r="Q55" s="2"/>
      <c r="R55" s="7">
        <f t="shared" si="32"/>
        <v>6.31561375874255E-4</v>
      </c>
      <c r="S55" s="2"/>
      <c r="T55" s="6">
        <v>2465.0500000000002</v>
      </c>
      <c r="U55" s="2"/>
      <c r="V55" s="7">
        <f t="shared" si="33"/>
        <v>5.7055334745087461E-4</v>
      </c>
      <c r="W55" s="2"/>
      <c r="X55" s="6">
        <f t="shared" si="34"/>
        <v>-73.860000000000127</v>
      </c>
      <c r="Y55" s="2"/>
      <c r="Z55" s="7">
        <f t="shared" si="35"/>
        <v>-2.9962881077462981E-2</v>
      </c>
    </row>
    <row r="56" spans="1:26" s="27" customFormat="1" outlineLevel="1" collapsed="1" x14ac:dyDescent="0.25">
      <c r="A56" s="25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8698.56</v>
      </c>
      <c r="E56" s="1"/>
      <c r="F56" s="5">
        <f t="shared" si="28"/>
        <v>7.0970311712415288E-2</v>
      </c>
      <c r="G56" s="1"/>
      <c r="H56" s="1">
        <f>SUM(OSRRefH22_9x_0)</f>
        <v>19871.64</v>
      </c>
      <c r="I56" s="1"/>
      <c r="J56" s="5">
        <f t="shared" si="29"/>
        <v>7.8397886185526955E-2</v>
      </c>
      <c r="K56" s="1"/>
      <c r="L56" s="1">
        <f t="shared" si="30"/>
        <v>-11173.08</v>
      </c>
      <c r="M56" s="1"/>
      <c r="N56" s="5">
        <f t="shared" si="31"/>
        <v>-0.56226260137562878</v>
      </c>
      <c r="O56" s="13"/>
      <c r="P56" s="1">
        <f>SUM(OSRRefP22_9x_0)</f>
        <v>292399.23</v>
      </c>
      <c r="Q56" s="1"/>
      <c r="R56" s="5">
        <f t="shared" si="32"/>
        <v>7.722851801963572E-2</v>
      </c>
      <c r="S56" s="1"/>
      <c r="T56" s="1">
        <f>SUM(OSRRefT22_9x_0)</f>
        <v>334326.76</v>
      </c>
      <c r="U56" s="1"/>
      <c r="V56" s="5">
        <f t="shared" si="33"/>
        <v>7.7382305454414782E-2</v>
      </c>
      <c r="W56" s="1"/>
      <c r="X56" s="1">
        <f t="shared" si="34"/>
        <v>-41927.530000000028</v>
      </c>
      <c r="Y56" s="1"/>
      <c r="Z56" s="5">
        <f t="shared" si="35"/>
        <v>-0.1254088365525991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6">
        <v>8698.56</v>
      </c>
      <c r="E57" s="2"/>
      <c r="F57" s="7">
        <f t="shared" si="28"/>
        <v>7.0970311712415288E-2</v>
      </c>
      <c r="G57" s="2"/>
      <c r="H57" s="6">
        <v>19871.64</v>
      </c>
      <c r="I57" s="2"/>
      <c r="J57" s="7">
        <f t="shared" si="29"/>
        <v>7.8397886185526955E-2</v>
      </c>
      <c r="K57" s="2"/>
      <c r="L57" s="6">
        <f t="shared" si="30"/>
        <v>-11173.08</v>
      </c>
      <c r="M57" s="2"/>
      <c r="N57" s="7">
        <f t="shared" si="31"/>
        <v>-0.56226260137562878</v>
      </c>
      <c r="O57" s="11"/>
      <c r="P57" s="6">
        <v>292399.23</v>
      </c>
      <c r="Q57" s="2"/>
      <c r="R57" s="7">
        <f t="shared" si="32"/>
        <v>7.722851801963572E-2</v>
      </c>
      <c r="S57" s="2"/>
      <c r="T57" s="6">
        <v>334326.76</v>
      </c>
      <c r="U57" s="2"/>
      <c r="V57" s="7">
        <f t="shared" si="33"/>
        <v>7.7382305454414782E-2</v>
      </c>
      <c r="W57" s="2"/>
      <c r="X57" s="6">
        <f t="shared" si="34"/>
        <v>-41927.530000000028</v>
      </c>
      <c r="Y57" s="2"/>
      <c r="Z57" s="7">
        <f t="shared" si="35"/>
        <v>-0.1254088365525991</v>
      </c>
    </row>
    <row r="58" spans="1:26" s="27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0</v>
      </c>
      <c r="E58" s="1"/>
      <c r="F58" s="5">
        <f t="shared" si="28"/>
        <v>0</v>
      </c>
      <c r="G58" s="1"/>
      <c r="H58" s="1">
        <f>SUM(OSRRefH22_10x_0)</f>
        <v>10343.25</v>
      </c>
      <c r="I58" s="1"/>
      <c r="J58" s="5">
        <f t="shared" si="29"/>
        <v>4.0806341916844895E-2</v>
      </c>
      <c r="K58" s="1"/>
      <c r="L58" s="1">
        <f t="shared" si="30"/>
        <v>-10343.25</v>
      </c>
      <c r="M58" s="1"/>
      <c r="N58" s="5">
        <f t="shared" si="31"/>
        <v>-1</v>
      </c>
      <c r="O58" s="13"/>
      <c r="P58" s="1">
        <f>SUM(OSRRefP22_10x_0)</f>
        <v>8602.7200000000012</v>
      </c>
      <c r="Q58" s="1"/>
      <c r="R58" s="5">
        <f t="shared" si="32"/>
        <v>2.2721513888319085E-3</v>
      </c>
      <c r="S58" s="1"/>
      <c r="T58" s="1">
        <f>SUM(OSRRefT22_10x_0)</f>
        <v>19821.410000000003</v>
      </c>
      <c r="U58" s="1"/>
      <c r="V58" s="5">
        <f t="shared" si="33"/>
        <v>4.5878062622243939E-3</v>
      </c>
      <c r="W58" s="1"/>
      <c r="X58" s="1">
        <f t="shared" si="34"/>
        <v>-11218.690000000002</v>
      </c>
      <c r="Y58" s="1"/>
      <c r="Z58" s="5">
        <f t="shared" si="35"/>
        <v>-0.56598849425949016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28"/>
        <v>0</v>
      </c>
      <c r="G59" s="2"/>
      <c r="H59" s="6">
        <v>10343.25</v>
      </c>
      <c r="I59" s="2"/>
      <c r="J59" s="7">
        <f t="shared" si="29"/>
        <v>4.0806341916844895E-2</v>
      </c>
      <c r="K59" s="2"/>
      <c r="L59" s="6">
        <f t="shared" si="30"/>
        <v>-10343.25</v>
      </c>
      <c r="M59" s="2"/>
      <c r="N59" s="7">
        <f t="shared" si="31"/>
        <v>-1</v>
      </c>
      <c r="O59" s="11"/>
      <c r="P59" s="6">
        <v>8238.75</v>
      </c>
      <c r="Q59" s="2"/>
      <c r="R59" s="7">
        <f t="shared" si="32"/>
        <v>2.1760195908664803E-3</v>
      </c>
      <c r="S59" s="2"/>
      <c r="T59" s="6">
        <v>19293.670000000002</v>
      </c>
      <c r="U59" s="2"/>
      <c r="V59" s="7">
        <f t="shared" si="33"/>
        <v>4.4656570873258215E-3</v>
      </c>
      <c r="W59" s="2"/>
      <c r="X59" s="6">
        <f t="shared" si="34"/>
        <v>-11054.920000000002</v>
      </c>
      <c r="Y59" s="2"/>
      <c r="Z59" s="7">
        <f t="shared" si="35"/>
        <v>-0.57298170850854191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212.19</v>
      </c>
      <c r="Q60" s="2"/>
      <c r="R60" s="7">
        <f t="shared" si="32"/>
        <v>5.6043647032129683E-5</v>
      </c>
      <c r="S60" s="2"/>
      <c r="T60" s="6">
        <v>202.41</v>
      </c>
      <c r="U60" s="2"/>
      <c r="V60" s="7">
        <f t="shared" si="33"/>
        <v>4.6849233507446714E-5</v>
      </c>
      <c r="W60" s="2"/>
      <c r="X60" s="6">
        <f t="shared" si="34"/>
        <v>9.7800000000000011</v>
      </c>
      <c r="Y60" s="2"/>
      <c r="Z60" s="7">
        <f t="shared" si="35"/>
        <v>4.8317770861123467E-2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151.78</v>
      </c>
      <c r="Q61" s="2"/>
      <c r="R61" s="7">
        <f t="shared" si="32"/>
        <v>4.0088150933298662E-5</v>
      </c>
      <c r="S61" s="2"/>
      <c r="T61" s="6">
        <v>325.33</v>
      </c>
      <c r="U61" s="2"/>
      <c r="V61" s="7">
        <f t="shared" si="33"/>
        <v>7.529994139112514E-5</v>
      </c>
      <c r="W61" s="2"/>
      <c r="X61" s="6">
        <f t="shared" si="34"/>
        <v>-173.54999999999998</v>
      </c>
      <c r="Y61" s="2"/>
      <c r="Z61" s="7">
        <f t="shared" si="35"/>
        <v>-0.5334583346140841</v>
      </c>
    </row>
    <row r="62" spans="1:26" s="27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6149.37</v>
      </c>
      <c r="E62" s="1"/>
      <c r="F62" s="5">
        <f t="shared" ref="F62:F65" si="36">IF(D$12=0,0,D62/D$12)</f>
        <v>5.0171833698333425E-2</v>
      </c>
      <c r="G62" s="1"/>
      <c r="H62" s="1">
        <f>SUM(OSRRefH22_11x_0)</f>
        <v>5833.7</v>
      </c>
      <c r="I62" s="1"/>
      <c r="J62" s="5">
        <f t="shared" ref="J62:J65" si="37">IF(H$12=0,0,H62/H$12)</f>
        <v>2.3015198979073122E-2</v>
      </c>
      <c r="K62" s="1"/>
      <c r="L62" s="1">
        <f t="shared" ref="L62:L65" si="38">+D62-H62</f>
        <v>315.67000000000007</v>
      </c>
      <c r="M62" s="1"/>
      <c r="N62" s="5">
        <f t="shared" ref="N62:N65" si="39">IF(H62=0,0,L62/H62)</f>
        <v>5.4111455851346503E-2</v>
      </c>
      <c r="O62" s="13"/>
      <c r="P62" s="1">
        <f>SUM(OSRRefP22_11x_0)</f>
        <v>70846.14</v>
      </c>
      <c r="Q62" s="1"/>
      <c r="R62" s="5">
        <f t="shared" ref="R62:R65" si="40">IF(P$12=0,0,P62/P$12)</f>
        <v>1.8711890587439765E-2</v>
      </c>
      <c r="S62" s="1"/>
      <c r="T62" s="1">
        <f>SUM(OSRRefT22_11x_0)</f>
        <v>65226.259999999995</v>
      </c>
      <c r="U62" s="1"/>
      <c r="V62" s="5">
        <f t="shared" ref="V62:V65" si="41">IF(T$12=0,0,T62/T$12)</f>
        <v>1.5097081594572556E-2</v>
      </c>
      <c r="W62" s="1"/>
      <c r="X62" s="1">
        <f t="shared" ref="X62:X65" si="42">+P62-T62</f>
        <v>5619.8800000000047</v>
      </c>
      <c r="Y62" s="1"/>
      <c r="Z62" s="5">
        <f t="shared" ref="Z62:Z65" si="43">IF(T62=0,0,X62/T62)</f>
        <v>8.615977675249209E-2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417.32</v>
      </c>
      <c r="E63" s="2"/>
      <c r="F63" s="7">
        <f t="shared" si="36"/>
        <v>3.404854422321068E-3</v>
      </c>
      <c r="G63" s="2"/>
      <c r="H63" s="6">
        <v>834.64</v>
      </c>
      <c r="I63" s="2"/>
      <c r="J63" s="7">
        <f t="shared" si="37"/>
        <v>3.2928339948735089E-3</v>
      </c>
      <c r="K63" s="2"/>
      <c r="L63" s="6">
        <f t="shared" si="38"/>
        <v>-417.32</v>
      </c>
      <c r="M63" s="2"/>
      <c r="N63" s="7">
        <f t="shared" si="39"/>
        <v>-0.5</v>
      </c>
      <c r="O63" s="11"/>
      <c r="P63" s="6">
        <v>5127.84</v>
      </c>
      <c r="Q63" s="2"/>
      <c r="R63" s="7">
        <f t="shared" si="40"/>
        <v>1.3543656864000936E-3</v>
      </c>
      <c r="S63" s="2"/>
      <c r="T63" s="6">
        <v>4590.5200000000004</v>
      </c>
      <c r="U63" s="2"/>
      <c r="V63" s="7">
        <f t="shared" si="41"/>
        <v>1.0625084897021111E-3</v>
      </c>
      <c r="W63" s="2"/>
      <c r="X63" s="6">
        <f t="shared" si="42"/>
        <v>537.31999999999971</v>
      </c>
      <c r="Y63" s="2"/>
      <c r="Z63" s="7">
        <f t="shared" si="43"/>
        <v>0.11704992027047037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5732.05</v>
      </c>
      <c r="E64" s="2"/>
      <c r="F64" s="7">
        <f t="shared" si="36"/>
        <v>4.6766979276012359E-2</v>
      </c>
      <c r="G64" s="2"/>
      <c r="H64" s="6">
        <v>3882.07</v>
      </c>
      <c r="I64" s="2"/>
      <c r="J64" s="7">
        <f t="shared" si="37"/>
        <v>1.5315599619570838E-2</v>
      </c>
      <c r="K64" s="2"/>
      <c r="L64" s="6">
        <f t="shared" si="38"/>
        <v>1849.98</v>
      </c>
      <c r="M64" s="2"/>
      <c r="N64" s="7">
        <f t="shared" si="39"/>
        <v>0.47654473000229258</v>
      </c>
      <c r="O64" s="11"/>
      <c r="P64" s="6">
        <v>48799.03</v>
      </c>
      <c r="Q64" s="2"/>
      <c r="R64" s="7">
        <f t="shared" si="40"/>
        <v>1.2888805376456512E-2</v>
      </c>
      <c r="S64" s="2"/>
      <c r="T64" s="6">
        <v>43833.009999999995</v>
      </c>
      <c r="U64" s="2"/>
      <c r="V64" s="7">
        <f t="shared" si="41"/>
        <v>1.014546178955707E-2</v>
      </c>
      <c r="W64" s="2"/>
      <c r="X64" s="6">
        <f t="shared" si="42"/>
        <v>4966.0200000000041</v>
      </c>
      <c r="Y64" s="2"/>
      <c r="Z64" s="7">
        <f t="shared" si="43"/>
        <v>0.11329406764445345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/>
      <c r="E65" s="2"/>
      <c r="F65" s="7">
        <f t="shared" si="36"/>
        <v>0</v>
      </c>
      <c r="G65" s="2"/>
      <c r="H65" s="6">
        <v>1116.99</v>
      </c>
      <c r="I65" s="2"/>
      <c r="J65" s="7">
        <f t="shared" si="37"/>
        <v>4.4067653646287751E-3</v>
      </c>
      <c r="K65" s="2"/>
      <c r="L65" s="6">
        <f t="shared" si="38"/>
        <v>-1116.99</v>
      </c>
      <c r="M65" s="2"/>
      <c r="N65" s="7">
        <f t="shared" si="39"/>
        <v>-1</v>
      </c>
      <c r="O65" s="11"/>
      <c r="P65" s="6">
        <v>16919.27</v>
      </c>
      <c r="Q65" s="2"/>
      <c r="R65" s="7">
        <f t="shared" si="40"/>
        <v>4.4687195245831602E-3</v>
      </c>
      <c r="S65" s="2"/>
      <c r="T65" s="6">
        <v>16802.73</v>
      </c>
      <c r="U65" s="2"/>
      <c r="V65" s="7">
        <f t="shared" si="41"/>
        <v>3.8891113153133746E-3</v>
      </c>
      <c r="W65" s="2"/>
      <c r="X65" s="6">
        <f t="shared" si="42"/>
        <v>116.54000000000087</v>
      </c>
      <c r="Y65" s="2"/>
      <c r="Z65" s="7">
        <f t="shared" si="43"/>
        <v>6.9357776980288844E-3</v>
      </c>
    </row>
    <row r="66" spans="1:26" s="27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2874.1499999999996</v>
      </c>
      <c r="E66" s="1"/>
      <c r="F66" s="5">
        <f t="shared" ref="F66:F74" si="44">IF(D$12=0,0,D66/D$12)</f>
        <v>2.344978035539657E-2</v>
      </c>
      <c r="G66" s="1"/>
      <c r="H66" s="1">
        <f>SUM(OSRRefH22_12x_0)</f>
        <v>3285.63</v>
      </c>
      <c r="I66" s="1"/>
      <c r="J66" s="5">
        <f t="shared" ref="J66:J74" si="45">IF(H$12=0,0,H66/H$12)</f>
        <v>1.2962515765571081E-2</v>
      </c>
      <c r="K66" s="1"/>
      <c r="L66" s="1">
        <f t="shared" ref="L66:L74" si="46">+D66-H66</f>
        <v>-411.48000000000047</v>
      </c>
      <c r="M66" s="1"/>
      <c r="N66" s="5">
        <f t="shared" ref="N66:N74" si="47">IF(H66=0,0,L66/H66)</f>
        <v>-0.12523625606048169</v>
      </c>
      <c r="O66" s="13"/>
      <c r="P66" s="1">
        <f>SUM(OSRRefP22_12x_0)</f>
        <v>66339.86</v>
      </c>
      <c r="Q66" s="1"/>
      <c r="R66" s="5">
        <f t="shared" ref="R66:R74" si="48">IF(P$12=0,0,P66/P$12)</f>
        <v>1.7521691399221918E-2</v>
      </c>
      <c r="S66" s="1"/>
      <c r="T66" s="1">
        <f>SUM(OSRRefT22_12x_0)</f>
        <v>78395.76999999999</v>
      </c>
      <c r="U66" s="1"/>
      <c r="V66" s="5">
        <f t="shared" ref="V66:V74" si="49">IF(T$12=0,0,T66/T$12)</f>
        <v>1.814525831098308E-2</v>
      </c>
      <c r="W66" s="1"/>
      <c r="X66" s="1">
        <f t="shared" ref="X66:X74" si="50">+P66-T66</f>
        <v>-12055.909999999989</v>
      </c>
      <c r="Y66" s="1"/>
      <c r="Z66" s="5">
        <f t="shared" ref="Z66:Z74" si="51">IF(T66=0,0,X66/T66)</f>
        <v>-0.15378265944705932</v>
      </c>
    </row>
    <row r="67" spans="1:26" s="24" customFormat="1" hidden="1" outlineLevel="2" x14ac:dyDescent="0.25">
      <c r="A67" s="26"/>
      <c r="B67" s="11" t="str">
        <f>CONCATENATE("          ", "6235", " - ", "COVID-19 EXPENSES")</f>
        <v xml:space="preserve">          6235 - COVID-19 EXPENSES</v>
      </c>
      <c r="C67" s="11"/>
      <c r="D67" s="6">
        <v>326.83</v>
      </c>
      <c r="E67" s="2"/>
      <c r="F67" s="7">
        <f t="shared" si="44"/>
        <v>2.666559404886405E-3</v>
      </c>
      <c r="G67" s="2"/>
      <c r="H67" s="6"/>
      <c r="I67" s="2"/>
      <c r="J67" s="7">
        <f t="shared" si="45"/>
        <v>0</v>
      </c>
      <c r="K67" s="2"/>
      <c r="L67" s="6">
        <f t="shared" si="46"/>
        <v>326.83</v>
      </c>
      <c r="M67" s="2"/>
      <c r="N67" s="7">
        <f t="shared" si="47"/>
        <v>0</v>
      </c>
      <c r="O67" s="11"/>
      <c r="P67" s="6">
        <v>326.83</v>
      </c>
      <c r="Q67" s="2"/>
      <c r="R67" s="7">
        <f t="shared" si="48"/>
        <v>8.6322376924034795E-5</v>
      </c>
      <c r="S67" s="2"/>
      <c r="T67" s="6"/>
      <c r="U67" s="2"/>
      <c r="V67" s="7">
        <f t="shared" si="49"/>
        <v>0</v>
      </c>
      <c r="W67" s="2"/>
      <c r="X67" s="6">
        <f t="shared" si="50"/>
        <v>326.83</v>
      </c>
      <c r="Y67" s="2"/>
      <c r="Z67" s="7">
        <f t="shared" si="51"/>
        <v>0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>
        <v>1075.9100000000001</v>
      </c>
      <c r="E68" s="2"/>
      <c r="F68" s="7">
        <f t="shared" si="44"/>
        <v>8.7781963996919881E-3</v>
      </c>
      <c r="G68" s="2"/>
      <c r="H68" s="6">
        <v>1468.82</v>
      </c>
      <c r="I68" s="2"/>
      <c r="J68" s="7">
        <f t="shared" si="45"/>
        <v>5.7948102515457053E-3</v>
      </c>
      <c r="K68" s="2"/>
      <c r="L68" s="6">
        <f t="shared" si="46"/>
        <v>-392.90999999999985</v>
      </c>
      <c r="M68" s="2"/>
      <c r="N68" s="7">
        <f t="shared" si="47"/>
        <v>-0.26750044253210054</v>
      </c>
      <c r="O68" s="11"/>
      <c r="P68" s="6">
        <v>27485.5</v>
      </c>
      <c r="Q68" s="2"/>
      <c r="R68" s="7">
        <f t="shared" si="48"/>
        <v>7.2594733988482034E-3</v>
      </c>
      <c r="S68" s="2"/>
      <c r="T68" s="6">
        <v>36964.899999999994</v>
      </c>
      <c r="U68" s="2"/>
      <c r="V68" s="7">
        <f t="shared" si="49"/>
        <v>8.5557889021264603E-3</v>
      </c>
      <c r="W68" s="2"/>
      <c r="X68" s="6">
        <f t="shared" si="50"/>
        <v>-9479.3999999999942</v>
      </c>
      <c r="Y68" s="2"/>
      <c r="Z68" s="7">
        <f t="shared" si="51"/>
        <v>-0.25644327456587185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>
        <v>50</v>
      </c>
      <c r="E69" s="2"/>
      <c r="F69" s="7">
        <f t="shared" si="44"/>
        <v>4.079428762485704E-4</v>
      </c>
      <c r="G69" s="2"/>
      <c r="H69" s="6">
        <v>315.51</v>
      </c>
      <c r="I69" s="2"/>
      <c r="J69" s="7">
        <f t="shared" si="45"/>
        <v>1.2447546891145174E-3</v>
      </c>
      <c r="K69" s="2"/>
      <c r="L69" s="6">
        <f t="shared" si="46"/>
        <v>-265.51</v>
      </c>
      <c r="M69" s="2"/>
      <c r="N69" s="7">
        <f t="shared" si="47"/>
        <v>-0.84152641754619506</v>
      </c>
      <c r="O69" s="11"/>
      <c r="P69" s="6">
        <v>5725.04</v>
      </c>
      <c r="Q69" s="2"/>
      <c r="R69" s="7">
        <f t="shared" si="48"/>
        <v>1.5120982186004228E-3</v>
      </c>
      <c r="S69" s="2"/>
      <c r="T69" s="6">
        <v>7623.08</v>
      </c>
      <c r="U69" s="2"/>
      <c r="V69" s="7">
        <f t="shared" si="49"/>
        <v>1.7644160612911759E-3</v>
      </c>
      <c r="W69" s="2"/>
      <c r="X69" s="6">
        <f t="shared" si="50"/>
        <v>-1898.04</v>
      </c>
      <c r="Y69" s="2"/>
      <c r="Z69" s="7">
        <f t="shared" si="51"/>
        <v>-0.24898597417316884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159.30000000000001</v>
      </c>
      <c r="E70" s="2"/>
      <c r="F70" s="7">
        <f t="shared" si="44"/>
        <v>1.2997060037279453E-3</v>
      </c>
      <c r="G70" s="2"/>
      <c r="H70" s="6">
        <v>29</v>
      </c>
      <c r="I70" s="2"/>
      <c r="J70" s="7">
        <f t="shared" si="45"/>
        <v>1.144112262188869E-4</v>
      </c>
      <c r="K70" s="2"/>
      <c r="L70" s="6">
        <f t="shared" si="46"/>
        <v>130.30000000000001</v>
      </c>
      <c r="M70" s="2"/>
      <c r="N70" s="7">
        <f t="shared" si="47"/>
        <v>4.4931034482758623</v>
      </c>
      <c r="O70" s="11"/>
      <c r="P70" s="6">
        <v>2608.59</v>
      </c>
      <c r="Q70" s="2"/>
      <c r="R70" s="7">
        <f t="shared" si="48"/>
        <v>6.8898108870136751E-4</v>
      </c>
      <c r="S70" s="2"/>
      <c r="T70" s="6">
        <v>3815.26</v>
      </c>
      <c r="U70" s="2"/>
      <c r="V70" s="7">
        <f t="shared" si="49"/>
        <v>8.8306905109244191E-4</v>
      </c>
      <c r="W70" s="2"/>
      <c r="X70" s="6">
        <f t="shared" si="50"/>
        <v>-1206.67</v>
      </c>
      <c r="Y70" s="2"/>
      <c r="Z70" s="7">
        <f t="shared" si="51"/>
        <v>-0.31627464445411324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>
        <v>1262.1099999999999</v>
      </c>
      <c r="E71" s="2"/>
      <c r="F71" s="7">
        <f t="shared" si="44"/>
        <v>1.0297375670841663E-2</v>
      </c>
      <c r="G71" s="2"/>
      <c r="H71" s="6">
        <v>1472.3</v>
      </c>
      <c r="I71" s="2"/>
      <c r="J71" s="7">
        <f t="shared" si="45"/>
        <v>5.8085395986919716E-3</v>
      </c>
      <c r="K71" s="2"/>
      <c r="L71" s="6">
        <f t="shared" si="46"/>
        <v>-210.19000000000005</v>
      </c>
      <c r="M71" s="2"/>
      <c r="N71" s="7">
        <f t="shared" si="47"/>
        <v>-0.14276302384025</v>
      </c>
      <c r="O71" s="11"/>
      <c r="P71" s="6">
        <v>26148.769999999997</v>
      </c>
      <c r="Q71" s="2"/>
      <c r="R71" s="7">
        <f t="shared" si="48"/>
        <v>6.9064161185934374E-3</v>
      </c>
      <c r="S71" s="2"/>
      <c r="T71" s="6">
        <v>25152.02</v>
      </c>
      <c r="U71" s="2"/>
      <c r="V71" s="7">
        <f t="shared" si="49"/>
        <v>5.8216138439996538E-3</v>
      </c>
      <c r="W71" s="2"/>
      <c r="X71" s="6">
        <f t="shared" si="50"/>
        <v>996.74999999999636</v>
      </c>
      <c r="Y71" s="2"/>
      <c r="Z71" s="7">
        <f t="shared" si="51"/>
        <v>3.9629023831882937E-2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441</v>
      </c>
      <c r="Q72" s="2"/>
      <c r="R72" s="7">
        <f t="shared" si="48"/>
        <v>1.1647697036226584E-4</v>
      </c>
      <c r="S72" s="2"/>
      <c r="T72" s="6">
        <v>1522.08</v>
      </c>
      <c r="U72" s="2"/>
      <c r="V72" s="7">
        <f t="shared" si="49"/>
        <v>3.5229623702887454E-4</v>
      </c>
      <c r="W72" s="2"/>
      <c r="X72" s="6">
        <f t="shared" si="50"/>
        <v>-1081.08</v>
      </c>
      <c r="Y72" s="2"/>
      <c r="Z72" s="7">
        <f t="shared" si="51"/>
        <v>-0.71026490066225167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82.5</v>
      </c>
      <c r="Q73" s="2"/>
      <c r="R73" s="7">
        <f t="shared" si="48"/>
        <v>2.1789909421512317E-5</v>
      </c>
      <c r="S73" s="2"/>
      <c r="T73" s="6"/>
      <c r="U73" s="2"/>
      <c r="V73" s="7">
        <f t="shared" si="49"/>
        <v>0</v>
      </c>
      <c r="W73" s="2"/>
      <c r="X73" s="6">
        <f t="shared" si="50"/>
        <v>82.5</v>
      </c>
      <c r="Y73" s="2"/>
      <c r="Z73" s="7">
        <f t="shared" si="51"/>
        <v>0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3521.63</v>
      </c>
      <c r="Q74" s="2"/>
      <c r="R74" s="7">
        <f t="shared" si="48"/>
        <v>9.3013331777067184E-4</v>
      </c>
      <c r="S74" s="2"/>
      <c r="T74" s="6">
        <v>3318.43</v>
      </c>
      <c r="U74" s="2"/>
      <c r="V74" s="7">
        <f t="shared" si="49"/>
        <v>7.6807421544447605E-4</v>
      </c>
      <c r="W74" s="2"/>
      <c r="X74" s="6">
        <f t="shared" si="50"/>
        <v>203.20000000000027</v>
      </c>
      <c r="Y74" s="2"/>
      <c r="Z74" s="7">
        <f t="shared" si="51"/>
        <v>6.1233776213450421E-2</v>
      </c>
    </row>
    <row r="75" spans="1:26" s="27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134</v>
      </c>
      <c r="E75" s="1"/>
      <c r="F75" s="5">
        <f t="shared" ref="F75:F81" si="52">IF(D$12=0,0,D75/D$12)</f>
        <v>1.0932869083461686E-3</v>
      </c>
      <c r="G75" s="1"/>
      <c r="H75" s="1">
        <f>SUM(OSRRefH22_13x_0)</f>
        <v>173.35</v>
      </c>
      <c r="I75" s="1"/>
      <c r="J75" s="5">
        <f t="shared" ref="J75:J81" si="53">IF(H$12=0,0,H75/H$12)</f>
        <v>6.839029677601394E-4</v>
      </c>
      <c r="K75" s="1"/>
      <c r="L75" s="1">
        <f t="shared" ref="L75:L81" si="54">+D75-H75</f>
        <v>-39.349999999999994</v>
      </c>
      <c r="M75" s="1"/>
      <c r="N75" s="5">
        <f t="shared" ref="N75:N81" si="55">IF(H75=0,0,L75/H75)</f>
        <v>-0.22699740409576</v>
      </c>
      <c r="O75" s="13"/>
      <c r="P75" s="1">
        <f>SUM(OSRRefP22_13x_0)</f>
        <v>1972.85</v>
      </c>
      <c r="Q75" s="1"/>
      <c r="R75" s="5">
        <f t="shared" ref="R75:R81" si="56">IF(P$12=0,0,P75/P$12)</f>
        <v>5.2106936729976448E-4</v>
      </c>
      <c r="S75" s="1"/>
      <c r="T75" s="1">
        <f>SUM(OSRRefT22_13x_0)</f>
        <v>1946</v>
      </c>
      <c r="U75" s="1"/>
      <c r="V75" s="5">
        <f t="shared" ref="V75:V81" si="57">IF(T$12=0,0,T75/T$12)</f>
        <v>4.5041553483272223E-4</v>
      </c>
      <c r="W75" s="1"/>
      <c r="X75" s="1">
        <f t="shared" ref="X75:X81" si="58">+P75-T75</f>
        <v>26.849999999999909</v>
      </c>
      <c r="Y75" s="1"/>
      <c r="Z75" s="5">
        <f t="shared" ref="Z75:Z81" si="59">IF(T75=0,0,X75/T75)</f>
        <v>1.3797533401849901E-2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134</v>
      </c>
      <c r="E76" s="2"/>
      <c r="F76" s="7">
        <f t="shared" si="52"/>
        <v>1.0932869083461686E-3</v>
      </c>
      <c r="G76" s="2"/>
      <c r="H76" s="6">
        <v>173.35</v>
      </c>
      <c r="I76" s="2"/>
      <c r="J76" s="7">
        <f t="shared" si="53"/>
        <v>6.839029677601394E-4</v>
      </c>
      <c r="K76" s="2"/>
      <c r="L76" s="6">
        <f t="shared" si="54"/>
        <v>-39.349999999999994</v>
      </c>
      <c r="M76" s="2"/>
      <c r="N76" s="7">
        <f t="shared" si="55"/>
        <v>-0.22699740409576</v>
      </c>
      <c r="O76" s="11"/>
      <c r="P76" s="6">
        <v>1972.85</v>
      </c>
      <c r="Q76" s="2"/>
      <c r="R76" s="7">
        <f t="shared" si="56"/>
        <v>5.2106936729976448E-4</v>
      </c>
      <c r="S76" s="2"/>
      <c r="T76" s="6">
        <v>1946</v>
      </c>
      <c r="U76" s="2"/>
      <c r="V76" s="7">
        <f t="shared" si="57"/>
        <v>4.5041553483272223E-4</v>
      </c>
      <c r="W76" s="2"/>
      <c r="X76" s="6">
        <f t="shared" si="58"/>
        <v>26.849999999999909</v>
      </c>
      <c r="Y76" s="2"/>
      <c r="Z76" s="7">
        <f t="shared" si="59"/>
        <v>1.3797533401849901E-2</v>
      </c>
    </row>
    <row r="77" spans="1:26" s="27" customFormat="1" outlineLevel="1" collapsed="1" x14ac:dyDescent="0.25">
      <c r="A77" s="25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0</v>
      </c>
      <c r="E77" s="1"/>
      <c r="F77" s="5">
        <f t="shared" si="52"/>
        <v>0</v>
      </c>
      <c r="G77" s="1"/>
      <c r="H77" s="1">
        <f>SUM(OSRRefH22_14x_0)</f>
        <v>80</v>
      </c>
      <c r="I77" s="1"/>
      <c r="J77" s="5">
        <f t="shared" si="53"/>
        <v>3.1561717577623973E-4</v>
      </c>
      <c r="K77" s="1"/>
      <c r="L77" s="1">
        <f t="shared" si="54"/>
        <v>-80</v>
      </c>
      <c r="M77" s="1"/>
      <c r="N77" s="5">
        <f t="shared" si="55"/>
        <v>-1</v>
      </c>
      <c r="O77" s="13"/>
      <c r="P77" s="1">
        <f>SUM(OSRRefP22_14x_0)</f>
        <v>678.48</v>
      </c>
      <c r="Q77" s="1"/>
      <c r="R77" s="5">
        <f t="shared" si="56"/>
        <v>1.792002150825173E-4</v>
      </c>
      <c r="S77" s="1"/>
      <c r="T77" s="1">
        <f>SUM(OSRRefT22_14x_0)</f>
        <v>1662.37</v>
      </c>
      <c r="U77" s="1"/>
      <c r="V77" s="5">
        <f t="shared" si="57"/>
        <v>3.8476735490229825E-4</v>
      </c>
      <c r="W77" s="1"/>
      <c r="X77" s="1">
        <f t="shared" si="58"/>
        <v>-983.88999999999987</v>
      </c>
      <c r="Y77" s="1"/>
      <c r="Z77" s="5">
        <f t="shared" si="59"/>
        <v>-0.59185981460204407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52"/>
        <v>0</v>
      </c>
      <c r="G78" s="2"/>
      <c r="H78" s="6">
        <v>80</v>
      </c>
      <c r="I78" s="2"/>
      <c r="J78" s="7">
        <f t="shared" si="53"/>
        <v>3.1561717577623973E-4</v>
      </c>
      <c r="K78" s="2"/>
      <c r="L78" s="6">
        <f t="shared" si="54"/>
        <v>-80</v>
      </c>
      <c r="M78" s="2"/>
      <c r="N78" s="7">
        <f t="shared" si="55"/>
        <v>-1</v>
      </c>
      <c r="O78" s="11"/>
      <c r="P78" s="6">
        <v>678.48</v>
      </c>
      <c r="Q78" s="2"/>
      <c r="R78" s="7">
        <f t="shared" si="56"/>
        <v>1.792002150825173E-4</v>
      </c>
      <c r="S78" s="2"/>
      <c r="T78" s="6">
        <v>1662.37</v>
      </c>
      <c r="U78" s="2"/>
      <c r="V78" s="7">
        <f t="shared" si="57"/>
        <v>3.8476735490229825E-4</v>
      </c>
      <c r="W78" s="2"/>
      <c r="X78" s="6">
        <f t="shared" si="58"/>
        <v>-983.88999999999987</v>
      </c>
      <c r="Y78" s="2"/>
      <c r="Z78" s="7">
        <f t="shared" si="59"/>
        <v>-0.59185981460204407</v>
      </c>
    </row>
    <row r="79" spans="1:26" s="27" customFormat="1" outlineLevel="1" collapsed="1" x14ac:dyDescent="0.25">
      <c r="A79" s="25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SUM(OSRRefD22_15x_0)</f>
        <v>0</v>
      </c>
      <c r="E79" s="1"/>
      <c r="F79" s="5">
        <f t="shared" si="52"/>
        <v>0</v>
      </c>
      <c r="G79" s="1"/>
      <c r="H79" s="1">
        <f>SUM(OSRRefH22_15x_0)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3"/>
      <c r="P79" s="1">
        <f>SUM(OSRRefP22_15x_0)</f>
        <v>1429.86</v>
      </c>
      <c r="Q79" s="1"/>
      <c r="R79" s="5">
        <f t="shared" si="56"/>
        <v>3.7765478649022543E-4</v>
      </c>
      <c r="S79" s="1"/>
      <c r="T79" s="1">
        <f>SUM(OSRRefT22_15x_0)</f>
        <v>408.5</v>
      </c>
      <c r="U79" s="1"/>
      <c r="V79" s="5">
        <f t="shared" si="57"/>
        <v>9.4550229177372576E-5</v>
      </c>
      <c r="W79" s="1"/>
      <c r="X79" s="1">
        <f t="shared" si="58"/>
        <v>1021.3599999999999</v>
      </c>
      <c r="Y79" s="1"/>
      <c r="Z79" s="5">
        <f t="shared" si="59"/>
        <v>2.5002692778457769</v>
      </c>
    </row>
    <row r="80" spans="1:26" s="24" customFormat="1" hidden="1" outlineLevel="2" x14ac:dyDescent="0.25">
      <c r="A80" s="26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1429.86</v>
      </c>
      <c r="Q80" s="2"/>
      <c r="R80" s="7">
        <f t="shared" si="56"/>
        <v>3.7765478649022543E-4</v>
      </c>
      <c r="S80" s="2"/>
      <c r="T80" s="6"/>
      <c r="U80" s="2"/>
      <c r="V80" s="7">
        <f t="shared" si="57"/>
        <v>0</v>
      </c>
      <c r="W80" s="2"/>
      <c r="X80" s="6">
        <f t="shared" si="58"/>
        <v>1429.86</v>
      </c>
      <c r="Y80" s="2"/>
      <c r="Z80" s="7">
        <f t="shared" si="59"/>
        <v>0</v>
      </c>
    </row>
    <row r="81" spans="1:26" s="24" customFormat="1" hidden="1" outlineLevel="2" x14ac:dyDescent="0.25">
      <c r="A81" s="26"/>
      <c r="B81" s="11" t="str">
        <f>CONCATENATE("          ", "6294", " - ", "TRAVEL OPERATIONAL")</f>
        <v xml:space="preserve">          6294 - TRAVEL OPERATIONAL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/>
      <c r="Q81" s="2"/>
      <c r="R81" s="7">
        <f t="shared" si="56"/>
        <v>0</v>
      </c>
      <c r="S81" s="2"/>
      <c r="T81" s="6">
        <v>408.5</v>
      </c>
      <c r="U81" s="2"/>
      <c r="V81" s="7">
        <f t="shared" si="57"/>
        <v>9.4550229177372576E-5</v>
      </c>
      <c r="W81" s="2"/>
      <c r="X81" s="6">
        <f t="shared" si="58"/>
        <v>-408.5</v>
      </c>
      <c r="Y81" s="2"/>
      <c r="Z81" s="7">
        <f t="shared" si="59"/>
        <v>-1</v>
      </c>
    </row>
    <row r="82" spans="1:26" s="58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+D22-D24+D83</f>
        <v>24979.839999999982</v>
      </c>
      <c r="E85" s="14"/>
      <c r="F85" s="20">
        <f>IF(D$12=0,0,D85/D$12)</f>
        <v>0.20380695555658163</v>
      </c>
      <c r="G85" s="14"/>
      <c r="H85" s="21">
        <f>+H22-H24+H83</f>
        <v>46493.629999999976</v>
      </c>
      <c r="I85" s="14"/>
      <c r="J85" s="20">
        <f>IF(H$12=0,0,H85/H$12)</f>
        <v>0.18342735240231806</v>
      </c>
      <c r="K85" s="16"/>
      <c r="L85" s="21">
        <f>+D85-H85</f>
        <v>-21513.789999999994</v>
      </c>
      <c r="M85" s="16"/>
      <c r="N85" s="20">
        <f>IF(H85=0,0,L85/H85)</f>
        <v>-0.46272553896092872</v>
      </c>
      <c r="O85" s="28"/>
      <c r="P85" s="21">
        <f>+P22-P24+P83</f>
        <v>1203892.6600000001</v>
      </c>
      <c r="Q85" s="14"/>
      <c r="R85" s="20">
        <f>IF(P$12=0,0,P85/P$12)</f>
        <v>0.31797226684392155</v>
      </c>
      <c r="S85" s="14"/>
      <c r="T85" s="21">
        <f>+T22-T24+T83</f>
        <v>1540416.2399999995</v>
      </c>
      <c r="U85" s="14"/>
      <c r="V85" s="20">
        <f>IF(T$12=0,0,T85/T$12)</f>
        <v>0.35654029013597677</v>
      </c>
      <c r="W85" s="16"/>
      <c r="X85" s="21">
        <f>+P85-T85</f>
        <v>-336523.57999999938</v>
      </c>
      <c r="Y85" s="16"/>
      <c r="Z85" s="20">
        <f>IF(T85=0,0,X85/T85)</f>
        <v>-0.21846275783225932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32365.599999999999</v>
      </c>
      <c r="E87" s="4"/>
      <c r="F87" s="12">
        <f>IF(D$12=0,0,D87/D$12)</f>
        <v>0.26406631911021461</v>
      </c>
      <c r="G87" s="4"/>
      <c r="H87" s="4">
        <v>26592.59</v>
      </c>
      <c r="I87" s="4"/>
      <c r="J87" s="12">
        <f>IF(H$12=0,0,H87/H$12)</f>
        <v>0.10491347690469344</v>
      </c>
      <c r="K87" s="4"/>
      <c r="L87" s="4">
        <f>+D87-H87</f>
        <v>5773.0099999999984</v>
      </c>
      <c r="M87" s="4"/>
      <c r="N87" s="12">
        <f>IF(H87=0,0,L87/H87)</f>
        <v>0.21709092645733261</v>
      </c>
      <c r="O87" s="10"/>
      <c r="P87" s="4">
        <v>448340.02</v>
      </c>
      <c r="Q87" s="4"/>
      <c r="R87" s="12">
        <f>IF(P$12=0,0,P87/P$12)</f>
        <v>0.11841561728289722</v>
      </c>
      <c r="S87" s="4"/>
      <c r="T87" s="4">
        <v>449390.28</v>
      </c>
      <c r="U87" s="4"/>
      <c r="V87" s="12">
        <f>IF(T$12=0,0,T87/T$12)</f>
        <v>0.10401457518747524</v>
      </c>
      <c r="W87" s="4"/>
      <c r="X87" s="4">
        <f>+P87-T87</f>
        <v>-1050.2600000000093</v>
      </c>
      <c r="Y87" s="4"/>
      <c r="Z87" s="12">
        <f>IF(T87=0,0,X87/T87)</f>
        <v>-2.3370776955834675E-3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-7385.7600000000166</v>
      </c>
      <c r="E89" s="14"/>
      <c r="F89" s="32">
        <f>IF(D$12=0,0,D89/D$12)</f>
        <v>-6.0259363553632962E-2</v>
      </c>
      <c r="G89" s="14"/>
      <c r="H89" s="35">
        <f>+H85-H87</f>
        <v>19901.039999999975</v>
      </c>
      <c r="I89" s="14"/>
      <c r="J89" s="32">
        <f>IF(H$12=0,0,H89/H$12)</f>
        <v>7.8513875497624619E-2</v>
      </c>
      <c r="K89" s="16"/>
      <c r="L89" s="35">
        <f>D89-H89</f>
        <v>-27286.799999999992</v>
      </c>
      <c r="M89" s="16"/>
      <c r="N89" s="32">
        <f>IF(H89=0,0,L89/H89)</f>
        <v>-1.3711243231509522</v>
      </c>
      <c r="O89" s="28"/>
      <c r="P89" s="35">
        <f>+P85-P87</f>
        <v>755552.64000000013</v>
      </c>
      <c r="Q89" s="14"/>
      <c r="R89" s="32">
        <f>IF(P$12=0,0,P89/P$12)</f>
        <v>0.19955664956102434</v>
      </c>
      <c r="S89" s="14"/>
      <c r="T89" s="35">
        <f>+T85-T87</f>
        <v>1091025.9599999995</v>
      </c>
      <c r="U89" s="14"/>
      <c r="V89" s="32">
        <f>IF(T$12=0,0,T89/T$12)</f>
        <v>0.25252571494850157</v>
      </c>
      <c r="W89" s="16"/>
      <c r="X89" s="35">
        <f>P89-T89</f>
        <v>-335473.31999999937</v>
      </c>
      <c r="Y89" s="16"/>
      <c r="Z89" s="32">
        <f>IF(T89=0,0,X89/T89)</f>
        <v>-0.30748426921023908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-7385.7600000000166</v>
      </c>
      <c r="E92" s="14"/>
      <c r="F92" s="33">
        <f>IF(D$12=0,0,D92/D$12)</f>
        <v>-6.0259363553632962E-2</v>
      </c>
      <c r="G92" s="14"/>
      <c r="H92" s="36">
        <f>SUM(H89:H91)</f>
        <v>19901.039999999975</v>
      </c>
      <c r="I92" s="14"/>
      <c r="J92" s="33">
        <f>IF(H$12=0,0,H92/H$12)</f>
        <v>7.8513875497624619E-2</v>
      </c>
      <c r="K92" s="16"/>
      <c r="L92" s="36">
        <f>+D92-H92</f>
        <v>-27286.799999999992</v>
      </c>
      <c r="M92" s="16"/>
      <c r="N92" s="33">
        <f>IF(H92=0,0,L92/H92)</f>
        <v>-1.3711243231509522</v>
      </c>
      <c r="O92" s="28"/>
      <c r="P92" s="36">
        <f>SUM(P89:P91)</f>
        <v>755552.64000000013</v>
      </c>
      <c r="Q92" s="14"/>
      <c r="R92" s="33">
        <f>IF(P$12=0,0,P92/P$12)</f>
        <v>0.19955664956102434</v>
      </c>
      <c r="S92" s="14"/>
      <c r="T92" s="36">
        <f>SUM(T89:T91)</f>
        <v>1091025.9599999995</v>
      </c>
      <c r="U92" s="14"/>
      <c r="V92" s="33">
        <f>IF(T$12=0,0,T92/T$12)</f>
        <v>0.25252571494850157</v>
      </c>
      <c r="W92" s="16"/>
      <c r="X92" s="36">
        <f>+P92-T92</f>
        <v>-335473.31999999937</v>
      </c>
      <c r="Y92" s="16"/>
      <c r="Z92" s="33">
        <f>IF(T92=0,0,X92/T92)</f>
        <v>-0.30748426921023908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>
        <v>43992.376085729164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3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746.97</v>
      </c>
      <c r="I12" s="4"/>
      <c r="J12" s="12"/>
      <c r="K12" s="4"/>
      <c r="L12" s="4">
        <f t="shared" ref="L12:L15" si="0">+D12-H12</f>
        <v>-746.97</v>
      </c>
      <c r="M12" s="4"/>
      <c r="N12" s="12">
        <f t="shared" ref="N12:N15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10529.93</v>
      </c>
      <c r="U12" s="4"/>
      <c r="V12" s="12"/>
      <c r="W12" s="4"/>
      <c r="X12" s="4">
        <f t="shared" ref="X12:X15" si="2">+P12-T12</f>
        <v>-5350.91</v>
      </c>
      <c r="Y12" s="4"/>
      <c r="Z12" s="12">
        <f t="shared" ref="Z12:Z15" si="3">IF(T12=0,0,X12/T12)</f>
        <v>-0.50816197258671236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--109.36</f>
        <v>109.36</v>
      </c>
      <c r="I13" s="2"/>
      <c r="J13" s="19"/>
      <c r="K13" s="2"/>
      <c r="L13" s="2">
        <f t="shared" si="0"/>
        <v>-109.36</v>
      </c>
      <c r="M13" s="2"/>
      <c r="N13" s="19">
        <f t="shared" si="1"/>
        <v>-1</v>
      </c>
      <c r="O13" s="11"/>
      <c r="P13" s="2">
        <f>--973.49</f>
        <v>973.49</v>
      </c>
      <c r="Q13" s="2"/>
      <c r="R13" s="19"/>
      <c r="S13" s="2"/>
      <c r="T13" s="2">
        <f>--1808.05</f>
        <v>1808.05</v>
      </c>
      <c r="U13" s="2"/>
      <c r="V13" s="19"/>
      <c r="W13" s="2"/>
      <c r="X13" s="2">
        <f t="shared" si="2"/>
        <v>-834.56</v>
      </c>
      <c r="Y13" s="2"/>
      <c r="Z13" s="19">
        <f t="shared" si="3"/>
        <v>-0.46158015541605596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--252.75</f>
        <v>252.75</v>
      </c>
      <c r="U14" s="2"/>
      <c r="V14" s="19"/>
      <c r="W14" s="2"/>
      <c r="X14" s="2">
        <f t="shared" si="2"/>
        <v>218.88</v>
      </c>
      <c r="Y14" s="2"/>
      <c r="Z14" s="19">
        <f t="shared" si="3"/>
        <v>0.86599406528189904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--637.61</f>
        <v>637.61</v>
      </c>
      <c r="I15" s="2"/>
      <c r="J15" s="19"/>
      <c r="K15" s="2"/>
      <c r="L15" s="2">
        <f t="shared" si="0"/>
        <v>-637.61</v>
      </c>
      <c r="M15" s="2"/>
      <c r="N15" s="19">
        <f t="shared" si="1"/>
        <v>-1</v>
      </c>
      <c r="O15" s="11"/>
      <c r="P15" s="2">
        <f>--3733.9</f>
        <v>3733.9</v>
      </c>
      <c r="Q15" s="2"/>
      <c r="R15" s="19"/>
      <c r="S15" s="2"/>
      <c r="T15" s="2">
        <f>--8469.13</f>
        <v>8469.1299999999992</v>
      </c>
      <c r="U15" s="2"/>
      <c r="V15" s="19"/>
      <c r="W15" s="2"/>
      <c r="X15" s="2">
        <f t="shared" si="2"/>
        <v>-4735.2299999999996</v>
      </c>
      <c r="Y15" s="2"/>
      <c r="Z15" s="19">
        <f t="shared" si="3"/>
        <v>-0.55911646178533092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328</v>
      </c>
      <c r="I17" s="4"/>
      <c r="J17" s="12">
        <f t="shared" ref="J17:J19" si="6">IF(H$12=0,0,H17/H$12)</f>
        <v>0.43910732693414728</v>
      </c>
      <c r="K17" s="4"/>
      <c r="L17" s="4">
        <f t="shared" ref="L17:L19" si="7">+D17-H17</f>
        <v>-328</v>
      </c>
      <c r="M17" s="4"/>
      <c r="N17" s="12">
        <f t="shared" ref="N17:N19" si="8">IF(H17=0,0,L17/H17)</f>
        <v>-1</v>
      </c>
      <c r="O17" s="10"/>
      <c r="P17" s="4">
        <f>SUM(OSRRefP16x_0)</f>
        <v>6466.4699999999993</v>
      </c>
      <c r="Q17" s="4"/>
      <c r="R17" s="12">
        <f t="shared" ref="R17:R19" si="9">IF(P$12=0,0,P17/P$12)</f>
        <v>1.2485895014886983</v>
      </c>
      <c r="S17" s="4"/>
      <c r="T17" s="4">
        <f>SUM(OSRRefT16x_0)</f>
        <v>5207.8999999999996</v>
      </c>
      <c r="U17" s="4"/>
      <c r="V17" s="12">
        <f t="shared" ref="V17:V19" si="10">IF(T$12=0,0,T17/T$12)</f>
        <v>0.49458068572155744</v>
      </c>
      <c r="W17" s="4"/>
      <c r="X17" s="4">
        <f t="shared" ref="X17:X19" si="11">+P17-T17</f>
        <v>1258.5699999999997</v>
      </c>
      <c r="Y17" s="4"/>
      <c r="Z17" s="12">
        <f t="shared" ref="Z17:Z19" si="12">IF(T17=0,0,X17/T17)</f>
        <v>0.24166554657347489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3948.48</v>
      </c>
      <c r="Q18" s="2"/>
      <c r="R18" s="19">
        <f t="shared" si="9"/>
        <v>0.762399063915567</v>
      </c>
      <c r="S18" s="2"/>
      <c r="T18" s="2">
        <v>4288.88</v>
      </c>
      <c r="U18" s="2"/>
      <c r="V18" s="19">
        <f t="shared" si="10"/>
        <v>0.40730375225666265</v>
      </c>
      <c r="W18" s="2"/>
      <c r="X18" s="2">
        <f t="shared" si="11"/>
        <v>-340.40000000000009</v>
      </c>
      <c r="Y18" s="2"/>
      <c r="Z18" s="19">
        <f t="shared" si="12"/>
        <v>-7.9368040141015853E-2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>
        <v>328</v>
      </c>
      <c r="I19" s="2"/>
      <c r="J19" s="19">
        <f t="shared" si="6"/>
        <v>0.43910732693414728</v>
      </c>
      <c r="K19" s="2"/>
      <c r="L19" s="2">
        <f t="shared" si="7"/>
        <v>-328</v>
      </c>
      <c r="M19" s="2"/>
      <c r="N19" s="19">
        <f t="shared" si="8"/>
        <v>-1</v>
      </c>
      <c r="O19" s="11"/>
      <c r="P19" s="2">
        <v>2517.9899999999998</v>
      </c>
      <c r="Q19" s="2"/>
      <c r="R19" s="19">
        <f t="shared" si="9"/>
        <v>0.48619043757313152</v>
      </c>
      <c r="S19" s="2"/>
      <c r="T19" s="2">
        <v>919.02</v>
      </c>
      <c r="U19" s="2"/>
      <c r="V19" s="19">
        <f t="shared" si="10"/>
        <v>8.7276933464894818E-2</v>
      </c>
      <c r="W19" s="2"/>
      <c r="X19" s="2">
        <f t="shared" si="11"/>
        <v>1598.9699999999998</v>
      </c>
      <c r="Y19" s="2"/>
      <c r="Z19" s="19">
        <f t="shared" si="12"/>
        <v>1.739864203172945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0</v>
      </c>
      <c r="E21" s="14"/>
      <c r="F21" s="20">
        <f>IF(D$12=0,0,D21/D$12)</f>
        <v>0</v>
      </c>
      <c r="G21" s="14"/>
      <c r="H21" s="21">
        <f>H12-H17</f>
        <v>418.97</v>
      </c>
      <c r="I21" s="14"/>
      <c r="J21" s="20">
        <f>IF(H$12=0,0,H21/H$12)</f>
        <v>0.56089267306585278</v>
      </c>
      <c r="K21" s="16"/>
      <c r="L21" s="21">
        <f>+D21-H21</f>
        <v>-418.97</v>
      </c>
      <c r="M21" s="16"/>
      <c r="N21" s="20">
        <f>IF(H21=0,0,L21/H21)</f>
        <v>-1</v>
      </c>
      <c r="O21" s="28"/>
      <c r="P21" s="21">
        <f>P12-P17</f>
        <v>-1287.4499999999989</v>
      </c>
      <c r="Q21" s="14"/>
      <c r="R21" s="20">
        <f>IF(P$12=0,0,P21/P$12)</f>
        <v>-0.24858950148869841</v>
      </c>
      <c r="S21" s="14"/>
      <c r="T21" s="21">
        <f>T12-T17</f>
        <v>5322.0300000000007</v>
      </c>
      <c r="U21" s="14"/>
      <c r="V21" s="20">
        <f>IF(T$12=0,0,T21/T$12)</f>
        <v>0.50541931427844256</v>
      </c>
      <c r="W21" s="16"/>
      <c r="X21" s="21">
        <f>+P21-T21</f>
        <v>-6609.48</v>
      </c>
      <c r="Y21" s="16"/>
      <c r="Z21" s="20">
        <f>IF(T21=0,0,X21/T21)</f>
        <v>-1.2419095720993678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75.5</v>
      </c>
      <c r="E23" s="22"/>
      <c r="F23" s="31">
        <f t="shared" ref="F23:F27" si="13">IF(D$12=0,0,D23/D$12)</f>
        <v>0</v>
      </c>
      <c r="G23" s="22"/>
      <c r="H23" s="22">
        <f>SUM(OSRRefH22x_0)</f>
        <v>2318.91</v>
      </c>
      <c r="I23" s="22"/>
      <c r="J23" s="31">
        <f t="shared" ref="J23:J27" si="14">IF(H$12=0,0,H23/H$12)</f>
        <v>3.1044218643319006</v>
      </c>
      <c r="K23" s="4"/>
      <c r="L23" s="22">
        <f t="shared" ref="L23:L27" si="15">+D23-H23</f>
        <v>-2243.41</v>
      </c>
      <c r="M23" s="4"/>
      <c r="N23" s="31">
        <f t="shared" ref="N23:N27" si="16">IF(H23=0,0,L23/H23)</f>
        <v>-0.96744159971710841</v>
      </c>
      <c r="O23" s="10"/>
      <c r="P23" s="22">
        <f>SUM(OSRRefP22x_0)</f>
        <v>15889.219999999998</v>
      </c>
      <c r="Q23" s="22"/>
      <c r="R23" s="31">
        <f t="shared" ref="R23:R27" si="17">IF(P$12=0,0,P23/P$12)</f>
        <v>3.0679974203613805</v>
      </c>
      <c r="S23" s="22"/>
      <c r="T23" s="22">
        <f>SUM(OSRRefT22x_0)</f>
        <v>22456.709999999995</v>
      </c>
      <c r="U23" s="22"/>
      <c r="V23" s="31">
        <f t="shared" ref="V23:V27" si="18">IF(T$12=0,0,T23/T$12)</f>
        <v>2.1326552028361059</v>
      </c>
      <c r="W23" s="4"/>
      <c r="X23" s="22">
        <f t="shared" ref="X23:X27" si="19">+P23-T23</f>
        <v>-6567.489999999998</v>
      </c>
      <c r="Y23" s="4"/>
      <c r="Z23" s="31">
        <f t="shared" ref="Z23:Z27" si="20">IF(T23=0,0,X23/T23)</f>
        <v>-0.29245112040009419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3"/>
        <v>0</v>
      </c>
      <c r="G24" s="1"/>
      <c r="H24" s="1">
        <f>SUM(OSRRefH22_0x_0)</f>
        <v>204.45000000000002</v>
      </c>
      <c r="I24" s="1"/>
      <c r="J24" s="5">
        <f t="shared" si="14"/>
        <v>0.27370577131611712</v>
      </c>
      <c r="K24" s="1"/>
      <c r="L24" s="1">
        <f t="shared" si="15"/>
        <v>-204.45000000000002</v>
      </c>
      <c r="M24" s="1"/>
      <c r="N24" s="5">
        <f t="shared" si="16"/>
        <v>-1</v>
      </c>
      <c r="O24" s="13"/>
      <c r="P24" s="1">
        <f>SUM(OSRRefP22_0x_0)</f>
        <v>858.58</v>
      </c>
      <c r="Q24" s="1"/>
      <c r="R24" s="5">
        <f t="shared" si="17"/>
        <v>0.16578039860823091</v>
      </c>
      <c r="S24" s="1"/>
      <c r="T24" s="1">
        <f>SUM(OSRRefT22_0x_0)</f>
        <v>1322.8200000000002</v>
      </c>
      <c r="U24" s="1"/>
      <c r="V24" s="5">
        <f t="shared" si="18"/>
        <v>0.1256247667363411</v>
      </c>
      <c r="W24" s="1"/>
      <c r="X24" s="1">
        <f t="shared" si="19"/>
        <v>-464.24000000000012</v>
      </c>
      <c r="Y24" s="1"/>
      <c r="Z24" s="5">
        <f t="shared" si="20"/>
        <v>-0.35094721882039892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3"/>
        <v>0</v>
      </c>
      <c r="G25" s="2"/>
      <c r="H25" s="6">
        <v>170.84</v>
      </c>
      <c r="I25" s="2"/>
      <c r="J25" s="7">
        <f t="shared" si="14"/>
        <v>0.22871065772387111</v>
      </c>
      <c r="K25" s="2"/>
      <c r="L25" s="6">
        <f t="shared" si="15"/>
        <v>-170.84</v>
      </c>
      <c r="M25" s="2"/>
      <c r="N25" s="7">
        <f t="shared" si="16"/>
        <v>-1</v>
      </c>
      <c r="O25" s="11"/>
      <c r="P25" s="6">
        <v>602.38</v>
      </c>
      <c r="Q25" s="2"/>
      <c r="R25" s="7">
        <f t="shared" si="17"/>
        <v>0.11631158018312343</v>
      </c>
      <c r="S25" s="2"/>
      <c r="T25" s="6">
        <v>1098.75</v>
      </c>
      <c r="U25" s="2"/>
      <c r="V25" s="7">
        <f t="shared" si="18"/>
        <v>0.10434542299901328</v>
      </c>
      <c r="W25" s="2"/>
      <c r="X25" s="6">
        <f t="shared" si="19"/>
        <v>-496.37</v>
      </c>
      <c r="Y25" s="2"/>
      <c r="Z25" s="7">
        <f t="shared" si="20"/>
        <v>-0.45175881683731511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3"/>
        <v>0</v>
      </c>
      <c r="G26" s="2"/>
      <c r="H26" s="6">
        <v>27.58</v>
      </c>
      <c r="I26" s="2"/>
      <c r="J26" s="7">
        <f t="shared" si="14"/>
        <v>3.6922500234279822E-2</v>
      </c>
      <c r="K26" s="2"/>
      <c r="L26" s="6">
        <f t="shared" si="15"/>
        <v>-27.58</v>
      </c>
      <c r="M26" s="2"/>
      <c r="N26" s="7">
        <f t="shared" si="16"/>
        <v>-1</v>
      </c>
      <c r="O26" s="11"/>
      <c r="P26" s="6">
        <v>221.3</v>
      </c>
      <c r="Q26" s="2"/>
      <c r="R26" s="7">
        <f t="shared" si="17"/>
        <v>4.2730091793428099E-2</v>
      </c>
      <c r="S26" s="2"/>
      <c r="T26" s="6">
        <v>176.92</v>
      </c>
      <c r="U26" s="2"/>
      <c r="V26" s="7">
        <f t="shared" si="18"/>
        <v>1.6801631159941231E-2</v>
      </c>
      <c r="W26" s="2"/>
      <c r="X26" s="6">
        <f t="shared" si="19"/>
        <v>44.380000000000024</v>
      </c>
      <c r="Y26" s="2"/>
      <c r="Z26" s="7">
        <f t="shared" si="20"/>
        <v>0.25084784083201461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6.03</v>
      </c>
      <c r="I27" s="2"/>
      <c r="J27" s="7">
        <f t="shared" si="14"/>
        <v>8.0726133579661838E-3</v>
      </c>
      <c r="K27" s="2"/>
      <c r="L27" s="6">
        <f t="shared" si="15"/>
        <v>-6.03</v>
      </c>
      <c r="M27" s="2"/>
      <c r="N27" s="7">
        <f t="shared" si="16"/>
        <v>-1</v>
      </c>
      <c r="O27" s="11"/>
      <c r="P27" s="6">
        <v>34.9</v>
      </c>
      <c r="Q27" s="2"/>
      <c r="R27" s="7">
        <f t="shared" si="17"/>
        <v>6.7387266316793516E-3</v>
      </c>
      <c r="S27" s="2"/>
      <c r="T27" s="6">
        <v>47.15</v>
      </c>
      <c r="U27" s="2"/>
      <c r="V27" s="7">
        <f t="shared" si="18"/>
        <v>4.4777125773865544E-3</v>
      </c>
      <c r="W27" s="2"/>
      <c r="X27" s="6">
        <f t="shared" si="19"/>
        <v>-12.25</v>
      </c>
      <c r="Y27" s="2"/>
      <c r="Z27" s="7">
        <f t="shared" si="20"/>
        <v>-0.25980911983032873</v>
      </c>
    </row>
    <row r="28" spans="1:26" s="27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1">IF(D$12=0,0,D28/D$12)</f>
        <v>0</v>
      </c>
      <c r="G28" s="1"/>
      <c r="H28" s="1">
        <f>SUM(OSRRefH22_1x_0)</f>
        <v>1937</v>
      </c>
      <c r="I28" s="1"/>
      <c r="J28" s="5">
        <f t="shared" ref="J28:J31" si="22">IF(H$12=0,0,H28/H$12)</f>
        <v>2.593142964242205</v>
      </c>
      <c r="K28" s="1"/>
      <c r="L28" s="1">
        <f t="shared" ref="L28:L31" si="23">+D28-H28</f>
        <v>-1937</v>
      </c>
      <c r="M28" s="1"/>
      <c r="N28" s="5">
        <f t="shared" ref="N28:N31" si="24">IF(H28=0,0,L28/H28)</f>
        <v>-1</v>
      </c>
      <c r="O28" s="13"/>
      <c r="P28" s="1">
        <f>SUM(OSRRefP22_1x_0)</f>
        <v>10914.98</v>
      </c>
      <c r="Q28" s="1"/>
      <c r="R28" s="5">
        <f t="shared" ref="R28:R31" si="25">IF(P$12=0,0,P28/P$12)</f>
        <v>2.1075377194913321</v>
      </c>
      <c r="S28" s="1"/>
      <c r="T28" s="1">
        <f>SUM(OSRRefT22_1x_0)</f>
        <v>17827.21</v>
      </c>
      <c r="U28" s="1"/>
      <c r="V28" s="5">
        <f t="shared" ref="V28:V31" si="26">IF(T$12=0,0,T28/T$12)</f>
        <v>1.6930036571943021</v>
      </c>
      <c r="W28" s="1"/>
      <c r="X28" s="1">
        <f t="shared" ref="X28:X31" si="27">+P28-T28</f>
        <v>-6912.23</v>
      </c>
      <c r="Y28" s="1"/>
      <c r="Z28" s="5">
        <f t="shared" ref="Z28:Z31" si="28">IF(T28=0,0,X28/T28)</f>
        <v>-0.38773481660899267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/>
      <c r="E29" s="2"/>
      <c r="F29" s="7">
        <f t="shared" si="21"/>
        <v>0</v>
      </c>
      <c r="G29" s="2"/>
      <c r="H29" s="6">
        <v>1771</v>
      </c>
      <c r="I29" s="2"/>
      <c r="J29" s="7">
        <f t="shared" si="22"/>
        <v>2.3709118170743135</v>
      </c>
      <c r="K29" s="2"/>
      <c r="L29" s="6">
        <f t="shared" si="23"/>
        <v>-1771</v>
      </c>
      <c r="M29" s="2"/>
      <c r="N29" s="7">
        <f t="shared" si="24"/>
        <v>-1</v>
      </c>
      <c r="O29" s="11"/>
      <c r="P29" s="6">
        <v>7765.17</v>
      </c>
      <c r="Q29" s="2"/>
      <c r="R29" s="7">
        <f t="shared" si="25"/>
        <v>1.4993512286108182</v>
      </c>
      <c r="S29" s="2"/>
      <c r="T29" s="6">
        <v>13228.56</v>
      </c>
      <c r="U29" s="2"/>
      <c r="V29" s="7">
        <f t="shared" si="26"/>
        <v>1.2562818556248712</v>
      </c>
      <c r="W29" s="2"/>
      <c r="X29" s="6">
        <f t="shared" si="27"/>
        <v>-5463.3899999999994</v>
      </c>
      <c r="Y29" s="2"/>
      <c r="Z29" s="7">
        <f t="shared" si="28"/>
        <v>-0.41299960086358606</v>
      </c>
    </row>
    <row r="30" spans="1:26" s="24" customFormat="1" hidden="1" outlineLevel="2" x14ac:dyDescent="0.25">
      <c r="A30" s="26"/>
      <c r="B30" s="11" t="str">
        <f>CONCATENATE("          ", "6006", " - ", "TEMPORARY PART TIME")</f>
        <v xml:space="preserve">          6006 - TEMPORARY PART TIME</v>
      </c>
      <c r="C30" s="11"/>
      <c r="D30" s="6"/>
      <c r="E30" s="2"/>
      <c r="F30" s="7">
        <f t="shared" si="21"/>
        <v>0</v>
      </c>
      <c r="G30" s="2"/>
      <c r="H30" s="6">
        <v>462</v>
      </c>
      <c r="I30" s="2"/>
      <c r="J30" s="7">
        <f t="shared" si="22"/>
        <v>0.61849873488895135</v>
      </c>
      <c r="K30" s="2"/>
      <c r="L30" s="6">
        <f t="shared" si="23"/>
        <v>-462</v>
      </c>
      <c r="M30" s="2"/>
      <c r="N30" s="7">
        <f t="shared" si="24"/>
        <v>-1</v>
      </c>
      <c r="O30" s="11"/>
      <c r="P30" s="6">
        <v>73.31</v>
      </c>
      <c r="Q30" s="2"/>
      <c r="R30" s="7">
        <f t="shared" si="25"/>
        <v>1.4155187660986054E-2</v>
      </c>
      <c r="S30" s="2"/>
      <c r="T30" s="6">
        <v>942</v>
      </c>
      <c r="U30" s="2"/>
      <c r="V30" s="7">
        <f t="shared" si="26"/>
        <v>8.9459284154785448E-2</v>
      </c>
      <c r="W30" s="2"/>
      <c r="X30" s="6">
        <f t="shared" si="27"/>
        <v>-868.69</v>
      </c>
      <c r="Y30" s="2"/>
      <c r="Z30" s="7">
        <f t="shared" si="28"/>
        <v>-0.92217622080679407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21"/>
        <v>0</v>
      </c>
      <c r="G31" s="2"/>
      <c r="H31" s="6">
        <v>-296</v>
      </c>
      <c r="I31" s="2"/>
      <c r="J31" s="7">
        <f t="shared" si="22"/>
        <v>-0.39626758772105974</v>
      </c>
      <c r="K31" s="2"/>
      <c r="L31" s="6">
        <f t="shared" si="23"/>
        <v>296</v>
      </c>
      <c r="M31" s="2"/>
      <c r="N31" s="7">
        <f t="shared" si="24"/>
        <v>-1</v>
      </c>
      <c r="O31" s="11"/>
      <c r="P31" s="6">
        <v>3076.5</v>
      </c>
      <c r="Q31" s="2"/>
      <c r="R31" s="7">
        <f t="shared" si="25"/>
        <v>0.59403130321952802</v>
      </c>
      <c r="S31" s="2"/>
      <c r="T31" s="6">
        <v>3656.65</v>
      </c>
      <c r="U31" s="2"/>
      <c r="V31" s="7">
        <f t="shared" si="26"/>
        <v>0.3472625174146457</v>
      </c>
      <c r="W31" s="2"/>
      <c r="X31" s="6">
        <f t="shared" si="27"/>
        <v>-580.15000000000009</v>
      </c>
      <c r="Y31" s="2"/>
      <c r="Z31" s="7">
        <f t="shared" si="28"/>
        <v>-0.15865614701981323</v>
      </c>
    </row>
    <row r="32" spans="1:26" s="27" customFormat="1" outlineLevel="1" collapsed="1" x14ac:dyDescent="0.25">
      <c r="A32" s="25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8" si="29">IF(D$12=0,0,D32/D$12)</f>
        <v>0</v>
      </c>
      <c r="G32" s="1"/>
      <c r="H32" s="1">
        <f>SUM(OSRRefH22_2x_0)</f>
        <v>0</v>
      </c>
      <c r="I32" s="1"/>
      <c r="J32" s="5">
        <f t="shared" ref="J32:J48" si="30">IF(H$12=0,0,H32/H$12)</f>
        <v>0</v>
      </c>
      <c r="K32" s="1"/>
      <c r="L32" s="1">
        <f t="shared" ref="L32:L48" si="31">+D32-H32</f>
        <v>0</v>
      </c>
      <c r="M32" s="1"/>
      <c r="N32" s="5">
        <f t="shared" ref="N32:N48" si="32">IF(H32=0,0,L32/H32)</f>
        <v>0</v>
      </c>
      <c r="O32" s="13"/>
      <c r="P32" s="1">
        <f>SUM(OSRRefP22_2x_0)</f>
        <v>0</v>
      </c>
      <c r="Q32" s="1"/>
      <c r="R32" s="5">
        <f t="shared" ref="R32:R48" si="33">IF(P$12=0,0,P32/P$12)</f>
        <v>0</v>
      </c>
      <c r="S32" s="1"/>
      <c r="T32" s="1">
        <f>SUM(OSRRefT22_2x_0)</f>
        <v>12</v>
      </c>
      <c r="U32" s="1"/>
      <c r="V32" s="5">
        <f t="shared" ref="V32:V48" si="34">IF(T$12=0,0,T32/T$12)</f>
        <v>1.1396087153475853E-3</v>
      </c>
      <c r="W32" s="1"/>
      <c r="X32" s="1">
        <f t="shared" ref="X32:X48" si="35">+P32-T32</f>
        <v>-12</v>
      </c>
      <c r="Y32" s="1"/>
      <c r="Z32" s="5">
        <f t="shared" ref="Z32:Z48" si="36">IF(T32=0,0,X32/T32)</f>
        <v>-1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29"/>
        <v>0</v>
      </c>
      <c r="G33" s="2"/>
      <c r="H33" s="6"/>
      <c r="I33" s="2"/>
      <c r="J33" s="7">
        <f t="shared" si="30"/>
        <v>0</v>
      </c>
      <c r="K33" s="2"/>
      <c r="L33" s="6">
        <f t="shared" si="31"/>
        <v>0</v>
      </c>
      <c r="M33" s="2"/>
      <c r="N33" s="7">
        <f t="shared" si="32"/>
        <v>0</v>
      </c>
      <c r="O33" s="11"/>
      <c r="P33" s="6"/>
      <c r="Q33" s="2"/>
      <c r="R33" s="7">
        <f t="shared" si="33"/>
        <v>0</v>
      </c>
      <c r="S33" s="2"/>
      <c r="T33" s="6">
        <v>12</v>
      </c>
      <c r="U33" s="2"/>
      <c r="V33" s="7">
        <f t="shared" si="34"/>
        <v>1.1396087153475853E-3</v>
      </c>
      <c r="W33" s="2"/>
      <c r="X33" s="6">
        <f t="shared" si="35"/>
        <v>-12</v>
      </c>
      <c r="Y33" s="2"/>
      <c r="Z33" s="7">
        <f t="shared" si="36"/>
        <v>-1</v>
      </c>
    </row>
    <row r="34" spans="1:26" s="27" customFormat="1" outlineLevel="1" collapsed="1" x14ac:dyDescent="0.25">
      <c r="A34" s="25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29"/>
        <v>0</v>
      </c>
      <c r="G34" s="1"/>
      <c r="H34" s="1">
        <f>SUM(OSRRefH22_3x_0)</f>
        <v>-0.76</v>
      </c>
      <c r="I34" s="1"/>
      <c r="J34" s="5">
        <f t="shared" si="30"/>
        <v>-1.0174438063108291E-3</v>
      </c>
      <c r="K34" s="1"/>
      <c r="L34" s="1">
        <f t="shared" si="31"/>
        <v>0.76</v>
      </c>
      <c r="M34" s="1"/>
      <c r="N34" s="5">
        <f t="shared" si="32"/>
        <v>-1</v>
      </c>
      <c r="O34" s="13"/>
      <c r="P34" s="1">
        <f>SUM(OSRRefP22_3x_0)</f>
        <v>-1.41</v>
      </c>
      <c r="Q34" s="1"/>
      <c r="R34" s="5">
        <f t="shared" si="33"/>
        <v>-2.7225227938876463E-4</v>
      </c>
      <c r="S34" s="1"/>
      <c r="T34" s="1">
        <f>SUM(OSRRefT22_3x_0)</f>
        <v>-4.57</v>
      </c>
      <c r="U34" s="1"/>
      <c r="V34" s="5">
        <f t="shared" si="34"/>
        <v>-4.3400098576153878E-4</v>
      </c>
      <c r="W34" s="1"/>
      <c r="X34" s="1">
        <f t="shared" si="35"/>
        <v>3.16</v>
      </c>
      <c r="Y34" s="1"/>
      <c r="Z34" s="5">
        <f t="shared" si="36"/>
        <v>-0.69146608315098468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29"/>
        <v>0</v>
      </c>
      <c r="G35" s="2"/>
      <c r="H35" s="6">
        <v>-0.76</v>
      </c>
      <c r="I35" s="2"/>
      <c r="J35" s="7">
        <f t="shared" si="30"/>
        <v>-1.0174438063108291E-3</v>
      </c>
      <c r="K35" s="2"/>
      <c r="L35" s="6">
        <f t="shared" si="31"/>
        <v>0.76</v>
      </c>
      <c r="M35" s="2"/>
      <c r="N35" s="7">
        <f t="shared" si="32"/>
        <v>-1</v>
      </c>
      <c r="O35" s="11"/>
      <c r="P35" s="6">
        <v>-1.41</v>
      </c>
      <c r="Q35" s="2"/>
      <c r="R35" s="7">
        <f t="shared" si="33"/>
        <v>-2.7225227938876463E-4</v>
      </c>
      <c r="S35" s="2"/>
      <c r="T35" s="6">
        <v>-4.57</v>
      </c>
      <c r="U35" s="2"/>
      <c r="V35" s="7">
        <f t="shared" si="34"/>
        <v>-4.3400098576153878E-4</v>
      </c>
      <c r="W35" s="2"/>
      <c r="X35" s="6">
        <f t="shared" si="35"/>
        <v>3.16</v>
      </c>
      <c r="Y35" s="2"/>
      <c r="Z35" s="7">
        <f t="shared" si="36"/>
        <v>-0.69146608315098468</v>
      </c>
    </row>
    <row r="36" spans="1:26" s="27" customFormat="1" outlineLevel="1" collapsed="1" x14ac:dyDescent="0.25">
      <c r="A36" s="25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29"/>
        <v>0</v>
      </c>
      <c r="G36" s="1"/>
      <c r="H36" s="1">
        <f>SUM(OSRRefH22_4x_0)</f>
        <v>22.38</v>
      </c>
      <c r="I36" s="1"/>
      <c r="J36" s="5">
        <f t="shared" si="30"/>
        <v>2.9961042612153096E-2</v>
      </c>
      <c r="K36" s="1"/>
      <c r="L36" s="1">
        <f t="shared" si="31"/>
        <v>-22.38</v>
      </c>
      <c r="M36" s="1"/>
      <c r="N36" s="5">
        <f t="shared" si="32"/>
        <v>-1</v>
      </c>
      <c r="O36" s="13"/>
      <c r="P36" s="1">
        <f>SUM(OSRRefP22_4x_0)</f>
        <v>125.26</v>
      </c>
      <c r="Q36" s="1"/>
      <c r="R36" s="5">
        <f t="shared" si="33"/>
        <v>2.418604291931678E-2</v>
      </c>
      <c r="S36" s="1"/>
      <c r="T36" s="1">
        <f>SUM(OSRRefT22_4x_0)</f>
        <v>216.05</v>
      </c>
      <c r="U36" s="1"/>
      <c r="V36" s="5">
        <f t="shared" si="34"/>
        <v>2.0517705245903819E-2</v>
      </c>
      <c r="W36" s="1"/>
      <c r="X36" s="1">
        <f t="shared" si="35"/>
        <v>-90.79</v>
      </c>
      <c r="Y36" s="1"/>
      <c r="Z36" s="5">
        <f t="shared" si="36"/>
        <v>-0.42022679935200186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9"/>
        <v>0</v>
      </c>
      <c r="G37" s="2"/>
      <c r="H37" s="6">
        <v>22.38</v>
      </c>
      <c r="I37" s="2"/>
      <c r="J37" s="7">
        <f t="shared" si="30"/>
        <v>2.9961042612153096E-2</v>
      </c>
      <c r="K37" s="2"/>
      <c r="L37" s="6">
        <f t="shared" si="31"/>
        <v>-22.38</v>
      </c>
      <c r="M37" s="2"/>
      <c r="N37" s="7">
        <f t="shared" si="32"/>
        <v>-1</v>
      </c>
      <c r="O37" s="11"/>
      <c r="P37" s="6">
        <v>125.26</v>
      </c>
      <c r="Q37" s="2"/>
      <c r="R37" s="7">
        <f t="shared" si="33"/>
        <v>2.418604291931678E-2</v>
      </c>
      <c r="S37" s="2"/>
      <c r="T37" s="6">
        <v>216.05</v>
      </c>
      <c r="U37" s="2"/>
      <c r="V37" s="7">
        <f t="shared" si="34"/>
        <v>2.0517705245903819E-2</v>
      </c>
      <c r="W37" s="2"/>
      <c r="X37" s="6">
        <f t="shared" si="35"/>
        <v>-90.79</v>
      </c>
      <c r="Y37" s="2"/>
      <c r="Z37" s="7">
        <f t="shared" si="36"/>
        <v>-0.42022679935200186</v>
      </c>
    </row>
    <row r="38" spans="1:26" s="27" customFormat="1" outlineLevel="1" collapsed="1" x14ac:dyDescent="0.25">
      <c r="A38" s="25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29"/>
        <v>0</v>
      </c>
      <c r="G38" s="1"/>
      <c r="H38" s="1">
        <f>SUM(OSRRefH22_5x_0)</f>
        <v>0</v>
      </c>
      <c r="I38" s="1"/>
      <c r="J38" s="5">
        <f t="shared" si="30"/>
        <v>0</v>
      </c>
      <c r="K38" s="1"/>
      <c r="L38" s="1">
        <f t="shared" si="31"/>
        <v>0</v>
      </c>
      <c r="M38" s="1"/>
      <c r="N38" s="5">
        <f t="shared" si="32"/>
        <v>0</v>
      </c>
      <c r="O38" s="13"/>
      <c r="P38" s="1">
        <f>SUM(OSRRefP22_5x_0)</f>
        <v>40.799999999999997</v>
      </c>
      <c r="Q38" s="1"/>
      <c r="R38" s="5">
        <f t="shared" si="33"/>
        <v>7.877938297206807E-3</v>
      </c>
      <c r="S38" s="1"/>
      <c r="T38" s="1">
        <f>SUM(OSRRefT22_5x_0)</f>
        <v>0</v>
      </c>
      <c r="U38" s="1"/>
      <c r="V38" s="5">
        <f t="shared" si="34"/>
        <v>0</v>
      </c>
      <c r="W38" s="1"/>
      <c r="X38" s="1">
        <f t="shared" si="35"/>
        <v>40.799999999999997</v>
      </c>
      <c r="Y38" s="1"/>
      <c r="Z38" s="5">
        <f t="shared" si="36"/>
        <v>0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29"/>
        <v>0</v>
      </c>
      <c r="G39" s="2"/>
      <c r="H39" s="6"/>
      <c r="I39" s="2"/>
      <c r="J39" s="7">
        <f t="shared" si="30"/>
        <v>0</v>
      </c>
      <c r="K39" s="2"/>
      <c r="L39" s="6">
        <f t="shared" si="31"/>
        <v>0</v>
      </c>
      <c r="M39" s="2"/>
      <c r="N39" s="7">
        <f t="shared" si="32"/>
        <v>0</v>
      </c>
      <c r="O39" s="11"/>
      <c r="P39" s="6">
        <v>40.799999999999997</v>
      </c>
      <c r="Q39" s="2"/>
      <c r="R39" s="7">
        <f t="shared" si="33"/>
        <v>7.877938297206807E-3</v>
      </c>
      <c r="S39" s="2"/>
      <c r="T39" s="6"/>
      <c r="U39" s="2"/>
      <c r="V39" s="7">
        <f t="shared" si="34"/>
        <v>0</v>
      </c>
      <c r="W39" s="2"/>
      <c r="X39" s="6">
        <f t="shared" si="35"/>
        <v>40.799999999999997</v>
      </c>
      <c r="Y39" s="2"/>
      <c r="Z39" s="7">
        <f t="shared" si="36"/>
        <v>0</v>
      </c>
    </row>
    <row r="40" spans="1:26" s="27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29"/>
        <v>0</v>
      </c>
      <c r="G40" s="1"/>
      <c r="H40" s="1">
        <f>SUM(OSRRefH22_6x_0)</f>
        <v>0</v>
      </c>
      <c r="I40" s="1"/>
      <c r="J40" s="5">
        <f t="shared" si="30"/>
        <v>0</v>
      </c>
      <c r="K40" s="1"/>
      <c r="L40" s="1">
        <f t="shared" si="31"/>
        <v>0</v>
      </c>
      <c r="M40" s="1"/>
      <c r="N40" s="5">
        <f t="shared" si="32"/>
        <v>0</v>
      </c>
      <c r="O40" s="13"/>
      <c r="P40" s="1">
        <f>SUM(OSRRefP22_6x_0)</f>
        <v>1154.05</v>
      </c>
      <c r="Q40" s="1"/>
      <c r="R40" s="5">
        <f t="shared" si="33"/>
        <v>0.22283173264439987</v>
      </c>
      <c r="S40" s="1"/>
      <c r="T40" s="1">
        <f>SUM(OSRRefT22_6x_0)</f>
        <v>1115.22</v>
      </c>
      <c r="U40" s="1"/>
      <c r="V40" s="5">
        <f t="shared" si="34"/>
        <v>0.10590953596082785</v>
      </c>
      <c r="W40" s="1"/>
      <c r="X40" s="1">
        <f t="shared" si="35"/>
        <v>38.829999999999927</v>
      </c>
      <c r="Y40" s="1"/>
      <c r="Z40" s="5">
        <f t="shared" si="36"/>
        <v>3.4818242140564129E-2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29"/>
        <v>0</v>
      </c>
      <c r="G41" s="2"/>
      <c r="H41" s="6"/>
      <c r="I41" s="2"/>
      <c r="J41" s="7">
        <f t="shared" si="30"/>
        <v>0</v>
      </c>
      <c r="K41" s="2"/>
      <c r="L41" s="6">
        <f t="shared" si="31"/>
        <v>0</v>
      </c>
      <c r="M41" s="2"/>
      <c r="N41" s="7">
        <f t="shared" si="32"/>
        <v>0</v>
      </c>
      <c r="O41" s="11"/>
      <c r="P41" s="6">
        <v>1154.05</v>
      </c>
      <c r="Q41" s="2"/>
      <c r="R41" s="7">
        <f t="shared" si="33"/>
        <v>0.22283173264439987</v>
      </c>
      <c r="S41" s="2"/>
      <c r="T41" s="6">
        <v>1115.22</v>
      </c>
      <c r="U41" s="2"/>
      <c r="V41" s="7">
        <f t="shared" si="34"/>
        <v>0.10590953596082785</v>
      </c>
      <c r="W41" s="2"/>
      <c r="X41" s="6">
        <f t="shared" si="35"/>
        <v>38.829999999999927</v>
      </c>
      <c r="Y41" s="2"/>
      <c r="Z41" s="7">
        <f t="shared" si="36"/>
        <v>3.4818242140564129E-2</v>
      </c>
    </row>
    <row r="42" spans="1:26" s="27" customFormat="1" outlineLevel="1" collapsed="1" x14ac:dyDescent="0.25">
      <c r="A42" s="25"/>
      <c r="B42" s="13" t="str">
        <f>CONCATENATE("     ","R/H Commissions                                   ")</f>
        <v xml:space="preserve">     R/H Commissions                                   </v>
      </c>
      <c r="C42" s="13"/>
      <c r="D42" s="1">
        <f>SUM(OSRRefD22_7x_0)</f>
        <v>0</v>
      </c>
      <c r="E42" s="1"/>
      <c r="F42" s="5">
        <f t="shared" si="29"/>
        <v>0</v>
      </c>
      <c r="G42" s="1"/>
      <c r="H42" s="1">
        <f>SUM(OSRRefH22_7x_0)</f>
        <v>59.76</v>
      </c>
      <c r="I42" s="1"/>
      <c r="J42" s="5">
        <f t="shared" si="30"/>
        <v>8.0003212980440983E-2</v>
      </c>
      <c r="K42" s="1"/>
      <c r="L42" s="1">
        <f t="shared" si="31"/>
        <v>-59.76</v>
      </c>
      <c r="M42" s="1"/>
      <c r="N42" s="5">
        <f t="shared" si="32"/>
        <v>-1</v>
      </c>
      <c r="O42" s="13"/>
      <c r="P42" s="1">
        <f>SUM(OSRRefP22_7x_0)</f>
        <v>414.32</v>
      </c>
      <c r="Q42" s="1"/>
      <c r="R42" s="5">
        <f t="shared" si="33"/>
        <v>7.9999691061243244E-2</v>
      </c>
      <c r="S42" s="1"/>
      <c r="T42" s="1">
        <f>SUM(OSRRefT22_7x_0)</f>
        <v>792.32</v>
      </c>
      <c r="U42" s="1"/>
      <c r="V42" s="5">
        <f t="shared" si="34"/>
        <v>7.5244564778683243E-2</v>
      </c>
      <c r="W42" s="1"/>
      <c r="X42" s="1">
        <f t="shared" si="35"/>
        <v>-378.00000000000006</v>
      </c>
      <c r="Y42" s="1"/>
      <c r="Z42" s="5">
        <f t="shared" si="36"/>
        <v>-0.47707996768982236</v>
      </c>
    </row>
    <row r="43" spans="1:26" s="24" customFormat="1" hidden="1" outlineLevel="2" x14ac:dyDescent="0.25">
      <c r="A43" s="26"/>
      <c r="B43" s="11" t="str">
        <f>CONCATENATE("          ", "6387", " - ", "COMMISSION DUE HOUSING")</f>
        <v xml:space="preserve">          6387 - COMMISSION DUE HOUSING</v>
      </c>
      <c r="C43" s="11"/>
      <c r="D43" s="6"/>
      <c r="E43" s="2"/>
      <c r="F43" s="7">
        <f t="shared" si="29"/>
        <v>0</v>
      </c>
      <c r="G43" s="2"/>
      <c r="H43" s="6">
        <v>59.76</v>
      </c>
      <c r="I43" s="2"/>
      <c r="J43" s="7">
        <f t="shared" si="30"/>
        <v>8.0003212980440983E-2</v>
      </c>
      <c r="K43" s="2"/>
      <c r="L43" s="6">
        <f t="shared" si="31"/>
        <v>-59.76</v>
      </c>
      <c r="M43" s="2"/>
      <c r="N43" s="7">
        <f t="shared" si="32"/>
        <v>-1</v>
      </c>
      <c r="O43" s="11"/>
      <c r="P43" s="6">
        <v>414.32</v>
      </c>
      <c r="Q43" s="2"/>
      <c r="R43" s="7">
        <f t="shared" si="33"/>
        <v>7.9999691061243244E-2</v>
      </c>
      <c r="S43" s="2"/>
      <c r="T43" s="6">
        <v>792.32</v>
      </c>
      <c r="U43" s="2"/>
      <c r="V43" s="7">
        <f t="shared" si="34"/>
        <v>7.5244564778683243E-2</v>
      </c>
      <c r="W43" s="2"/>
      <c r="X43" s="6">
        <f t="shared" si="35"/>
        <v>-378.00000000000006</v>
      </c>
      <c r="Y43" s="2"/>
      <c r="Z43" s="7">
        <f t="shared" si="36"/>
        <v>-0.47707996768982236</v>
      </c>
    </row>
    <row r="44" spans="1:26" s="27" customFormat="1" outlineLevel="1" collapsed="1" x14ac:dyDescent="0.25">
      <c r="A44" s="25"/>
      <c r="B44" s="13" t="str">
        <f>CONCATENATE("     ","Supplies                                          ")</f>
        <v xml:space="preserve">     Supplies                                          </v>
      </c>
      <c r="C44" s="13"/>
      <c r="D44" s="1">
        <f>SUM(OSRRefD22_8x_0)</f>
        <v>0</v>
      </c>
      <c r="E44" s="1"/>
      <c r="F44" s="5">
        <f t="shared" si="29"/>
        <v>0</v>
      </c>
      <c r="G44" s="1"/>
      <c r="H44" s="1">
        <f>SUM(OSRRefH22_8x_0)</f>
        <v>20.58</v>
      </c>
      <c r="I44" s="1"/>
      <c r="J44" s="5">
        <f t="shared" si="30"/>
        <v>2.7551307281416922E-2</v>
      </c>
      <c r="K44" s="1"/>
      <c r="L44" s="1">
        <f t="shared" si="31"/>
        <v>-20.58</v>
      </c>
      <c r="M44" s="1"/>
      <c r="N44" s="5">
        <f t="shared" si="32"/>
        <v>-1</v>
      </c>
      <c r="O44" s="13"/>
      <c r="P44" s="1">
        <f>SUM(OSRRefP22_8x_0)</f>
        <v>1592.1399999999999</v>
      </c>
      <c r="Q44" s="1"/>
      <c r="R44" s="5">
        <f t="shared" si="33"/>
        <v>0.30742109511065796</v>
      </c>
      <c r="S44" s="1"/>
      <c r="T44" s="1">
        <f>SUM(OSRRefT22_8x_0)</f>
        <v>405.15999999999997</v>
      </c>
      <c r="U44" s="1"/>
      <c r="V44" s="5">
        <f t="shared" si="34"/>
        <v>3.8476988925852301E-2</v>
      </c>
      <c r="W44" s="1"/>
      <c r="X44" s="1">
        <f t="shared" si="35"/>
        <v>1186.98</v>
      </c>
      <c r="Y44" s="1"/>
      <c r="Z44" s="5">
        <f t="shared" si="36"/>
        <v>2.9296574192911446</v>
      </c>
    </row>
    <row r="45" spans="1:26" s="24" customFormat="1" hidden="1" outlineLevel="2" x14ac:dyDescent="0.25">
      <c r="A45" s="26"/>
      <c r="B45" s="11" t="str">
        <f>CONCATENATE("          ", "6237", " - ", "JANITORIAL SUPPLIES")</f>
        <v xml:space="preserve">          6237 - JANITORIAL SUPPLIES</v>
      </c>
      <c r="C45" s="11"/>
      <c r="D45" s="6"/>
      <c r="E45" s="2"/>
      <c r="F45" s="7">
        <f t="shared" si="29"/>
        <v>0</v>
      </c>
      <c r="G45" s="2"/>
      <c r="H45" s="6"/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>
        <v>47.13</v>
      </c>
      <c r="Q45" s="2"/>
      <c r="R45" s="7">
        <f t="shared" si="33"/>
        <v>9.1001772536116864E-3</v>
      </c>
      <c r="S45" s="2"/>
      <c r="T45" s="6">
        <v>240.67</v>
      </c>
      <c r="U45" s="2"/>
      <c r="V45" s="7">
        <f t="shared" si="34"/>
        <v>2.2855802460225279E-2</v>
      </c>
      <c r="W45" s="2"/>
      <c r="X45" s="6">
        <f t="shared" si="35"/>
        <v>-193.54</v>
      </c>
      <c r="Y45" s="2"/>
      <c r="Z45" s="7">
        <f t="shared" si="36"/>
        <v>-0.80417168737275113</v>
      </c>
    </row>
    <row r="46" spans="1:26" s="24" customFormat="1" hidden="1" outlineLevel="2" x14ac:dyDescent="0.25">
      <c r="A46" s="26"/>
      <c r="B46" s="11" t="str">
        <f>CONCATENATE("          ", "6243", " - ", "PAPER SUPPLIES")</f>
        <v xml:space="preserve">          6243 - PAPER SUPPLIES</v>
      </c>
      <c r="C46" s="11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/>
      <c r="Q46" s="2"/>
      <c r="R46" s="7">
        <f t="shared" si="33"/>
        <v>0</v>
      </c>
      <c r="S46" s="2"/>
      <c r="T46" s="6">
        <v>230.39</v>
      </c>
      <c r="U46" s="2"/>
      <c r="V46" s="7">
        <f t="shared" si="34"/>
        <v>2.1879537660744183E-2</v>
      </c>
      <c r="W46" s="2"/>
      <c r="X46" s="6">
        <f t="shared" si="35"/>
        <v>-230.39</v>
      </c>
      <c r="Y46" s="2"/>
      <c r="Z46" s="7">
        <f t="shared" si="36"/>
        <v>-1</v>
      </c>
    </row>
    <row r="47" spans="1:26" s="24" customFormat="1" hidden="1" outlineLevel="2" x14ac:dyDescent="0.25">
      <c r="A47" s="26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9"/>
        <v>0</v>
      </c>
      <c r="G47" s="2"/>
      <c r="H47" s="6">
        <v>20.58</v>
      </c>
      <c r="I47" s="2"/>
      <c r="J47" s="7">
        <f t="shared" si="30"/>
        <v>2.7551307281416922E-2</v>
      </c>
      <c r="K47" s="2"/>
      <c r="L47" s="6">
        <f t="shared" si="31"/>
        <v>-20.58</v>
      </c>
      <c r="M47" s="2"/>
      <c r="N47" s="7">
        <f t="shared" si="32"/>
        <v>-1</v>
      </c>
      <c r="O47" s="11"/>
      <c r="P47" s="6">
        <v>431.41</v>
      </c>
      <c r="Q47" s="2"/>
      <c r="R47" s="7">
        <f t="shared" si="33"/>
        <v>8.3299543156813455E-2</v>
      </c>
      <c r="S47" s="2"/>
      <c r="T47" s="6">
        <v>-65.900000000000006</v>
      </c>
      <c r="U47" s="2"/>
      <c r="V47" s="7">
        <f t="shared" si="34"/>
        <v>-6.2583511951171565E-3</v>
      </c>
      <c r="W47" s="2"/>
      <c r="X47" s="6">
        <f t="shared" si="35"/>
        <v>497.31000000000006</v>
      </c>
      <c r="Y47" s="2"/>
      <c r="Z47" s="7">
        <f t="shared" si="36"/>
        <v>-7.546433990895296</v>
      </c>
    </row>
    <row r="48" spans="1:26" s="24" customFormat="1" hidden="1" outlineLevel="2" x14ac:dyDescent="0.25">
      <c r="A48" s="26"/>
      <c r="B48" s="11" t="str">
        <f>CONCATENATE("          ", "6248", " - ", "UNIFORMS")</f>
        <v xml:space="preserve">          6248 - UNIFORMS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1113.5999999999999</v>
      </c>
      <c r="Q48" s="2"/>
      <c r="R48" s="7">
        <f t="shared" si="33"/>
        <v>0.21502137470023283</v>
      </c>
      <c r="S48" s="2"/>
      <c r="T48" s="6"/>
      <c r="U48" s="2"/>
      <c r="V48" s="7">
        <f t="shared" si="34"/>
        <v>0</v>
      </c>
      <c r="W48" s="2"/>
      <c r="X48" s="6">
        <f t="shared" si="35"/>
        <v>1113.5999999999999</v>
      </c>
      <c r="Y48" s="2"/>
      <c r="Z48" s="7">
        <f t="shared" si="36"/>
        <v>0</v>
      </c>
    </row>
    <row r="49" spans="1:26" s="27" customFormat="1" outlineLevel="1" collapsed="1" x14ac:dyDescent="0.25">
      <c r="A49" s="25"/>
      <c r="B49" s="13" t="str">
        <f>CONCATENATE("     ","Telephone/Data Lines                              ")</f>
        <v xml:space="preserve">     Telephone/Data Lines                              </v>
      </c>
      <c r="C49" s="13"/>
      <c r="D49" s="1">
        <f>SUM(OSRRefD22_9x_0)</f>
        <v>75.5</v>
      </c>
      <c r="E49" s="1"/>
      <c r="F49" s="5">
        <f t="shared" ref="F49:F50" si="37">IF(D$12=0,0,D49/D$12)</f>
        <v>0</v>
      </c>
      <c r="G49" s="1"/>
      <c r="H49" s="1">
        <f>SUM(OSRRefH22_9x_0)</f>
        <v>75.5</v>
      </c>
      <c r="I49" s="1"/>
      <c r="J49" s="5">
        <f t="shared" ref="J49:J50" si="38">IF(H$12=0,0,H49/H$12)</f>
        <v>0.10107500970587842</v>
      </c>
      <c r="K49" s="1"/>
      <c r="L49" s="1">
        <f t="shared" ref="L49:L50" si="39">+D49-H49</f>
        <v>0</v>
      </c>
      <c r="M49" s="1"/>
      <c r="N49" s="5">
        <f t="shared" ref="N49:N50" si="40">IF(H49=0,0,L49/H49)</f>
        <v>0</v>
      </c>
      <c r="O49" s="13"/>
      <c r="P49" s="1">
        <f>SUM(OSRRefP22_9x_0)</f>
        <v>790.5</v>
      </c>
      <c r="Q49" s="1"/>
      <c r="R49" s="5">
        <f t="shared" ref="R49:R50" si="41">IF(P$12=0,0,P49/P$12)</f>
        <v>0.15263505450838188</v>
      </c>
      <c r="S49" s="1"/>
      <c r="T49" s="1">
        <f>SUM(OSRRefT22_9x_0)</f>
        <v>770.5</v>
      </c>
      <c r="U49" s="1"/>
      <c r="V49" s="5">
        <f t="shared" ref="V49:V50" si="42">IF(T$12=0,0,T49/T$12)</f>
        <v>7.317237626460954E-2</v>
      </c>
      <c r="W49" s="1"/>
      <c r="X49" s="1">
        <f t="shared" ref="X49:X50" si="43">+P49-T49</f>
        <v>20</v>
      </c>
      <c r="Y49" s="1"/>
      <c r="Z49" s="5">
        <f t="shared" ref="Z49:Z50" si="44">IF(T49=0,0,X49/T49)</f>
        <v>2.5957170668397145E-2</v>
      </c>
    </row>
    <row r="50" spans="1:26" s="24" customFormat="1" hidden="1" outlineLevel="2" x14ac:dyDescent="0.25">
      <c r="A50" s="26"/>
      <c r="B50" s="11" t="str">
        <f>CONCATENATE("          ", "6309", " - ", "TELEPHONE")</f>
        <v xml:space="preserve">          6309 - TELEPHONE</v>
      </c>
      <c r="C50" s="11"/>
      <c r="D50" s="6">
        <v>75.5</v>
      </c>
      <c r="E50" s="2"/>
      <c r="F50" s="7">
        <f t="shared" si="37"/>
        <v>0</v>
      </c>
      <c r="G50" s="2"/>
      <c r="H50" s="6">
        <v>75.5</v>
      </c>
      <c r="I50" s="2"/>
      <c r="J50" s="7">
        <f t="shared" si="38"/>
        <v>0.10107500970587842</v>
      </c>
      <c r="K50" s="2"/>
      <c r="L50" s="6">
        <f t="shared" si="39"/>
        <v>0</v>
      </c>
      <c r="M50" s="2"/>
      <c r="N50" s="7">
        <f t="shared" si="40"/>
        <v>0</v>
      </c>
      <c r="O50" s="11"/>
      <c r="P50" s="6">
        <v>790.5</v>
      </c>
      <c r="Q50" s="2"/>
      <c r="R50" s="7">
        <f t="shared" si="41"/>
        <v>0.15263505450838188</v>
      </c>
      <c r="S50" s="2"/>
      <c r="T50" s="6">
        <v>770.5</v>
      </c>
      <c r="U50" s="2"/>
      <c r="V50" s="7">
        <f t="shared" si="42"/>
        <v>7.317237626460954E-2</v>
      </c>
      <c r="W50" s="2"/>
      <c r="X50" s="6">
        <f t="shared" si="43"/>
        <v>20</v>
      </c>
      <c r="Y50" s="2"/>
      <c r="Z50" s="7">
        <f t="shared" si="44"/>
        <v>2.5957170668397145E-2</v>
      </c>
    </row>
    <row r="51" spans="1:26" s="58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8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3</v>
      </c>
      <c r="C54" s="29"/>
      <c r="D54" s="21">
        <f>+D21-D23+D52</f>
        <v>-75.5</v>
      </c>
      <c r="E54" s="14"/>
      <c r="F54" s="20">
        <f>IF(D$12=0,0,D54/D$12)</f>
        <v>0</v>
      </c>
      <c r="G54" s="14"/>
      <c r="H54" s="21">
        <f>+H21-H23+H52</f>
        <v>-1899.9399999999998</v>
      </c>
      <c r="I54" s="14"/>
      <c r="J54" s="20">
        <f>IF(H$12=0,0,H54/H$12)</f>
        <v>-2.5435291912660478</v>
      </c>
      <c r="K54" s="16"/>
      <c r="L54" s="21">
        <f>+D54-H54</f>
        <v>1824.4399999999998</v>
      </c>
      <c r="M54" s="16"/>
      <c r="N54" s="20">
        <f>IF(H54=0,0,L54/H54)</f>
        <v>-0.96026190300746339</v>
      </c>
      <c r="O54" s="28"/>
      <c r="P54" s="21">
        <f>+P21-P23+P52</f>
        <v>-17176.669999999998</v>
      </c>
      <c r="Q54" s="14"/>
      <c r="R54" s="20">
        <f>IF(P$12=0,0,P54/P$12)</f>
        <v>-3.316586921850079</v>
      </c>
      <c r="S54" s="14"/>
      <c r="T54" s="21">
        <f>+T21-T23+T52</f>
        <v>-17134.679999999993</v>
      </c>
      <c r="U54" s="14"/>
      <c r="V54" s="20">
        <f>IF(T$12=0,0,T54/T$12)</f>
        <v>-1.627235888557663</v>
      </c>
      <c r="W54" s="16"/>
      <c r="X54" s="21">
        <f>+P54-T54</f>
        <v>-41.990000000005239</v>
      </c>
      <c r="Y54" s="16"/>
      <c r="Z54" s="20">
        <f>IF(T54=0,0,X54/T54)</f>
        <v>2.4505855959962635E-3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>
        <v>25.24</v>
      </c>
      <c r="E56" s="4"/>
      <c r="F56" s="12">
        <f>IF(D$12=0,0,D56/D$12)</f>
        <v>0</v>
      </c>
      <c r="G56" s="4"/>
      <c r="H56" s="4">
        <v>78.25</v>
      </c>
      <c r="I56" s="4"/>
      <c r="J56" s="12">
        <f>IF(H$12=0,0,H56/H$12)</f>
        <v>0.10475654979450312</v>
      </c>
      <c r="K56" s="4"/>
      <c r="L56" s="4">
        <f>+D56-H56</f>
        <v>-53.010000000000005</v>
      </c>
      <c r="M56" s="4"/>
      <c r="N56" s="12">
        <f>IF(H56=0,0,L56/H56)</f>
        <v>-0.67744408945686907</v>
      </c>
      <c r="O56" s="10"/>
      <c r="P56" s="4">
        <v>613.28</v>
      </c>
      <c r="Q56" s="4"/>
      <c r="R56" s="12">
        <f>IF(P$12=0,0,P56/P$12)</f>
        <v>0.11841622546350467</v>
      </c>
      <c r="S56" s="4"/>
      <c r="T56" s="4">
        <v>1095.27</v>
      </c>
      <c r="U56" s="4"/>
      <c r="V56" s="12">
        <f>IF(T$12=0,0,T56/T$12)</f>
        <v>0.10401493647156249</v>
      </c>
      <c r="W56" s="4"/>
      <c r="X56" s="4">
        <f>+P56-T56</f>
        <v>-481.99</v>
      </c>
      <c r="Y56" s="4"/>
      <c r="Z56" s="12">
        <f>IF(T56=0,0,X56/T56)</f>
        <v>-0.4400650068019758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4</v>
      </c>
      <c r="C58" s="29"/>
      <c r="D58" s="35">
        <f>+D54-D56</f>
        <v>-100.74</v>
      </c>
      <c r="E58" s="14"/>
      <c r="F58" s="32">
        <f>IF(D$12=0,0,D58/D$12)</f>
        <v>0</v>
      </c>
      <c r="G58" s="14"/>
      <c r="H58" s="35">
        <f>+H54-H56</f>
        <v>-1978.1899999999998</v>
      </c>
      <c r="I58" s="14"/>
      <c r="J58" s="32">
        <f>IF(H$12=0,0,H58/H$12)</f>
        <v>-2.6482857410605511</v>
      </c>
      <c r="K58" s="16"/>
      <c r="L58" s="35">
        <f>D58-H58</f>
        <v>1877.4499999999998</v>
      </c>
      <c r="M58" s="16"/>
      <c r="N58" s="32">
        <f>IF(H58=0,0,L58/H58)</f>
        <v>-0.94907465915811928</v>
      </c>
      <c r="O58" s="28"/>
      <c r="P58" s="35">
        <f>+P54-P56</f>
        <v>-17789.949999999997</v>
      </c>
      <c r="Q58" s="14"/>
      <c r="R58" s="32">
        <f>IF(P$12=0,0,P58/P$12)</f>
        <v>-3.4350031473135836</v>
      </c>
      <c r="S58" s="14"/>
      <c r="T58" s="35">
        <f>+T54-T56</f>
        <v>-18229.949999999993</v>
      </c>
      <c r="U58" s="14"/>
      <c r="V58" s="32">
        <f>IF(T$12=0,0,T58/T$12)</f>
        <v>-1.7312508250292256</v>
      </c>
      <c r="W58" s="16"/>
      <c r="X58" s="35">
        <f>P58-T58</f>
        <v>439.99999999999636</v>
      </c>
      <c r="Y58" s="16"/>
      <c r="Z58" s="32">
        <f>IF(T58=0,0,X58/T58)</f>
        <v>-2.4136105694200837E-2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9" t="s">
        <v>5</v>
      </c>
      <c r="C61" s="29"/>
      <c r="D61" s="36">
        <f>SUM(D58:D60)</f>
        <v>-100.74</v>
      </c>
      <c r="E61" s="14"/>
      <c r="F61" s="33">
        <f>IF(D$12=0,0,D61/D$12)</f>
        <v>0</v>
      </c>
      <c r="G61" s="14"/>
      <c r="H61" s="36">
        <f>SUM(H58:H60)</f>
        <v>-1978.1899999999998</v>
      </c>
      <c r="I61" s="14"/>
      <c r="J61" s="33">
        <f>IF(H$12=0,0,H61/H$12)</f>
        <v>-2.6482857410605511</v>
      </c>
      <c r="K61" s="16"/>
      <c r="L61" s="36">
        <f>+D61-H61</f>
        <v>1877.4499999999998</v>
      </c>
      <c r="M61" s="16"/>
      <c r="N61" s="33">
        <f>IF(H61=0,0,L61/H61)</f>
        <v>-0.94907465915811928</v>
      </c>
      <c r="O61" s="28"/>
      <c r="P61" s="36">
        <f>SUM(P58:P60)</f>
        <v>-17789.949999999997</v>
      </c>
      <c r="Q61" s="14"/>
      <c r="R61" s="33">
        <f>IF(P$12=0,0,P61/P$12)</f>
        <v>-3.4350031473135836</v>
      </c>
      <c r="S61" s="14"/>
      <c r="T61" s="36">
        <f>SUM(T58:T60)</f>
        <v>-18229.949999999993</v>
      </c>
      <c r="U61" s="14"/>
      <c r="V61" s="33">
        <f>IF(T$12=0,0,T61/T$12)</f>
        <v>-1.7312508250292256</v>
      </c>
      <c r="W61" s="16"/>
      <c r="X61" s="36">
        <f>+P61-T61</f>
        <v>439.99999999999636</v>
      </c>
      <c r="Y61" s="16"/>
      <c r="Z61" s="33">
        <f>IF(T61=0,0,X61/T61)</f>
        <v>-2.4136105694200837E-2</v>
      </c>
    </row>
    <row r="62" spans="1:26" ht="15.75" thickTop="1" x14ac:dyDescent="0.25">
      <c r="A62" s="9"/>
      <c r="C62" s="9"/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55">
        <v>43992.37610494213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62" t="s">
        <v>313</v>
      </c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53"/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248748.32</v>
      </c>
      <c r="I12" s="4"/>
      <c r="J12" s="12"/>
      <c r="K12" s="4"/>
      <c r="L12" s="4">
        <f t="shared" ref="L12:L15" si="0">+D12-H12</f>
        <v>-248748.32</v>
      </c>
      <c r="M12" s="4"/>
      <c r="N12" s="12">
        <f t="shared" ref="N12:N15" si="1">IF(H12=0,0,L12/H12)</f>
        <v>-1</v>
      </c>
      <c r="O12" s="10"/>
      <c r="P12" s="4">
        <f>SUM(OSRRefP13x_0)</f>
        <v>3384443.28</v>
      </c>
      <c r="Q12" s="4"/>
      <c r="R12" s="12"/>
      <c r="S12" s="4"/>
      <c r="T12" s="4">
        <f>SUM(OSRRefT13x_0)</f>
        <v>4046142.52</v>
      </c>
      <c r="U12" s="4"/>
      <c r="V12" s="12"/>
      <c r="W12" s="4"/>
      <c r="X12" s="4">
        <f t="shared" ref="X12:X15" si="2">+P12-T12</f>
        <v>-661699.24000000022</v>
      </c>
      <c r="Y12" s="4"/>
      <c r="Z12" s="12">
        <f t="shared" ref="Z12:Z15" si="3">IF(T12=0,0,X12/T12)</f>
        <v>-0.16353829276384466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--111.91</f>
        <v>111.91</v>
      </c>
      <c r="I13" s="2"/>
      <c r="J13" s="19"/>
      <c r="K13" s="2"/>
      <c r="L13" s="2">
        <f t="shared" si="0"/>
        <v>-111.91</v>
      </c>
      <c r="M13" s="2"/>
      <c r="N13" s="19">
        <f t="shared" si="1"/>
        <v>-1</v>
      </c>
      <c r="O13" s="11"/>
      <c r="P13" s="2">
        <f>--4314.79</f>
        <v>4314.79</v>
      </c>
      <c r="Q13" s="2"/>
      <c r="R13" s="19"/>
      <c r="S13" s="2"/>
      <c r="T13" s="2">
        <f>--2879.79</f>
        <v>2879.79</v>
      </c>
      <c r="U13" s="2"/>
      <c r="V13" s="19"/>
      <c r="W13" s="2"/>
      <c r="X13" s="2">
        <f t="shared" si="2"/>
        <v>1435</v>
      </c>
      <c r="Y13" s="2"/>
      <c r="Z13" s="19">
        <f t="shared" si="3"/>
        <v>0.49830022328016976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--245995.84</f>
        <v>245995.84</v>
      </c>
      <c r="I14" s="2"/>
      <c r="J14" s="19"/>
      <c r="K14" s="2"/>
      <c r="L14" s="2">
        <f t="shared" si="0"/>
        <v>-245995.84</v>
      </c>
      <c r="M14" s="2"/>
      <c r="N14" s="19">
        <f t="shared" si="1"/>
        <v>-1</v>
      </c>
      <c r="O14" s="11"/>
      <c r="P14" s="2">
        <f>--3334016.05</f>
        <v>3334016.05</v>
      </c>
      <c r="Q14" s="2"/>
      <c r="R14" s="19"/>
      <c r="S14" s="2"/>
      <c r="T14" s="2">
        <f>--3980256.57</f>
        <v>3980256.57</v>
      </c>
      <c r="U14" s="2"/>
      <c r="V14" s="19"/>
      <c r="W14" s="2"/>
      <c r="X14" s="2">
        <f t="shared" si="2"/>
        <v>-646240.52</v>
      </c>
      <c r="Y14" s="2"/>
      <c r="Z14" s="19">
        <f t="shared" si="3"/>
        <v>-0.16236152334270251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--2640.57</f>
        <v>2640.57</v>
      </c>
      <c r="I15" s="2"/>
      <c r="J15" s="19"/>
      <c r="K15" s="2"/>
      <c r="L15" s="2">
        <f t="shared" si="0"/>
        <v>-2640.57</v>
      </c>
      <c r="M15" s="2"/>
      <c r="N15" s="19">
        <f t="shared" si="1"/>
        <v>-1</v>
      </c>
      <c r="O15" s="11"/>
      <c r="P15" s="2">
        <f>--46112.44</f>
        <v>46112.44</v>
      </c>
      <c r="Q15" s="2"/>
      <c r="R15" s="19"/>
      <c r="S15" s="2"/>
      <c r="T15" s="2">
        <f>--63006.16</f>
        <v>63006.16</v>
      </c>
      <c r="U15" s="2"/>
      <c r="V15" s="19"/>
      <c r="W15" s="2"/>
      <c r="X15" s="2">
        <f t="shared" si="2"/>
        <v>-16893.72</v>
      </c>
      <c r="Y15" s="2"/>
      <c r="Z15" s="19">
        <f t="shared" si="3"/>
        <v>-0.26812806874756373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4911</v>
      </c>
      <c r="E17" s="4"/>
      <c r="F17" s="12">
        <f t="shared" ref="F17:F19" si="5">IF(D$12=0,0,D17/D$12)</f>
        <v>0</v>
      </c>
      <c r="G17" s="4"/>
      <c r="H17" s="4">
        <f>SUM(OSRRefH16x_0)</f>
        <v>50403.560000000005</v>
      </c>
      <c r="I17" s="4"/>
      <c r="J17" s="12">
        <f t="shared" ref="J17:J19" si="6">IF(H$12=0,0,H17/H$12)</f>
        <v>0.20262874539212969</v>
      </c>
      <c r="K17" s="4"/>
      <c r="L17" s="4">
        <f t="shared" ref="L17:L19" si="7">+D17-H17</f>
        <v>-45492.560000000005</v>
      </c>
      <c r="M17" s="4"/>
      <c r="N17" s="12">
        <f t="shared" ref="N17:N19" si="8">IF(H17=0,0,L17/H17)</f>
        <v>-0.90256640602370153</v>
      </c>
      <c r="O17" s="10"/>
      <c r="P17" s="4">
        <f>SUM(OSRRefP16x_0)</f>
        <v>846259.54999999993</v>
      </c>
      <c r="Q17" s="4"/>
      <c r="R17" s="12">
        <f t="shared" ref="R17:R19" si="9">IF(P$12=0,0,P17/P$12)</f>
        <v>0.25004394518911838</v>
      </c>
      <c r="S17" s="4"/>
      <c r="T17" s="4">
        <f>SUM(OSRRefT16x_0)</f>
        <v>1059944.99</v>
      </c>
      <c r="U17" s="4"/>
      <c r="V17" s="12">
        <f t="shared" ref="V17:V19" si="10">IF(T$12=0,0,T17/T$12)</f>
        <v>0.26196432398530539</v>
      </c>
      <c r="W17" s="4"/>
      <c r="X17" s="4">
        <f t="shared" ref="X17:X19" si="11">+P17-T17</f>
        <v>-213685.44000000006</v>
      </c>
      <c r="Y17" s="4"/>
      <c r="Z17" s="12">
        <f t="shared" ref="Z17:Z19" si="12">IF(T17=0,0,X17/T17)</f>
        <v>-0.20160050004104463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52474.060000000005</v>
      </c>
      <c r="I18" s="2"/>
      <c r="J18" s="19">
        <f t="shared" si="6"/>
        <v>0.21095241969875417</v>
      </c>
      <c r="K18" s="2"/>
      <c r="L18" s="2">
        <f t="shared" si="7"/>
        <v>-52474.060000000005</v>
      </c>
      <c r="M18" s="2"/>
      <c r="N18" s="19">
        <f t="shared" si="8"/>
        <v>-1</v>
      </c>
      <c r="O18" s="11"/>
      <c r="P18" s="2">
        <v>830847.79999999993</v>
      </c>
      <c r="Q18" s="2"/>
      <c r="R18" s="19">
        <f t="shared" si="9"/>
        <v>0.24549024204654421</v>
      </c>
      <c r="S18" s="2"/>
      <c r="T18" s="2">
        <v>1064865.24</v>
      </c>
      <c r="U18" s="2"/>
      <c r="V18" s="19">
        <f t="shared" si="10"/>
        <v>0.26318035875809931</v>
      </c>
      <c r="W18" s="2"/>
      <c r="X18" s="2">
        <f t="shared" si="11"/>
        <v>-234017.44000000006</v>
      </c>
      <c r="Y18" s="2"/>
      <c r="Z18" s="19">
        <f t="shared" si="12"/>
        <v>-0.21976249313950755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4911</v>
      </c>
      <c r="E19" s="2"/>
      <c r="F19" s="19">
        <f t="shared" si="5"/>
        <v>0</v>
      </c>
      <c r="G19" s="2"/>
      <c r="H19" s="2">
        <v>-2070.5</v>
      </c>
      <c r="I19" s="2"/>
      <c r="J19" s="19">
        <f t="shared" si="6"/>
        <v>-8.3236743066244633E-3</v>
      </c>
      <c r="K19" s="2"/>
      <c r="L19" s="2">
        <f t="shared" si="7"/>
        <v>6981.5</v>
      </c>
      <c r="M19" s="2"/>
      <c r="N19" s="19">
        <f t="shared" si="8"/>
        <v>-3.3718908476213474</v>
      </c>
      <c r="O19" s="11"/>
      <c r="P19" s="2">
        <v>15411.750000000002</v>
      </c>
      <c r="Q19" s="2"/>
      <c r="R19" s="19">
        <f t="shared" si="9"/>
        <v>4.5537031425741618E-3</v>
      </c>
      <c r="S19" s="2"/>
      <c r="T19" s="2">
        <v>-4920.25</v>
      </c>
      <c r="U19" s="2"/>
      <c r="V19" s="19">
        <f t="shared" si="10"/>
        <v>-1.2160347727939154E-3</v>
      </c>
      <c r="W19" s="2"/>
      <c r="X19" s="2">
        <f t="shared" si="11"/>
        <v>20332</v>
      </c>
      <c r="Y19" s="2"/>
      <c r="Z19" s="19">
        <f t="shared" si="12"/>
        <v>-4.132310350083837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-4911</v>
      </c>
      <c r="E21" s="14"/>
      <c r="F21" s="20">
        <f>IF(D$12=0,0,D21/D$12)</f>
        <v>0</v>
      </c>
      <c r="G21" s="14"/>
      <c r="H21" s="21">
        <f>H12-H17</f>
        <v>198344.76</v>
      </c>
      <c r="I21" s="14"/>
      <c r="J21" s="20">
        <f>IF(H$12=0,0,H21/H$12)</f>
        <v>0.79737125460787028</v>
      </c>
      <c r="K21" s="16"/>
      <c r="L21" s="21">
        <f>+D21-H21</f>
        <v>-203255.76</v>
      </c>
      <c r="M21" s="16"/>
      <c r="N21" s="20">
        <f>IF(H21=0,0,L21/H21)</f>
        <v>-1.02475991803363</v>
      </c>
      <c r="O21" s="28"/>
      <c r="P21" s="21">
        <f>P12-P17</f>
        <v>2538183.73</v>
      </c>
      <c r="Q21" s="14"/>
      <c r="R21" s="20">
        <f>IF(P$12=0,0,P21/P$12)</f>
        <v>0.74995605481088168</v>
      </c>
      <c r="S21" s="14"/>
      <c r="T21" s="21">
        <f>T12-T17</f>
        <v>2986197.5300000003</v>
      </c>
      <c r="U21" s="14"/>
      <c r="V21" s="20">
        <f>IF(T$12=0,0,T21/T$12)</f>
        <v>0.73803567601469466</v>
      </c>
      <c r="W21" s="16"/>
      <c r="X21" s="21">
        <f>+P21-T21</f>
        <v>-448013.80000000028</v>
      </c>
      <c r="Y21" s="16"/>
      <c r="Z21" s="20">
        <f>IF(T21=0,0,X21/T21)</f>
        <v>-0.15002818651450706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49654.649999999994</v>
      </c>
      <c r="E23" s="22"/>
      <c r="F23" s="31">
        <f t="shared" ref="F23:F33" si="13">IF(D$12=0,0,D23/D$12)</f>
        <v>0</v>
      </c>
      <c r="G23" s="22"/>
      <c r="H23" s="22">
        <f>SUM(OSRRefH22x_0)</f>
        <v>173143.83</v>
      </c>
      <c r="I23" s="22"/>
      <c r="J23" s="31">
        <f t="shared" ref="J23:J33" si="14">IF(H$12=0,0,H23/H$12)</f>
        <v>0.69606029902031086</v>
      </c>
      <c r="K23" s="4"/>
      <c r="L23" s="22">
        <f t="shared" ref="L23:L33" si="15">+D23-H23</f>
        <v>-123489.18</v>
      </c>
      <c r="M23" s="4"/>
      <c r="N23" s="31">
        <f t="shared" ref="N23:N33" si="16">IF(H23=0,0,L23/H23)</f>
        <v>-0.71321732919966019</v>
      </c>
      <c r="O23" s="10"/>
      <c r="P23" s="22">
        <f>SUM(OSRRefP22x_0)</f>
        <v>1710412.01</v>
      </c>
      <c r="Q23" s="22"/>
      <c r="R23" s="31">
        <f t="shared" ref="R23:R33" si="17">IF(P$12=0,0,P23/P$12)</f>
        <v>0.50537470079864955</v>
      </c>
      <c r="S23" s="22"/>
      <c r="T23" s="22">
        <f>SUM(OSRRefT22x_0)</f>
        <v>1869553.83</v>
      </c>
      <c r="U23" s="22"/>
      <c r="V23" s="31">
        <f t="shared" ref="V23:V33" si="18">IF(T$12=0,0,T23/T$12)</f>
        <v>0.46205832364006794</v>
      </c>
      <c r="W23" s="4"/>
      <c r="X23" s="22">
        <f t="shared" ref="X23:X33" si="19">+P23-T23</f>
        <v>-159141.82000000007</v>
      </c>
      <c r="Y23" s="4"/>
      <c r="Z23" s="31">
        <f t="shared" ref="Z23:Z33" si="20">IF(T23=0,0,X23/T23)</f>
        <v>-8.5122887314777157E-2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27618.579999999998</v>
      </c>
      <c r="E24" s="1"/>
      <c r="F24" s="5">
        <f t="shared" si="13"/>
        <v>0</v>
      </c>
      <c r="G24" s="1"/>
      <c r="H24" s="1">
        <f>SUM(OSRRefH22_0x_0)</f>
        <v>36484</v>
      </c>
      <c r="I24" s="1"/>
      <c r="J24" s="5">
        <f t="shared" si="14"/>
        <v>0.14667033731122284</v>
      </c>
      <c r="K24" s="1"/>
      <c r="L24" s="1">
        <f t="shared" si="15"/>
        <v>-8865.4200000000019</v>
      </c>
      <c r="M24" s="1"/>
      <c r="N24" s="5">
        <f t="shared" si="16"/>
        <v>-0.24299473741914268</v>
      </c>
      <c r="O24" s="13"/>
      <c r="P24" s="1">
        <f>SUM(OSRRefP22_0x_0)</f>
        <v>347717.6</v>
      </c>
      <c r="Q24" s="1"/>
      <c r="R24" s="5">
        <f t="shared" si="17"/>
        <v>0.10273996968860415</v>
      </c>
      <c r="S24" s="1"/>
      <c r="T24" s="1">
        <f>SUM(OSRRefT22_0x_0)</f>
        <v>353767.97000000009</v>
      </c>
      <c r="U24" s="1"/>
      <c r="V24" s="5">
        <f t="shared" si="18"/>
        <v>8.7433393226099235E-2</v>
      </c>
      <c r="W24" s="1"/>
      <c r="X24" s="1">
        <f t="shared" si="19"/>
        <v>-6050.3700000001118</v>
      </c>
      <c r="Y24" s="1"/>
      <c r="Z24" s="5">
        <f t="shared" si="20"/>
        <v>-1.7102650644149921E-2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2485.88</v>
      </c>
      <c r="E25" s="2"/>
      <c r="F25" s="7">
        <f t="shared" si="13"/>
        <v>0</v>
      </c>
      <c r="G25" s="2"/>
      <c r="H25" s="6">
        <v>6537.16</v>
      </c>
      <c r="I25" s="2"/>
      <c r="J25" s="7">
        <f t="shared" si="14"/>
        <v>2.6280217691520488E-2</v>
      </c>
      <c r="K25" s="2"/>
      <c r="L25" s="6">
        <f t="shared" si="15"/>
        <v>-4051.2799999999997</v>
      </c>
      <c r="M25" s="2"/>
      <c r="N25" s="7">
        <f t="shared" si="16"/>
        <v>-0.61973089231409351</v>
      </c>
      <c r="O25" s="11"/>
      <c r="P25" s="6">
        <v>48695.96</v>
      </c>
      <c r="Q25" s="2"/>
      <c r="R25" s="7">
        <f t="shared" si="17"/>
        <v>1.4388174352858413E-2</v>
      </c>
      <c r="S25" s="2"/>
      <c r="T25" s="6">
        <v>52998.009999999995</v>
      </c>
      <c r="U25" s="2"/>
      <c r="V25" s="7">
        <f t="shared" si="18"/>
        <v>1.3098404156065169E-2</v>
      </c>
      <c r="W25" s="2"/>
      <c r="X25" s="6">
        <f t="shared" si="19"/>
        <v>-4302.0499999999956</v>
      </c>
      <c r="Y25" s="2"/>
      <c r="Z25" s="7">
        <f t="shared" si="20"/>
        <v>-8.1173802563530142E-2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1891.21</v>
      </c>
      <c r="E26" s="2"/>
      <c r="F26" s="7">
        <f t="shared" si="13"/>
        <v>0</v>
      </c>
      <c r="G26" s="2"/>
      <c r="H26" s="6">
        <v>3622.83</v>
      </c>
      <c r="I26" s="2"/>
      <c r="J26" s="7">
        <f t="shared" si="14"/>
        <v>1.4564239067021638E-2</v>
      </c>
      <c r="K26" s="2"/>
      <c r="L26" s="6">
        <f t="shared" si="15"/>
        <v>-1731.62</v>
      </c>
      <c r="M26" s="2"/>
      <c r="N26" s="7">
        <f t="shared" si="16"/>
        <v>-0.47797440122776941</v>
      </c>
      <c r="O26" s="11"/>
      <c r="P26" s="6">
        <v>32193.43</v>
      </c>
      <c r="Q26" s="2"/>
      <c r="R26" s="7">
        <f t="shared" si="17"/>
        <v>9.5121789129230146E-3</v>
      </c>
      <c r="S26" s="2"/>
      <c r="T26" s="6">
        <v>32313.279999999999</v>
      </c>
      <c r="U26" s="2"/>
      <c r="V26" s="7">
        <f t="shared" si="18"/>
        <v>7.9861942183885298E-3</v>
      </c>
      <c r="W26" s="2"/>
      <c r="X26" s="6">
        <f t="shared" si="19"/>
        <v>-119.84999999999854</v>
      </c>
      <c r="Y26" s="2"/>
      <c r="Z26" s="7">
        <f t="shared" si="20"/>
        <v>-3.7090013765237869E-3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16509.649999999998</v>
      </c>
      <c r="E27" s="2"/>
      <c r="F27" s="7">
        <f t="shared" si="13"/>
        <v>0</v>
      </c>
      <c r="G27" s="2"/>
      <c r="H27" s="6">
        <v>16686.48</v>
      </c>
      <c r="I27" s="2"/>
      <c r="J27" s="7">
        <f t="shared" si="14"/>
        <v>6.7081779687999499E-2</v>
      </c>
      <c r="K27" s="2"/>
      <c r="L27" s="6">
        <f t="shared" si="15"/>
        <v>-176.83000000000175</v>
      </c>
      <c r="M27" s="2"/>
      <c r="N27" s="7">
        <f t="shared" si="16"/>
        <v>-1.0597202046207574E-2</v>
      </c>
      <c r="O27" s="11"/>
      <c r="P27" s="6">
        <v>193625.05</v>
      </c>
      <c r="Q27" s="2"/>
      <c r="R27" s="7">
        <f t="shared" si="17"/>
        <v>5.7210310228629387E-2</v>
      </c>
      <c r="S27" s="2"/>
      <c r="T27" s="6">
        <v>177722.18000000002</v>
      </c>
      <c r="U27" s="2"/>
      <c r="V27" s="7">
        <f t="shared" si="18"/>
        <v>4.3923855653013433E-2</v>
      </c>
      <c r="W27" s="2"/>
      <c r="X27" s="6">
        <f t="shared" si="19"/>
        <v>15902.869999999966</v>
      </c>
      <c r="Y27" s="2"/>
      <c r="Z27" s="7">
        <f t="shared" si="20"/>
        <v>8.9481628010639774E-2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126.77</v>
      </c>
      <c r="E28" s="2"/>
      <c r="F28" s="7">
        <f t="shared" si="13"/>
        <v>0</v>
      </c>
      <c r="G28" s="2"/>
      <c r="H28" s="6">
        <v>269.08</v>
      </c>
      <c r="I28" s="2"/>
      <c r="J28" s="7">
        <f t="shared" si="14"/>
        <v>1.0817359490106304E-3</v>
      </c>
      <c r="K28" s="2"/>
      <c r="L28" s="6">
        <f t="shared" si="15"/>
        <v>-142.31</v>
      </c>
      <c r="M28" s="2"/>
      <c r="N28" s="7">
        <f t="shared" si="16"/>
        <v>-0.52887617065556713</v>
      </c>
      <c r="O28" s="11"/>
      <c r="P28" s="6">
        <v>2535.62</v>
      </c>
      <c r="Q28" s="2"/>
      <c r="R28" s="7">
        <f t="shared" si="17"/>
        <v>7.4919855061066347E-4</v>
      </c>
      <c r="S28" s="2"/>
      <c r="T28" s="6">
        <v>2698.15</v>
      </c>
      <c r="U28" s="2"/>
      <c r="V28" s="7">
        <f t="shared" si="18"/>
        <v>6.6684502255249275E-4</v>
      </c>
      <c r="W28" s="2"/>
      <c r="X28" s="6">
        <f t="shared" si="19"/>
        <v>-162.5300000000002</v>
      </c>
      <c r="Y28" s="2"/>
      <c r="Z28" s="7">
        <f t="shared" si="20"/>
        <v>-6.023757018698004E-2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1334.66</v>
      </c>
      <c r="E29" s="2"/>
      <c r="F29" s="7">
        <f t="shared" si="13"/>
        <v>0</v>
      </c>
      <c r="G29" s="2"/>
      <c r="H29" s="6">
        <v>1129.4000000000001</v>
      </c>
      <c r="I29" s="2"/>
      <c r="J29" s="7">
        <f t="shared" si="14"/>
        <v>4.5403321718916539E-3</v>
      </c>
      <c r="K29" s="2"/>
      <c r="L29" s="6">
        <f t="shared" si="15"/>
        <v>205.26</v>
      </c>
      <c r="M29" s="2"/>
      <c r="N29" s="7">
        <f t="shared" si="16"/>
        <v>0.18174251815123071</v>
      </c>
      <c r="O29" s="11"/>
      <c r="P29" s="6">
        <v>15119.48</v>
      </c>
      <c r="Q29" s="2"/>
      <c r="R29" s="7">
        <f t="shared" si="17"/>
        <v>4.4673462514047508E-3</v>
      </c>
      <c r="S29" s="2"/>
      <c r="T29" s="6">
        <v>13523.15</v>
      </c>
      <c r="U29" s="2"/>
      <c r="V29" s="7">
        <f t="shared" si="18"/>
        <v>3.3422327397404678E-3</v>
      </c>
      <c r="W29" s="2"/>
      <c r="X29" s="6">
        <f t="shared" si="19"/>
        <v>1596.33</v>
      </c>
      <c r="Y29" s="2"/>
      <c r="Z29" s="7">
        <f t="shared" si="20"/>
        <v>0.11804424265056587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547.91999999999996</v>
      </c>
      <c r="E30" s="2"/>
      <c r="F30" s="7">
        <f t="shared" si="13"/>
        <v>0</v>
      </c>
      <c r="G30" s="2"/>
      <c r="H30" s="6">
        <v>699.42</v>
      </c>
      <c r="I30" s="2"/>
      <c r="J30" s="7">
        <f t="shared" si="14"/>
        <v>2.8117576834287765E-3</v>
      </c>
      <c r="K30" s="2"/>
      <c r="L30" s="6">
        <f t="shared" si="15"/>
        <v>-151.5</v>
      </c>
      <c r="M30" s="2"/>
      <c r="N30" s="7">
        <f t="shared" si="16"/>
        <v>-0.21660804666723857</v>
      </c>
      <c r="O30" s="11"/>
      <c r="P30" s="6">
        <v>7870.23</v>
      </c>
      <c r="Q30" s="2"/>
      <c r="R30" s="7">
        <f t="shared" si="17"/>
        <v>2.3254134724337884E-3</v>
      </c>
      <c r="S30" s="2"/>
      <c r="T30" s="6">
        <v>8175.6</v>
      </c>
      <c r="U30" s="2"/>
      <c r="V30" s="7">
        <f t="shared" si="18"/>
        <v>2.0205912074496082E-3</v>
      </c>
      <c r="W30" s="2"/>
      <c r="X30" s="6">
        <f t="shared" si="19"/>
        <v>-305.3700000000008</v>
      </c>
      <c r="Y30" s="2"/>
      <c r="Z30" s="7">
        <f t="shared" si="20"/>
        <v>-3.7351387054161259E-2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2366.1799999999998</v>
      </c>
      <c r="E31" s="2"/>
      <c r="F31" s="7">
        <f t="shared" si="13"/>
        <v>0</v>
      </c>
      <c r="G31" s="2"/>
      <c r="H31" s="6">
        <v>3852.48</v>
      </c>
      <c r="I31" s="2"/>
      <c r="J31" s="7">
        <f t="shared" si="14"/>
        <v>1.548746138265376E-2</v>
      </c>
      <c r="K31" s="2"/>
      <c r="L31" s="6">
        <f t="shared" si="15"/>
        <v>-1486.3000000000002</v>
      </c>
      <c r="M31" s="2"/>
      <c r="N31" s="7">
        <f t="shared" si="16"/>
        <v>-0.38580343051748489</v>
      </c>
      <c r="O31" s="11"/>
      <c r="P31" s="6">
        <v>32176.52</v>
      </c>
      <c r="Q31" s="2"/>
      <c r="R31" s="7">
        <f t="shared" si="17"/>
        <v>9.5071825224974666E-3</v>
      </c>
      <c r="S31" s="2"/>
      <c r="T31" s="6">
        <v>30614.04</v>
      </c>
      <c r="U31" s="2"/>
      <c r="V31" s="7">
        <f t="shared" si="18"/>
        <v>7.5662287842495476E-3</v>
      </c>
      <c r="W31" s="2"/>
      <c r="X31" s="6">
        <f t="shared" si="19"/>
        <v>1562.4799999999996</v>
      </c>
      <c r="Y31" s="2"/>
      <c r="Z31" s="7">
        <f t="shared" si="20"/>
        <v>5.1038020463813318E-2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1504</v>
      </c>
      <c r="E32" s="2"/>
      <c r="F32" s="7">
        <f t="shared" si="13"/>
        <v>0</v>
      </c>
      <c r="G32" s="2"/>
      <c r="H32" s="6">
        <v>2418.52</v>
      </c>
      <c r="I32" s="2"/>
      <c r="J32" s="7">
        <f t="shared" si="14"/>
        <v>9.722759132604392E-3</v>
      </c>
      <c r="K32" s="2"/>
      <c r="L32" s="6">
        <f t="shared" si="15"/>
        <v>-914.52</v>
      </c>
      <c r="M32" s="2"/>
      <c r="N32" s="7">
        <f t="shared" si="16"/>
        <v>-0.37813208077667332</v>
      </c>
      <c r="O32" s="11"/>
      <c r="P32" s="6">
        <v>1798.8</v>
      </c>
      <c r="Q32" s="2"/>
      <c r="R32" s="7">
        <f t="shared" si="17"/>
        <v>5.3149066218063489E-4</v>
      </c>
      <c r="S32" s="2"/>
      <c r="T32" s="6">
        <v>21790.030000000002</v>
      </c>
      <c r="U32" s="2"/>
      <c r="V32" s="7">
        <f t="shared" si="18"/>
        <v>5.3853837061577361E-3</v>
      </c>
      <c r="W32" s="2"/>
      <c r="X32" s="6">
        <f t="shared" si="19"/>
        <v>-19991.230000000003</v>
      </c>
      <c r="Y32" s="2"/>
      <c r="Z32" s="7">
        <f t="shared" si="20"/>
        <v>-0.91744848446743765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852.31</v>
      </c>
      <c r="E33" s="2"/>
      <c r="F33" s="7">
        <f t="shared" si="13"/>
        <v>0</v>
      </c>
      <c r="G33" s="2"/>
      <c r="H33" s="6">
        <v>1268.6300000000001</v>
      </c>
      <c r="I33" s="2"/>
      <c r="J33" s="7">
        <f t="shared" si="14"/>
        <v>5.1000545450920034E-3</v>
      </c>
      <c r="K33" s="2"/>
      <c r="L33" s="6">
        <f t="shared" si="15"/>
        <v>-416.32000000000016</v>
      </c>
      <c r="M33" s="2"/>
      <c r="N33" s="7">
        <f t="shared" si="16"/>
        <v>-0.32816502841648088</v>
      </c>
      <c r="O33" s="11"/>
      <c r="P33" s="6">
        <v>13702.51</v>
      </c>
      <c r="Q33" s="2"/>
      <c r="R33" s="7">
        <f t="shared" si="17"/>
        <v>4.0486747350660284E-3</v>
      </c>
      <c r="S33" s="2"/>
      <c r="T33" s="6">
        <v>13933.53</v>
      </c>
      <c r="U33" s="2"/>
      <c r="V33" s="7">
        <f t="shared" si="18"/>
        <v>3.4436577384822325E-3</v>
      </c>
      <c r="W33" s="2"/>
      <c r="X33" s="6">
        <f t="shared" si="19"/>
        <v>-231.02000000000044</v>
      </c>
      <c r="Y33" s="2"/>
      <c r="Z33" s="7">
        <f t="shared" si="20"/>
        <v>-1.6580148749096635E-2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21255.15</v>
      </c>
      <c r="E34" s="1"/>
      <c r="F34" s="5">
        <f t="shared" ref="F34:F40" si="21">IF(D$12=0,0,D34/D$12)</f>
        <v>0</v>
      </c>
      <c r="G34" s="1"/>
      <c r="H34" s="1">
        <f>SUM(OSRRefH22_1x_0)</f>
        <v>89627.14</v>
      </c>
      <c r="I34" s="1"/>
      <c r="J34" s="5">
        <f t="shared" ref="J34:J40" si="22">IF(H$12=0,0,H34/H$12)</f>
        <v>0.36031254402039781</v>
      </c>
      <c r="K34" s="1"/>
      <c r="L34" s="1">
        <f t="shared" ref="L34:L40" si="23">+D34-H34</f>
        <v>-68371.989999999991</v>
      </c>
      <c r="M34" s="1"/>
      <c r="N34" s="5">
        <f t="shared" ref="N34:N40" si="24">IF(H34=0,0,L34/H34)</f>
        <v>-0.76284917715772249</v>
      </c>
      <c r="O34" s="13"/>
      <c r="P34" s="1">
        <f>SUM(OSRRefP22_1x_0)</f>
        <v>913205.75</v>
      </c>
      <c r="Q34" s="1"/>
      <c r="R34" s="5">
        <f t="shared" ref="R34:R40" si="25">IF(P$12=0,0,P34/P$12)</f>
        <v>0.26982451010377106</v>
      </c>
      <c r="S34" s="1"/>
      <c r="T34" s="1">
        <f>SUM(OSRRefT22_1x_0)</f>
        <v>975999.55999999994</v>
      </c>
      <c r="U34" s="1"/>
      <c r="V34" s="5">
        <f t="shared" ref="V34:V40" si="26">IF(T$12=0,0,T34/T$12)</f>
        <v>0.24121729651777069</v>
      </c>
      <c r="W34" s="1"/>
      <c r="X34" s="1">
        <f t="shared" ref="X34:X40" si="27">+P34-T34</f>
        <v>-62793.809999999939</v>
      </c>
      <c r="Y34" s="1"/>
      <c r="Z34" s="5">
        <f t="shared" ref="Z34:Z40" si="28">IF(T34=0,0,X34/T34)</f>
        <v>-6.4337949086780269E-2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4528.75</v>
      </c>
      <c r="E35" s="2"/>
      <c r="F35" s="7">
        <f t="shared" si="21"/>
        <v>0</v>
      </c>
      <c r="G35" s="2"/>
      <c r="H35" s="6">
        <v>14410.65</v>
      </c>
      <c r="I35" s="2"/>
      <c r="J35" s="7">
        <f t="shared" si="22"/>
        <v>5.7932652570276653E-2</v>
      </c>
      <c r="K35" s="2"/>
      <c r="L35" s="6">
        <f t="shared" si="23"/>
        <v>-9881.9</v>
      </c>
      <c r="M35" s="2"/>
      <c r="N35" s="7">
        <f t="shared" si="24"/>
        <v>-0.68573589671527657</v>
      </c>
      <c r="O35" s="11"/>
      <c r="P35" s="6">
        <v>160238.99</v>
      </c>
      <c r="Q35" s="2"/>
      <c r="R35" s="7">
        <f t="shared" si="25"/>
        <v>4.7345745442659626E-2</v>
      </c>
      <c r="S35" s="2"/>
      <c r="T35" s="6">
        <v>153007.29</v>
      </c>
      <c r="U35" s="2"/>
      <c r="V35" s="7">
        <f t="shared" si="26"/>
        <v>3.7815595778865445E-2</v>
      </c>
      <c r="W35" s="2"/>
      <c r="X35" s="6">
        <f t="shared" si="27"/>
        <v>7231.6999999999825</v>
      </c>
      <c r="Y35" s="2"/>
      <c r="Z35" s="7">
        <f t="shared" si="28"/>
        <v>4.7263761092690301E-2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16726.400000000001</v>
      </c>
      <c r="E36" s="2"/>
      <c r="F36" s="7">
        <f t="shared" si="21"/>
        <v>0</v>
      </c>
      <c r="G36" s="2"/>
      <c r="H36" s="6">
        <v>25208.14</v>
      </c>
      <c r="I36" s="2"/>
      <c r="J36" s="7">
        <f t="shared" si="22"/>
        <v>0.10133994070794126</v>
      </c>
      <c r="K36" s="2"/>
      <c r="L36" s="6">
        <f t="shared" si="23"/>
        <v>-8481.739999999998</v>
      </c>
      <c r="M36" s="2"/>
      <c r="N36" s="7">
        <f t="shared" si="24"/>
        <v>-0.33646829952547069</v>
      </c>
      <c r="O36" s="11"/>
      <c r="P36" s="6">
        <v>221506.80000000002</v>
      </c>
      <c r="Q36" s="2"/>
      <c r="R36" s="7">
        <f t="shared" si="25"/>
        <v>6.5448518906778677E-2</v>
      </c>
      <c r="S36" s="2"/>
      <c r="T36" s="6">
        <v>219512.58000000002</v>
      </c>
      <c r="U36" s="2"/>
      <c r="V36" s="7">
        <f t="shared" si="26"/>
        <v>5.4252310420345749E-2</v>
      </c>
      <c r="W36" s="2"/>
      <c r="X36" s="6">
        <f t="shared" si="27"/>
        <v>1994.2200000000012</v>
      </c>
      <c r="Y36" s="2"/>
      <c r="Z36" s="7">
        <f t="shared" si="28"/>
        <v>9.0847640713803326E-3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25244.84</v>
      </c>
      <c r="I37" s="2"/>
      <c r="J37" s="7">
        <f t="shared" si="22"/>
        <v>0.10148747939282565</v>
      </c>
      <c r="K37" s="2"/>
      <c r="L37" s="6">
        <f t="shared" si="23"/>
        <v>-25244.84</v>
      </c>
      <c r="M37" s="2"/>
      <c r="N37" s="7">
        <f t="shared" si="24"/>
        <v>-1</v>
      </c>
      <c r="O37" s="11"/>
      <c r="P37" s="6">
        <v>146126.22999999998</v>
      </c>
      <c r="Q37" s="2"/>
      <c r="R37" s="7">
        <f t="shared" si="25"/>
        <v>4.3175854316577583E-2</v>
      </c>
      <c r="S37" s="2"/>
      <c r="T37" s="6">
        <v>210057.81</v>
      </c>
      <c r="U37" s="2"/>
      <c r="V37" s="7">
        <f t="shared" si="26"/>
        <v>5.1915573651122898E-2</v>
      </c>
      <c r="W37" s="2"/>
      <c r="X37" s="6">
        <f t="shared" si="27"/>
        <v>-63931.580000000016</v>
      </c>
      <c r="Y37" s="2"/>
      <c r="Z37" s="7">
        <f t="shared" si="28"/>
        <v>-0.30435231139465851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5187.75</v>
      </c>
      <c r="I38" s="2"/>
      <c r="J38" s="7">
        <f t="shared" si="22"/>
        <v>2.0855417234576699E-2</v>
      </c>
      <c r="K38" s="2"/>
      <c r="L38" s="6">
        <f t="shared" si="23"/>
        <v>-5187.75</v>
      </c>
      <c r="M38" s="2"/>
      <c r="N38" s="7">
        <f t="shared" si="24"/>
        <v>-1</v>
      </c>
      <c r="O38" s="11"/>
      <c r="P38" s="6">
        <v>13546.1</v>
      </c>
      <c r="Q38" s="2"/>
      <c r="R38" s="7">
        <f t="shared" si="25"/>
        <v>4.0024603396514894E-3</v>
      </c>
      <c r="S38" s="2"/>
      <c r="T38" s="6">
        <v>27445.58</v>
      </c>
      <c r="U38" s="2"/>
      <c r="V38" s="7">
        <f t="shared" si="26"/>
        <v>6.7831471245357912E-3</v>
      </c>
      <c r="W38" s="2"/>
      <c r="X38" s="6">
        <f t="shared" si="27"/>
        <v>-13899.480000000001</v>
      </c>
      <c r="Y38" s="2"/>
      <c r="Z38" s="7">
        <f t="shared" si="28"/>
        <v>-0.50643783079096893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1"/>
        <v>0</v>
      </c>
      <c r="G39" s="2"/>
      <c r="H39" s="6">
        <v>5861.26</v>
      </c>
      <c r="I39" s="2"/>
      <c r="J39" s="7">
        <f t="shared" si="22"/>
        <v>2.3563013410502633E-2</v>
      </c>
      <c r="K39" s="2"/>
      <c r="L39" s="6">
        <f t="shared" si="23"/>
        <v>-5861.26</v>
      </c>
      <c r="M39" s="2"/>
      <c r="N39" s="7">
        <f t="shared" si="24"/>
        <v>-1</v>
      </c>
      <c r="O39" s="11"/>
      <c r="P39" s="6">
        <v>291246.51</v>
      </c>
      <c r="Q39" s="2"/>
      <c r="R39" s="7">
        <f t="shared" si="25"/>
        <v>8.6054481019401219E-2</v>
      </c>
      <c r="S39" s="2"/>
      <c r="T39" s="6">
        <v>256841.16000000003</v>
      </c>
      <c r="U39" s="2"/>
      <c r="V39" s="7">
        <f t="shared" si="26"/>
        <v>6.3478030922153483E-2</v>
      </c>
      <c r="W39" s="2"/>
      <c r="X39" s="6">
        <f t="shared" si="27"/>
        <v>34405.349999999977</v>
      </c>
      <c r="Y39" s="2"/>
      <c r="Z39" s="7">
        <f t="shared" si="28"/>
        <v>0.13395574914861766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13714.5</v>
      </c>
      <c r="I40" s="2"/>
      <c r="J40" s="7">
        <f t="shared" si="22"/>
        <v>5.5134040704274904E-2</v>
      </c>
      <c r="K40" s="2"/>
      <c r="L40" s="6">
        <f t="shared" si="23"/>
        <v>-13714.5</v>
      </c>
      <c r="M40" s="2"/>
      <c r="N40" s="7">
        <f t="shared" si="24"/>
        <v>-1</v>
      </c>
      <c r="O40" s="11"/>
      <c r="P40" s="6">
        <v>80541.119999999995</v>
      </c>
      <c r="Q40" s="2"/>
      <c r="R40" s="7">
        <f t="shared" si="25"/>
        <v>2.3797450078702456E-2</v>
      </c>
      <c r="S40" s="2"/>
      <c r="T40" s="6">
        <v>109135.14</v>
      </c>
      <c r="U40" s="2"/>
      <c r="V40" s="7">
        <f t="shared" si="26"/>
        <v>2.697263862074735E-2</v>
      </c>
      <c r="W40" s="2"/>
      <c r="X40" s="6">
        <f t="shared" si="27"/>
        <v>-28594.020000000004</v>
      </c>
      <c r="Y40" s="2"/>
      <c r="Z40" s="7">
        <f t="shared" si="28"/>
        <v>-0.26200561982144344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81</v>
      </c>
      <c r="I41" s="1"/>
      <c r="J41" s="5">
        <f t="shared" ref="J41:J62" si="30">IF(H$12=0,0,H41/H$12)</f>
        <v>3.2563033993556216E-4</v>
      </c>
      <c r="K41" s="1"/>
      <c r="L41" s="1">
        <f t="shared" ref="L41:L62" si="31">+D41-H41</f>
        <v>-81</v>
      </c>
      <c r="M41" s="1"/>
      <c r="N41" s="5">
        <f t="shared" ref="N41:N62" si="32">IF(H41=0,0,L41/H41)</f>
        <v>-1</v>
      </c>
      <c r="O41" s="13"/>
      <c r="P41" s="1">
        <f>SUM(OSRRefP22_2x_0)</f>
        <v>2628.74</v>
      </c>
      <c r="Q41" s="1"/>
      <c r="R41" s="5">
        <f t="shared" ref="R41:R62" si="33">IF(P$12=0,0,P41/P$12)</f>
        <v>7.7671267695170231E-4</v>
      </c>
      <c r="S41" s="1"/>
      <c r="T41" s="1">
        <f>SUM(OSRRefT22_2x_0)</f>
        <v>3989.45</v>
      </c>
      <c r="U41" s="1"/>
      <c r="V41" s="5">
        <f t="shared" ref="V41:V62" si="34">IF(T$12=0,0,T41/T$12)</f>
        <v>9.8598850146286985E-4</v>
      </c>
      <c r="W41" s="1"/>
      <c r="X41" s="1">
        <f t="shared" ref="X41:X62" si="35">+P41-T41</f>
        <v>-1360.71</v>
      </c>
      <c r="Y41" s="1"/>
      <c r="Z41" s="5">
        <f t="shared" ref="Z41:Z62" si="36">IF(T41=0,0,X41/T41)</f>
        <v>-0.3410770908270564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81</v>
      </c>
      <c r="I42" s="2"/>
      <c r="J42" s="7">
        <f t="shared" si="30"/>
        <v>3.2563033993556216E-4</v>
      </c>
      <c r="K42" s="2"/>
      <c r="L42" s="6">
        <f t="shared" si="31"/>
        <v>-81</v>
      </c>
      <c r="M42" s="2"/>
      <c r="N42" s="7">
        <f t="shared" si="32"/>
        <v>-1</v>
      </c>
      <c r="O42" s="11"/>
      <c r="P42" s="6">
        <v>2628.74</v>
      </c>
      <c r="Q42" s="2"/>
      <c r="R42" s="7">
        <f t="shared" si="33"/>
        <v>7.7671267695170231E-4</v>
      </c>
      <c r="S42" s="2"/>
      <c r="T42" s="6">
        <v>3989.45</v>
      </c>
      <c r="U42" s="2"/>
      <c r="V42" s="7">
        <f t="shared" si="34"/>
        <v>9.8598850146286985E-4</v>
      </c>
      <c r="W42" s="2"/>
      <c r="X42" s="6">
        <f t="shared" si="35"/>
        <v>-1360.71</v>
      </c>
      <c r="Y42" s="2"/>
      <c r="Z42" s="7">
        <f t="shared" si="36"/>
        <v>-0.3410770908270564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11.69</v>
      </c>
      <c r="I43" s="1"/>
      <c r="J43" s="5">
        <f t="shared" si="30"/>
        <v>4.6995292269712609E-5</v>
      </c>
      <c r="K43" s="1"/>
      <c r="L43" s="1">
        <f t="shared" si="31"/>
        <v>-11.69</v>
      </c>
      <c r="M43" s="1"/>
      <c r="N43" s="5">
        <f t="shared" si="32"/>
        <v>-1</v>
      </c>
      <c r="O43" s="13"/>
      <c r="P43" s="1">
        <f>SUM(OSRRefP22_3x_0)</f>
        <v>16.690000000000001</v>
      </c>
      <c r="Q43" s="1"/>
      <c r="R43" s="5">
        <f t="shared" si="33"/>
        <v>4.9313871201883469E-6</v>
      </c>
      <c r="S43" s="1"/>
      <c r="T43" s="1">
        <f>SUM(OSRRefT22_3x_0)</f>
        <v>-27.46</v>
      </c>
      <c r="U43" s="1"/>
      <c r="V43" s="5">
        <f t="shared" si="34"/>
        <v>-6.7867110128389644E-6</v>
      </c>
      <c r="W43" s="1"/>
      <c r="X43" s="1">
        <f t="shared" si="35"/>
        <v>44.150000000000006</v>
      </c>
      <c r="Y43" s="1"/>
      <c r="Z43" s="5">
        <f t="shared" si="36"/>
        <v>-1.6077931536780774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11.69</v>
      </c>
      <c r="I44" s="2"/>
      <c r="J44" s="7">
        <f t="shared" si="30"/>
        <v>4.6995292269712609E-5</v>
      </c>
      <c r="K44" s="2"/>
      <c r="L44" s="6">
        <f t="shared" si="31"/>
        <v>-11.69</v>
      </c>
      <c r="M44" s="2"/>
      <c r="N44" s="7">
        <f t="shared" si="32"/>
        <v>-1</v>
      </c>
      <c r="O44" s="11"/>
      <c r="P44" s="6">
        <v>16.690000000000001</v>
      </c>
      <c r="Q44" s="2"/>
      <c r="R44" s="7">
        <f t="shared" si="33"/>
        <v>4.9313871201883469E-6</v>
      </c>
      <c r="S44" s="2"/>
      <c r="T44" s="6">
        <v>-27.46</v>
      </c>
      <c r="U44" s="2"/>
      <c r="V44" s="7">
        <f t="shared" si="34"/>
        <v>-6.7867110128389644E-6</v>
      </c>
      <c r="W44" s="2"/>
      <c r="X44" s="6">
        <f t="shared" si="35"/>
        <v>44.150000000000006</v>
      </c>
      <c r="Y44" s="2"/>
      <c r="Z44" s="7">
        <f t="shared" si="36"/>
        <v>-1.6077931536780774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68.459999999999994</v>
      </c>
      <c r="I45" s="1"/>
      <c r="J45" s="5">
        <f t="shared" si="30"/>
        <v>2.7521793916035291E-4</v>
      </c>
      <c r="K45" s="1"/>
      <c r="L45" s="1">
        <f t="shared" si="31"/>
        <v>-68.459999999999994</v>
      </c>
      <c r="M45" s="1"/>
      <c r="N45" s="5">
        <f t="shared" si="32"/>
        <v>-1</v>
      </c>
      <c r="O45" s="13"/>
      <c r="P45" s="1">
        <f>SUM(OSRRefP22_4x_0)</f>
        <v>1125.75</v>
      </c>
      <c r="Q45" s="1"/>
      <c r="R45" s="5">
        <f t="shared" si="33"/>
        <v>3.3262486821761716E-4</v>
      </c>
      <c r="S45" s="1"/>
      <c r="T45" s="1">
        <f>SUM(OSRRefT22_4x_0)</f>
        <v>1478.99</v>
      </c>
      <c r="U45" s="1"/>
      <c r="V45" s="5">
        <f t="shared" si="34"/>
        <v>3.6553087111721415E-4</v>
      </c>
      <c r="W45" s="1"/>
      <c r="X45" s="1">
        <f t="shared" si="35"/>
        <v>-353.24</v>
      </c>
      <c r="Y45" s="1"/>
      <c r="Z45" s="5">
        <f t="shared" si="36"/>
        <v>-0.23883866692810635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68.459999999999994</v>
      </c>
      <c r="I46" s="2"/>
      <c r="J46" s="7">
        <f t="shared" si="30"/>
        <v>2.7521793916035291E-4</v>
      </c>
      <c r="K46" s="2"/>
      <c r="L46" s="6">
        <f t="shared" si="31"/>
        <v>-68.459999999999994</v>
      </c>
      <c r="M46" s="2"/>
      <c r="N46" s="7">
        <f t="shared" si="32"/>
        <v>-1</v>
      </c>
      <c r="O46" s="11"/>
      <c r="P46" s="6">
        <v>1125.75</v>
      </c>
      <c r="Q46" s="2"/>
      <c r="R46" s="7">
        <f t="shared" si="33"/>
        <v>3.3262486821761716E-4</v>
      </c>
      <c r="S46" s="2"/>
      <c r="T46" s="6">
        <v>1478.99</v>
      </c>
      <c r="U46" s="2"/>
      <c r="V46" s="7">
        <f t="shared" si="34"/>
        <v>3.6553087111721415E-4</v>
      </c>
      <c r="W46" s="2"/>
      <c r="X46" s="6">
        <f t="shared" si="35"/>
        <v>-353.24</v>
      </c>
      <c r="Y46" s="2"/>
      <c r="Z46" s="7">
        <f t="shared" si="36"/>
        <v>-0.23883866692810635</v>
      </c>
    </row>
    <row r="47" spans="1:26" s="27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0</v>
      </c>
      <c r="E47" s="1"/>
      <c r="F47" s="5">
        <f t="shared" si="29"/>
        <v>0</v>
      </c>
      <c r="G47" s="1"/>
      <c r="H47" s="1">
        <f>SUM(OSRRefH22_5x_0)</f>
        <v>2170.6999999999998</v>
      </c>
      <c r="I47" s="1"/>
      <c r="J47" s="5">
        <f t="shared" si="30"/>
        <v>8.7264910975077131E-3</v>
      </c>
      <c r="K47" s="1"/>
      <c r="L47" s="1">
        <f t="shared" si="31"/>
        <v>-2170.6999999999998</v>
      </c>
      <c r="M47" s="1"/>
      <c r="N47" s="5">
        <f t="shared" si="32"/>
        <v>-1</v>
      </c>
      <c r="O47" s="13"/>
      <c r="P47" s="1">
        <f>SUM(OSRRefP22_5x_0)</f>
        <v>26858.9</v>
      </c>
      <c r="Q47" s="1"/>
      <c r="R47" s="5">
        <f t="shared" si="33"/>
        <v>7.9359876286654758E-3</v>
      </c>
      <c r="S47" s="1"/>
      <c r="T47" s="1">
        <f>SUM(OSRRefT22_5x_0)</f>
        <v>30256.060000000005</v>
      </c>
      <c r="U47" s="1"/>
      <c r="V47" s="5">
        <f t="shared" si="34"/>
        <v>7.4777543921018394E-3</v>
      </c>
      <c r="W47" s="1"/>
      <c r="X47" s="1">
        <f t="shared" si="35"/>
        <v>-3397.1600000000035</v>
      </c>
      <c r="Y47" s="1"/>
      <c r="Z47" s="5">
        <f t="shared" si="36"/>
        <v>-0.11228031673654808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29"/>
        <v>0</v>
      </c>
      <c r="G48" s="2"/>
      <c r="H48" s="6">
        <v>2170.6999999999998</v>
      </c>
      <c r="I48" s="2"/>
      <c r="J48" s="7">
        <f t="shared" si="30"/>
        <v>8.7264910975077131E-3</v>
      </c>
      <c r="K48" s="2"/>
      <c r="L48" s="6">
        <f t="shared" si="31"/>
        <v>-2170.6999999999998</v>
      </c>
      <c r="M48" s="2"/>
      <c r="N48" s="7">
        <f t="shared" si="32"/>
        <v>-1</v>
      </c>
      <c r="O48" s="11"/>
      <c r="P48" s="6">
        <v>26858.9</v>
      </c>
      <c r="Q48" s="2"/>
      <c r="R48" s="7">
        <f t="shared" si="33"/>
        <v>7.9359876286654758E-3</v>
      </c>
      <c r="S48" s="2"/>
      <c r="T48" s="6">
        <v>30256.060000000005</v>
      </c>
      <c r="U48" s="2"/>
      <c r="V48" s="7">
        <f t="shared" si="34"/>
        <v>7.4777543921018394E-3</v>
      </c>
      <c r="W48" s="2"/>
      <c r="X48" s="6">
        <f t="shared" si="35"/>
        <v>-3397.1600000000035</v>
      </c>
      <c r="Y48" s="2"/>
      <c r="Z48" s="7">
        <f t="shared" si="36"/>
        <v>-0.11228031673654808</v>
      </c>
    </row>
    <row r="49" spans="1:26" s="27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144.12</v>
      </c>
      <c r="I49" s="1"/>
      <c r="J49" s="5">
        <f t="shared" si="30"/>
        <v>5.7938079742608914E-4</v>
      </c>
      <c r="K49" s="1"/>
      <c r="L49" s="1">
        <f t="shared" si="31"/>
        <v>-144.12</v>
      </c>
      <c r="M49" s="1"/>
      <c r="N49" s="5">
        <f t="shared" si="32"/>
        <v>-1</v>
      </c>
      <c r="O49" s="13"/>
      <c r="P49" s="1">
        <f>SUM(OSRRefP22_6x_0)</f>
        <v>1564</v>
      </c>
      <c r="Q49" s="1"/>
      <c r="R49" s="5">
        <f t="shared" si="33"/>
        <v>4.6211440718841066E-4</v>
      </c>
      <c r="S49" s="1"/>
      <c r="T49" s="1">
        <f>SUM(OSRRefT22_6x_0)</f>
        <v>855.93</v>
      </c>
      <c r="U49" s="1"/>
      <c r="V49" s="5">
        <f t="shared" si="34"/>
        <v>2.1154222713835595E-4</v>
      </c>
      <c r="W49" s="1"/>
      <c r="X49" s="1">
        <f t="shared" si="35"/>
        <v>708.07</v>
      </c>
      <c r="Y49" s="1"/>
      <c r="Z49" s="5">
        <f t="shared" si="36"/>
        <v>0.82725222857009351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9"/>
        <v>0</v>
      </c>
      <c r="G50" s="2"/>
      <c r="H50" s="6">
        <v>144.12</v>
      </c>
      <c r="I50" s="2"/>
      <c r="J50" s="7">
        <f t="shared" si="30"/>
        <v>5.7938079742608914E-4</v>
      </c>
      <c r="K50" s="2"/>
      <c r="L50" s="6">
        <f t="shared" si="31"/>
        <v>-144.12</v>
      </c>
      <c r="M50" s="2"/>
      <c r="N50" s="7">
        <f t="shared" si="32"/>
        <v>-1</v>
      </c>
      <c r="O50" s="11"/>
      <c r="P50" s="6">
        <v>1564</v>
      </c>
      <c r="Q50" s="2"/>
      <c r="R50" s="7">
        <f t="shared" si="33"/>
        <v>4.6211440718841066E-4</v>
      </c>
      <c r="S50" s="2"/>
      <c r="T50" s="6">
        <v>855.93</v>
      </c>
      <c r="U50" s="2"/>
      <c r="V50" s="7">
        <f t="shared" si="34"/>
        <v>2.1154222713835595E-4</v>
      </c>
      <c r="W50" s="2"/>
      <c r="X50" s="6">
        <f t="shared" si="35"/>
        <v>708.07</v>
      </c>
      <c r="Y50" s="2"/>
      <c r="Z50" s="7">
        <f t="shared" si="36"/>
        <v>0.82725222857009351</v>
      </c>
    </row>
    <row r="51" spans="1:26" s="27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91.26</v>
      </c>
      <c r="E51" s="1"/>
      <c r="F51" s="5">
        <f t="shared" si="29"/>
        <v>0</v>
      </c>
      <c r="G51" s="1"/>
      <c r="H51" s="1">
        <f>SUM(OSRRefH22_7x_0)</f>
        <v>659.29</v>
      </c>
      <c r="I51" s="1"/>
      <c r="J51" s="5">
        <f t="shared" si="30"/>
        <v>2.6504299606927998E-3</v>
      </c>
      <c r="K51" s="1"/>
      <c r="L51" s="1">
        <f t="shared" si="31"/>
        <v>-568.03</v>
      </c>
      <c r="M51" s="1"/>
      <c r="N51" s="5">
        <f t="shared" si="32"/>
        <v>-0.86157836460434711</v>
      </c>
      <c r="O51" s="13"/>
      <c r="P51" s="1">
        <f>SUM(OSRRefP22_7x_0)</f>
        <v>2757.23</v>
      </c>
      <c r="Q51" s="1"/>
      <c r="R51" s="5">
        <f t="shared" si="33"/>
        <v>8.1467756197704702E-4</v>
      </c>
      <c r="S51" s="1"/>
      <c r="T51" s="1">
        <f>SUM(OSRRefT22_7x_0)</f>
        <v>2998.09</v>
      </c>
      <c r="U51" s="1"/>
      <c r="V51" s="5">
        <f t="shared" si="34"/>
        <v>7.4097488785441991E-4</v>
      </c>
      <c r="W51" s="1"/>
      <c r="X51" s="1">
        <f t="shared" si="35"/>
        <v>-240.86000000000013</v>
      </c>
      <c r="Y51" s="1"/>
      <c r="Z51" s="5">
        <f t="shared" si="36"/>
        <v>-8.0337815075598173E-2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>
        <v>91.26</v>
      </c>
      <c r="E52" s="2"/>
      <c r="F52" s="7">
        <f t="shared" si="29"/>
        <v>0</v>
      </c>
      <c r="G52" s="2"/>
      <c r="H52" s="6">
        <v>659.29</v>
      </c>
      <c r="I52" s="2"/>
      <c r="J52" s="7">
        <f t="shared" si="30"/>
        <v>2.6504299606927998E-3</v>
      </c>
      <c r="K52" s="2"/>
      <c r="L52" s="6">
        <f t="shared" si="31"/>
        <v>-568.03</v>
      </c>
      <c r="M52" s="2"/>
      <c r="N52" s="7">
        <f t="shared" si="32"/>
        <v>-0.86157836460434711</v>
      </c>
      <c r="O52" s="11"/>
      <c r="P52" s="6">
        <v>2757.23</v>
      </c>
      <c r="Q52" s="2"/>
      <c r="R52" s="7">
        <f t="shared" si="33"/>
        <v>8.1467756197704702E-4</v>
      </c>
      <c r="S52" s="2"/>
      <c r="T52" s="6">
        <v>2998.09</v>
      </c>
      <c r="U52" s="2"/>
      <c r="V52" s="7">
        <f t="shared" si="34"/>
        <v>7.4097488785441991E-4</v>
      </c>
      <c r="W52" s="2"/>
      <c r="X52" s="6">
        <f t="shared" si="35"/>
        <v>-240.86000000000013</v>
      </c>
      <c r="Y52" s="2"/>
      <c r="Z52" s="7">
        <f t="shared" si="36"/>
        <v>-8.0337815075598173E-2</v>
      </c>
    </row>
    <row r="53" spans="1:26" s="27" customFormat="1" outlineLevel="1" collapsed="1" x14ac:dyDescent="0.25">
      <c r="A53" s="25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9"/>
        <v>0</v>
      </c>
      <c r="G53" s="1"/>
      <c r="H53" s="1">
        <f>SUM(OSRRefH22_8x_0)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SUM(OSRRefP22_8x_0)</f>
        <v>0</v>
      </c>
      <c r="Q53" s="1"/>
      <c r="R53" s="5">
        <f t="shared" si="33"/>
        <v>0</v>
      </c>
      <c r="S53" s="1"/>
      <c r="T53" s="1">
        <f>SUM(OSRRefT22_8x_0)</f>
        <v>7.4</v>
      </c>
      <c r="U53" s="1"/>
      <c r="V53" s="5">
        <f t="shared" si="34"/>
        <v>1.8289024579391237E-6</v>
      </c>
      <c r="W53" s="1"/>
      <c r="X53" s="1">
        <f t="shared" si="35"/>
        <v>-7.4</v>
      </c>
      <c r="Y53" s="1"/>
      <c r="Z53" s="5">
        <f t="shared" si="36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/>
      <c r="Q54" s="2"/>
      <c r="R54" s="7">
        <f t="shared" si="33"/>
        <v>0</v>
      </c>
      <c r="S54" s="2"/>
      <c r="T54" s="6">
        <v>7.4</v>
      </c>
      <c r="U54" s="2"/>
      <c r="V54" s="7">
        <f t="shared" si="34"/>
        <v>1.8289024579391237E-6</v>
      </c>
      <c r="W54" s="2"/>
      <c r="X54" s="6">
        <f t="shared" si="35"/>
        <v>-7.4</v>
      </c>
      <c r="Y54" s="2"/>
      <c r="Z54" s="7">
        <f t="shared" si="36"/>
        <v>-1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67.2</v>
      </c>
      <c r="I55" s="1"/>
      <c r="J55" s="5">
        <f t="shared" si="30"/>
        <v>2.7015257831691086E-4</v>
      </c>
      <c r="K55" s="1"/>
      <c r="L55" s="1">
        <f t="shared" si="31"/>
        <v>-67.2</v>
      </c>
      <c r="M55" s="1"/>
      <c r="N55" s="5">
        <f t="shared" si="32"/>
        <v>-1</v>
      </c>
      <c r="O55" s="13"/>
      <c r="P55" s="1">
        <f>SUM(OSRRefP22_9x_0)</f>
        <v>3224.62</v>
      </c>
      <c r="Q55" s="1"/>
      <c r="R55" s="5">
        <f t="shared" si="33"/>
        <v>9.5277708421220755E-4</v>
      </c>
      <c r="S55" s="1"/>
      <c r="T55" s="1">
        <f>SUM(OSRRefT22_9x_0)</f>
        <v>3225.6</v>
      </c>
      <c r="U55" s="1"/>
      <c r="V55" s="5">
        <f t="shared" si="34"/>
        <v>7.9720375247681579E-4</v>
      </c>
      <c r="W55" s="1"/>
      <c r="X55" s="1">
        <f t="shared" si="35"/>
        <v>-0.98000000000001819</v>
      </c>
      <c r="Y55" s="1"/>
      <c r="Z55" s="5">
        <f t="shared" si="36"/>
        <v>-3.0381944444445009E-4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67.2</v>
      </c>
      <c r="I56" s="2"/>
      <c r="J56" s="7">
        <f t="shared" si="30"/>
        <v>2.7015257831691086E-4</v>
      </c>
      <c r="K56" s="2"/>
      <c r="L56" s="6">
        <f t="shared" si="31"/>
        <v>-67.2</v>
      </c>
      <c r="M56" s="2"/>
      <c r="N56" s="7">
        <f t="shared" si="32"/>
        <v>-1</v>
      </c>
      <c r="O56" s="11"/>
      <c r="P56" s="6">
        <v>3224.62</v>
      </c>
      <c r="Q56" s="2"/>
      <c r="R56" s="7">
        <f t="shared" si="33"/>
        <v>9.5277708421220755E-4</v>
      </c>
      <c r="S56" s="2"/>
      <c r="T56" s="6">
        <v>3225.6</v>
      </c>
      <c r="U56" s="2"/>
      <c r="V56" s="7">
        <f t="shared" si="34"/>
        <v>7.9720375247681579E-4</v>
      </c>
      <c r="W56" s="2"/>
      <c r="X56" s="6">
        <f t="shared" si="35"/>
        <v>-0.98000000000001819</v>
      </c>
      <c r="Y56" s="2"/>
      <c r="Z56" s="7">
        <f t="shared" si="36"/>
        <v>-3.0381944444445009E-4</v>
      </c>
    </row>
    <row r="57" spans="1:26" s="27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0</v>
      </c>
      <c r="E57" s="1"/>
      <c r="F57" s="5">
        <f t="shared" si="29"/>
        <v>0</v>
      </c>
      <c r="G57" s="1"/>
      <c r="H57" s="1">
        <f>SUM(OSRRefH22_10x_0)</f>
        <v>19726.21</v>
      </c>
      <c r="I57" s="1"/>
      <c r="J57" s="5">
        <f t="shared" si="30"/>
        <v>7.9301882320250441E-2</v>
      </c>
      <c r="K57" s="1"/>
      <c r="L57" s="1">
        <f t="shared" si="31"/>
        <v>-19726.21</v>
      </c>
      <c r="M57" s="1"/>
      <c r="N57" s="5">
        <f t="shared" si="32"/>
        <v>-1</v>
      </c>
      <c r="O57" s="13"/>
      <c r="P57" s="1">
        <f>SUM(OSRRefP22_10x_0)</f>
        <v>265321.17</v>
      </c>
      <c r="Q57" s="1"/>
      <c r="R57" s="5">
        <f t="shared" si="33"/>
        <v>7.8394331962330893E-2</v>
      </c>
      <c r="S57" s="1"/>
      <c r="T57" s="1">
        <f>SUM(OSRRefT22_10x_0)</f>
        <v>316302.33999999997</v>
      </c>
      <c r="U57" s="1"/>
      <c r="V57" s="5">
        <f t="shared" si="34"/>
        <v>7.8173800956472472E-2</v>
      </c>
      <c r="W57" s="1"/>
      <c r="X57" s="1">
        <f t="shared" si="35"/>
        <v>-50981.169999999984</v>
      </c>
      <c r="Y57" s="1"/>
      <c r="Z57" s="5">
        <f t="shared" si="36"/>
        <v>-0.16117860525470659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9"/>
        <v>0</v>
      </c>
      <c r="G58" s="2"/>
      <c r="H58" s="6">
        <v>19726.21</v>
      </c>
      <c r="I58" s="2"/>
      <c r="J58" s="7">
        <f t="shared" si="30"/>
        <v>7.9301882320250441E-2</v>
      </c>
      <c r="K58" s="2"/>
      <c r="L58" s="6">
        <f t="shared" si="31"/>
        <v>-19726.21</v>
      </c>
      <c r="M58" s="2"/>
      <c r="N58" s="7">
        <f t="shared" si="32"/>
        <v>-1</v>
      </c>
      <c r="O58" s="11"/>
      <c r="P58" s="6">
        <v>265321.17</v>
      </c>
      <c r="Q58" s="2"/>
      <c r="R58" s="7">
        <f t="shared" si="33"/>
        <v>7.8394331962330893E-2</v>
      </c>
      <c r="S58" s="2"/>
      <c r="T58" s="6">
        <v>316302.33999999997</v>
      </c>
      <c r="U58" s="2"/>
      <c r="V58" s="7">
        <f t="shared" si="34"/>
        <v>7.8173800956472472E-2</v>
      </c>
      <c r="W58" s="2"/>
      <c r="X58" s="6">
        <f t="shared" si="35"/>
        <v>-50981.169999999984</v>
      </c>
      <c r="Y58" s="2"/>
      <c r="Z58" s="7">
        <f t="shared" si="36"/>
        <v>-0.16117860525470659</v>
      </c>
    </row>
    <row r="59" spans="1:26" s="27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0.52</v>
      </c>
      <c r="E59" s="1"/>
      <c r="F59" s="5">
        <f t="shared" si="29"/>
        <v>0</v>
      </c>
      <c r="G59" s="1"/>
      <c r="H59" s="1">
        <f>SUM(OSRRefH22_11x_0)</f>
        <v>10348.34</v>
      </c>
      <c r="I59" s="1"/>
      <c r="J59" s="5">
        <f t="shared" si="30"/>
        <v>4.1601647802083648E-2</v>
      </c>
      <c r="K59" s="1"/>
      <c r="L59" s="1">
        <f t="shared" si="31"/>
        <v>-10347.82</v>
      </c>
      <c r="M59" s="1"/>
      <c r="N59" s="5">
        <f t="shared" si="32"/>
        <v>-0.99994975039474931</v>
      </c>
      <c r="O59" s="13"/>
      <c r="P59" s="1">
        <f>SUM(OSRRefP22_11x_0)</f>
        <v>9445.23</v>
      </c>
      <c r="Q59" s="1"/>
      <c r="R59" s="5">
        <f t="shared" si="33"/>
        <v>2.7907780448901483E-3</v>
      </c>
      <c r="S59" s="1"/>
      <c r="T59" s="1">
        <f>SUM(OSRRefT22_11x_0)</f>
        <v>21533.370000000003</v>
      </c>
      <c r="U59" s="1"/>
      <c r="V59" s="5">
        <f t="shared" si="34"/>
        <v>5.3219504487449446E-3</v>
      </c>
      <c r="W59" s="1"/>
      <c r="X59" s="1">
        <f t="shared" si="35"/>
        <v>-12088.140000000003</v>
      </c>
      <c r="Y59" s="1"/>
      <c r="Z59" s="5">
        <f t="shared" si="36"/>
        <v>-0.56136777476075517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>
        <v>10343.25</v>
      </c>
      <c r="I60" s="2"/>
      <c r="J60" s="7">
        <f t="shared" si="30"/>
        <v>4.1581185352327202E-2</v>
      </c>
      <c r="K60" s="2"/>
      <c r="L60" s="6">
        <f t="shared" si="31"/>
        <v>-10343.25</v>
      </c>
      <c r="M60" s="2"/>
      <c r="N60" s="7">
        <f t="shared" si="32"/>
        <v>-1</v>
      </c>
      <c r="O60" s="11"/>
      <c r="P60" s="6">
        <v>8238.75</v>
      </c>
      <c r="Q60" s="2"/>
      <c r="R60" s="7">
        <f t="shared" si="33"/>
        <v>2.4342999183014822E-3</v>
      </c>
      <c r="S60" s="2"/>
      <c r="T60" s="6">
        <v>19122.230000000003</v>
      </c>
      <c r="U60" s="2"/>
      <c r="V60" s="7">
        <f t="shared" si="34"/>
        <v>4.7260396551726024E-3</v>
      </c>
      <c r="W60" s="2"/>
      <c r="X60" s="6">
        <f t="shared" si="35"/>
        <v>-10883.480000000003</v>
      </c>
      <c r="Y60" s="2"/>
      <c r="Z60" s="7">
        <f t="shared" si="36"/>
        <v>-0.5691532839004656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0.52</v>
      </c>
      <c r="E61" s="2"/>
      <c r="F61" s="7">
        <f t="shared" si="29"/>
        <v>0</v>
      </c>
      <c r="G61" s="2"/>
      <c r="H61" s="6">
        <v>5.09</v>
      </c>
      <c r="I61" s="2"/>
      <c r="J61" s="7">
        <f t="shared" si="30"/>
        <v>2.0462449756444586E-5</v>
      </c>
      <c r="K61" s="2"/>
      <c r="L61" s="6">
        <f t="shared" si="31"/>
        <v>-4.57</v>
      </c>
      <c r="M61" s="2"/>
      <c r="N61" s="7">
        <f t="shared" si="32"/>
        <v>-0.89783889980353637</v>
      </c>
      <c r="O61" s="11"/>
      <c r="P61" s="6">
        <v>299.07</v>
      </c>
      <c r="Q61" s="2"/>
      <c r="R61" s="7">
        <f t="shared" si="33"/>
        <v>8.8366084244141923E-5</v>
      </c>
      <c r="S61" s="2"/>
      <c r="T61" s="6">
        <v>308.60000000000002</v>
      </c>
      <c r="U61" s="2"/>
      <c r="V61" s="7">
        <f t="shared" si="34"/>
        <v>7.6270175475677513E-5</v>
      </c>
      <c r="W61" s="2"/>
      <c r="X61" s="6">
        <f t="shared" si="35"/>
        <v>-9.5300000000000296</v>
      </c>
      <c r="Y61" s="2"/>
      <c r="Z61" s="7">
        <f t="shared" si="36"/>
        <v>-3.0881399870382464E-2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907.41</v>
      </c>
      <c r="Q62" s="2"/>
      <c r="R62" s="7">
        <f t="shared" si="33"/>
        <v>2.6811204234452408E-4</v>
      </c>
      <c r="S62" s="2"/>
      <c r="T62" s="6">
        <v>2102.54</v>
      </c>
      <c r="U62" s="2"/>
      <c r="V62" s="7">
        <f t="shared" si="34"/>
        <v>5.1964061809666557E-4</v>
      </c>
      <c r="W62" s="2"/>
      <c r="X62" s="6">
        <f t="shared" si="35"/>
        <v>-1195.1300000000001</v>
      </c>
      <c r="Y62" s="2"/>
      <c r="Z62" s="7">
        <f t="shared" si="36"/>
        <v>-0.5684220038619956</v>
      </c>
    </row>
    <row r="63" spans="1:26" s="27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421.34</v>
      </c>
      <c r="E63" s="1"/>
      <c r="F63" s="5">
        <f t="shared" ref="F63:F66" si="37">IF(D$12=0,0,D63/D$12)</f>
        <v>0</v>
      </c>
      <c r="G63" s="1"/>
      <c r="H63" s="1">
        <f>SUM(OSRRefH22_12x_0)</f>
        <v>7103.92</v>
      </c>
      <c r="I63" s="1"/>
      <c r="J63" s="5">
        <f t="shared" ref="J63:J66" si="38">IF(H$12=0,0,H63/H$12)</f>
        <v>2.8558665240432577E-2</v>
      </c>
      <c r="K63" s="1"/>
      <c r="L63" s="1">
        <f t="shared" ref="L63:L66" si="39">+D63-H63</f>
        <v>-6682.58</v>
      </c>
      <c r="M63" s="1"/>
      <c r="N63" s="5">
        <f t="shared" ref="N63:N66" si="40">IF(H63=0,0,L63/H63)</f>
        <v>-0.94068908433653531</v>
      </c>
      <c r="O63" s="13"/>
      <c r="P63" s="1">
        <f>SUM(OSRRefP22_12x_0)</f>
        <v>55140.770000000004</v>
      </c>
      <c r="Q63" s="1"/>
      <c r="R63" s="5">
        <f t="shared" ref="R63:R66" si="41">IF(P$12=0,0,P63/P$12)</f>
        <v>1.6292419591088556E-2</v>
      </c>
      <c r="S63" s="1"/>
      <c r="T63" s="1">
        <f>SUM(OSRRefT22_12x_0)</f>
        <v>61518.27</v>
      </c>
      <c r="U63" s="1"/>
      <c r="V63" s="5">
        <f t="shared" ref="V63:V66" si="42">IF(T$12=0,0,T63/T$12)</f>
        <v>1.5204177731238196E-2</v>
      </c>
      <c r="W63" s="1"/>
      <c r="X63" s="1">
        <f t="shared" ref="X63:X66" si="43">+P63-T63</f>
        <v>-6377.4999999999927</v>
      </c>
      <c r="Y63" s="1"/>
      <c r="Z63" s="5">
        <f t="shared" ref="Z63:Z66" si="44">IF(T63=0,0,X63/T63)</f>
        <v>-0.10366838989457917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7"/>
        <v>0</v>
      </c>
      <c r="G64" s="2"/>
      <c r="H64" s="6">
        <v>842.68</v>
      </c>
      <c r="I64" s="2"/>
      <c r="J64" s="7">
        <f t="shared" si="38"/>
        <v>3.3876811710728334E-3</v>
      </c>
      <c r="K64" s="2"/>
      <c r="L64" s="6">
        <f t="shared" si="39"/>
        <v>-421.34</v>
      </c>
      <c r="M64" s="2"/>
      <c r="N64" s="7">
        <f t="shared" si="40"/>
        <v>-0.5</v>
      </c>
      <c r="O64" s="11"/>
      <c r="P64" s="6">
        <v>5056.08</v>
      </c>
      <c r="Q64" s="2"/>
      <c r="R64" s="7">
        <f t="shared" si="41"/>
        <v>1.4939177825429534E-3</v>
      </c>
      <c r="S64" s="2"/>
      <c r="T64" s="6">
        <v>4648.8599999999997</v>
      </c>
      <c r="U64" s="2"/>
      <c r="V64" s="7">
        <f t="shared" si="42"/>
        <v>1.1489610108939019E-3</v>
      </c>
      <c r="W64" s="2"/>
      <c r="X64" s="6">
        <f t="shared" si="43"/>
        <v>407.22000000000025</v>
      </c>
      <c r="Y64" s="2"/>
      <c r="Z64" s="7">
        <f t="shared" si="44"/>
        <v>8.7595668615531613E-2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/>
      <c r="E65" s="2"/>
      <c r="F65" s="7">
        <f t="shared" si="37"/>
        <v>0</v>
      </c>
      <c r="G65" s="2"/>
      <c r="H65" s="6">
        <v>4942.67</v>
      </c>
      <c r="I65" s="2"/>
      <c r="J65" s="7">
        <f t="shared" si="38"/>
        <v>1.987016434925068E-2</v>
      </c>
      <c r="K65" s="2"/>
      <c r="L65" s="6">
        <f t="shared" si="39"/>
        <v>-4942.67</v>
      </c>
      <c r="M65" s="2"/>
      <c r="N65" s="7">
        <f t="shared" si="40"/>
        <v>-1</v>
      </c>
      <c r="O65" s="11"/>
      <c r="P65" s="6">
        <v>38570.82</v>
      </c>
      <c r="Q65" s="2"/>
      <c r="R65" s="7">
        <f t="shared" si="41"/>
        <v>1.1396503592756325E-2</v>
      </c>
      <c r="S65" s="2"/>
      <c r="T65" s="6">
        <v>44760.729999999996</v>
      </c>
      <c r="U65" s="2"/>
      <c r="V65" s="7">
        <f t="shared" si="42"/>
        <v>1.1062568799479658E-2</v>
      </c>
      <c r="W65" s="2"/>
      <c r="X65" s="6">
        <f t="shared" si="43"/>
        <v>-6189.9099999999962</v>
      </c>
      <c r="Y65" s="2"/>
      <c r="Z65" s="7">
        <f t="shared" si="44"/>
        <v>-0.13828885275106095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37"/>
        <v>0</v>
      </c>
      <c r="G66" s="2"/>
      <c r="H66" s="6">
        <v>1318.57</v>
      </c>
      <c r="I66" s="2"/>
      <c r="J66" s="7">
        <f t="shared" si="38"/>
        <v>5.3008197201090644E-3</v>
      </c>
      <c r="K66" s="2"/>
      <c r="L66" s="6">
        <f t="shared" si="39"/>
        <v>-1318.57</v>
      </c>
      <c r="M66" s="2"/>
      <c r="N66" s="7">
        <f t="shared" si="40"/>
        <v>-1</v>
      </c>
      <c r="O66" s="11"/>
      <c r="P66" s="6">
        <v>11513.87</v>
      </c>
      <c r="Q66" s="2"/>
      <c r="R66" s="7">
        <f t="shared" si="41"/>
        <v>3.4019982157892752E-3</v>
      </c>
      <c r="S66" s="2"/>
      <c r="T66" s="6">
        <v>12108.68</v>
      </c>
      <c r="U66" s="2"/>
      <c r="V66" s="7">
        <f t="shared" si="42"/>
        <v>2.9926479208646365E-3</v>
      </c>
      <c r="W66" s="2"/>
      <c r="X66" s="6">
        <f t="shared" si="43"/>
        <v>-594.80999999999949</v>
      </c>
      <c r="Y66" s="2"/>
      <c r="Z66" s="7">
        <f t="shared" si="44"/>
        <v>-4.9122612869445678E-2</v>
      </c>
    </row>
    <row r="67" spans="1:26" s="27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0</v>
      </c>
      <c r="E67" s="1"/>
      <c r="F67" s="5">
        <f t="shared" ref="F67:F75" si="45">IF(D$12=0,0,D67/D$12)</f>
        <v>0</v>
      </c>
      <c r="G67" s="1"/>
      <c r="H67" s="1">
        <f>SUM(OSRRefH22_13x_0)</f>
        <v>5384.1</v>
      </c>
      <c r="I67" s="1"/>
      <c r="J67" s="5">
        <f t="shared" ref="J67:J75" si="46">IF(H$12=0,0,H67/H$12)</f>
        <v>2.1644769299346424E-2</v>
      </c>
      <c r="K67" s="1"/>
      <c r="L67" s="1">
        <f t="shared" ref="L67:L75" si="47">+D67-H67</f>
        <v>-5384.1</v>
      </c>
      <c r="M67" s="1"/>
      <c r="N67" s="5">
        <f t="shared" ref="N67:N75" si="48">IF(H67=0,0,L67/H67)</f>
        <v>-1</v>
      </c>
      <c r="O67" s="13"/>
      <c r="P67" s="1">
        <f>SUM(OSRRefP22_13x_0)</f>
        <v>76941.84</v>
      </c>
      <c r="Q67" s="1"/>
      <c r="R67" s="5">
        <f t="shared" ref="R67:R75" si="49">IF(P$12=0,0,P67/P$12)</f>
        <v>2.27339723654639E-2</v>
      </c>
      <c r="S67" s="1"/>
      <c r="T67" s="1">
        <f>SUM(OSRRefT22_13x_0)</f>
        <v>92006.6</v>
      </c>
      <c r="U67" s="1"/>
      <c r="V67" s="5">
        <f t="shared" ref="V67:V75" si="50">IF(T$12=0,0,T67/T$12)</f>
        <v>2.2739337417111052E-2</v>
      </c>
      <c r="W67" s="1"/>
      <c r="X67" s="1">
        <f t="shared" ref="X67:X75" si="51">+P67-T67</f>
        <v>-15064.760000000009</v>
      </c>
      <c r="Y67" s="1"/>
      <c r="Z67" s="5">
        <f t="shared" ref="Z67:Z75" si="52">IF(T67=0,0,X67/T67)</f>
        <v>-0.16373564505155075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118.34</v>
      </c>
      <c r="Q68" s="2"/>
      <c r="R68" s="7">
        <f t="shared" si="49"/>
        <v>3.4965868891736903E-5</v>
      </c>
      <c r="S68" s="2"/>
      <c r="T68" s="6"/>
      <c r="U68" s="2"/>
      <c r="V68" s="7">
        <f t="shared" si="50"/>
        <v>0</v>
      </c>
      <c r="W68" s="2"/>
      <c r="X68" s="6">
        <f t="shared" si="51"/>
        <v>118.34</v>
      </c>
      <c r="Y68" s="2"/>
      <c r="Z68" s="7">
        <f t="shared" si="52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5"/>
        <v>0</v>
      </c>
      <c r="G69" s="2"/>
      <c r="H69" s="6">
        <v>2267.88</v>
      </c>
      <c r="I69" s="2"/>
      <c r="J69" s="7">
        <f t="shared" si="46"/>
        <v>9.1171671028773184E-3</v>
      </c>
      <c r="K69" s="2"/>
      <c r="L69" s="6">
        <f t="shared" si="47"/>
        <v>-2267.88</v>
      </c>
      <c r="M69" s="2"/>
      <c r="N69" s="7">
        <f t="shared" si="48"/>
        <v>-1</v>
      </c>
      <c r="O69" s="11"/>
      <c r="P69" s="6">
        <v>34387.160000000003</v>
      </c>
      <c r="Q69" s="2"/>
      <c r="R69" s="7">
        <f t="shared" si="49"/>
        <v>1.0160359372310121E-2</v>
      </c>
      <c r="S69" s="2"/>
      <c r="T69" s="6">
        <v>41300.92</v>
      </c>
      <c r="U69" s="2"/>
      <c r="V69" s="7">
        <f t="shared" si="50"/>
        <v>1.0207480284209069E-2</v>
      </c>
      <c r="W69" s="2"/>
      <c r="X69" s="6">
        <f t="shared" si="51"/>
        <v>-6913.7599999999948</v>
      </c>
      <c r="Y69" s="2"/>
      <c r="Z69" s="7">
        <f t="shared" si="52"/>
        <v>-0.16739966083079977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45"/>
        <v>0</v>
      </c>
      <c r="G70" s="2"/>
      <c r="H70" s="6">
        <v>898.85</v>
      </c>
      <c r="I70" s="2"/>
      <c r="J70" s="7">
        <f t="shared" si="46"/>
        <v>3.6134917413713588E-3</v>
      </c>
      <c r="K70" s="2"/>
      <c r="L70" s="6">
        <f t="shared" si="47"/>
        <v>-898.85</v>
      </c>
      <c r="M70" s="2"/>
      <c r="N70" s="7">
        <f t="shared" si="48"/>
        <v>-1</v>
      </c>
      <c r="O70" s="11"/>
      <c r="P70" s="6">
        <v>16573.400000000001</v>
      </c>
      <c r="Q70" s="2"/>
      <c r="R70" s="7">
        <f t="shared" si="49"/>
        <v>4.8969353683480854E-3</v>
      </c>
      <c r="S70" s="2"/>
      <c r="T70" s="6">
        <v>13420.29</v>
      </c>
      <c r="U70" s="2"/>
      <c r="V70" s="7">
        <f t="shared" si="50"/>
        <v>3.316810995575114E-3</v>
      </c>
      <c r="W70" s="2"/>
      <c r="X70" s="6">
        <f t="shared" si="51"/>
        <v>3153.1100000000006</v>
      </c>
      <c r="Y70" s="2"/>
      <c r="Z70" s="7">
        <f t="shared" si="52"/>
        <v>0.23495095858584281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45"/>
        <v>0</v>
      </c>
      <c r="G71" s="2"/>
      <c r="H71" s="6">
        <v>522.58000000000004</v>
      </c>
      <c r="I71" s="2"/>
      <c r="J71" s="7">
        <f t="shared" si="46"/>
        <v>2.1008383091793343E-3</v>
      </c>
      <c r="K71" s="2"/>
      <c r="L71" s="6">
        <f t="shared" si="47"/>
        <v>-522.58000000000004</v>
      </c>
      <c r="M71" s="2"/>
      <c r="N71" s="7">
        <f t="shared" si="48"/>
        <v>-1</v>
      </c>
      <c r="O71" s="11"/>
      <c r="P71" s="6">
        <v>3279.53</v>
      </c>
      <c r="Q71" s="2"/>
      <c r="R71" s="7">
        <f t="shared" si="49"/>
        <v>9.6900131829067034E-4</v>
      </c>
      <c r="S71" s="2"/>
      <c r="T71" s="6">
        <v>3781.98</v>
      </c>
      <c r="U71" s="2"/>
      <c r="V71" s="7">
        <f t="shared" si="50"/>
        <v>9.3471250241575774E-4</v>
      </c>
      <c r="W71" s="2"/>
      <c r="X71" s="6">
        <f t="shared" si="51"/>
        <v>-502.44999999999982</v>
      </c>
      <c r="Y71" s="2"/>
      <c r="Z71" s="7">
        <f t="shared" si="52"/>
        <v>-0.13285369039497824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45"/>
        <v>0</v>
      </c>
      <c r="G72" s="2"/>
      <c r="H72" s="6">
        <v>1504.02</v>
      </c>
      <c r="I72" s="2"/>
      <c r="J72" s="7">
        <f t="shared" si="46"/>
        <v>6.0463523934553608E-3</v>
      </c>
      <c r="K72" s="2"/>
      <c r="L72" s="6">
        <f t="shared" si="47"/>
        <v>-1504.02</v>
      </c>
      <c r="M72" s="2"/>
      <c r="N72" s="7">
        <f t="shared" si="48"/>
        <v>-1</v>
      </c>
      <c r="O72" s="11"/>
      <c r="P72" s="6">
        <v>19420.62</v>
      </c>
      <c r="Q72" s="2"/>
      <c r="R72" s="7">
        <f t="shared" si="49"/>
        <v>5.738202236912654E-3</v>
      </c>
      <c r="S72" s="2"/>
      <c r="T72" s="6">
        <v>30207.939999999995</v>
      </c>
      <c r="U72" s="2"/>
      <c r="V72" s="7">
        <f t="shared" si="50"/>
        <v>7.4658615831456167E-3</v>
      </c>
      <c r="W72" s="2"/>
      <c r="X72" s="6">
        <f t="shared" si="51"/>
        <v>-10787.319999999996</v>
      </c>
      <c r="Y72" s="2"/>
      <c r="Z72" s="7">
        <f t="shared" si="52"/>
        <v>-0.35710213937130431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441</v>
      </c>
      <c r="Q73" s="2"/>
      <c r="R73" s="7">
        <f t="shared" si="49"/>
        <v>1.3030208028778074E-4</v>
      </c>
      <c r="S73" s="2"/>
      <c r="T73" s="6">
        <v>20.73</v>
      </c>
      <c r="U73" s="2"/>
      <c r="V73" s="7">
        <f t="shared" si="50"/>
        <v>5.1233983720375722E-6</v>
      </c>
      <c r="W73" s="2"/>
      <c r="X73" s="6">
        <f t="shared" si="51"/>
        <v>420.27</v>
      </c>
      <c r="Y73" s="2"/>
      <c r="Z73" s="7">
        <f t="shared" si="52"/>
        <v>20.273516642547033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>
        <v>153.87</v>
      </c>
      <c r="Q74" s="2"/>
      <c r="R74" s="7">
        <f t="shared" si="49"/>
        <v>4.5463902707212753E-5</v>
      </c>
      <c r="S74" s="2"/>
      <c r="T74" s="6"/>
      <c r="U74" s="2"/>
      <c r="V74" s="7">
        <f t="shared" si="50"/>
        <v>0</v>
      </c>
      <c r="W74" s="2"/>
      <c r="X74" s="6">
        <f t="shared" si="51"/>
        <v>153.87</v>
      </c>
      <c r="Y74" s="2"/>
      <c r="Z74" s="7">
        <f t="shared" si="52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5"/>
        <v>0</v>
      </c>
      <c r="G75" s="2"/>
      <c r="H75" s="6">
        <v>190.77</v>
      </c>
      <c r="I75" s="2"/>
      <c r="J75" s="7">
        <f t="shared" si="46"/>
        <v>7.6691975246305185E-4</v>
      </c>
      <c r="K75" s="2"/>
      <c r="L75" s="6">
        <f t="shared" si="47"/>
        <v>-190.77</v>
      </c>
      <c r="M75" s="2"/>
      <c r="N75" s="7">
        <f t="shared" si="48"/>
        <v>-1</v>
      </c>
      <c r="O75" s="11"/>
      <c r="P75" s="6">
        <v>2567.92</v>
      </c>
      <c r="Q75" s="2"/>
      <c r="R75" s="7">
        <f t="shared" si="49"/>
        <v>7.587422177156416E-4</v>
      </c>
      <c r="S75" s="2"/>
      <c r="T75" s="6">
        <v>3274.74</v>
      </c>
      <c r="U75" s="2"/>
      <c r="V75" s="7">
        <f t="shared" si="50"/>
        <v>8.0934865339345478E-4</v>
      </c>
      <c r="W75" s="2"/>
      <c r="X75" s="6">
        <f t="shared" si="51"/>
        <v>-706.81999999999971</v>
      </c>
      <c r="Y75" s="2"/>
      <c r="Z75" s="7">
        <f t="shared" si="52"/>
        <v>-0.21584003615554204</v>
      </c>
    </row>
    <row r="76" spans="1:26" s="27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267.8</v>
      </c>
      <c r="E76" s="1"/>
      <c r="F76" s="5">
        <f t="shared" ref="F76:F81" si="53">IF(D$12=0,0,D76/D$12)</f>
        <v>0</v>
      </c>
      <c r="G76" s="1"/>
      <c r="H76" s="1">
        <f>SUM(OSRRefH22_14x_0)</f>
        <v>260.35000000000002</v>
      </c>
      <c r="I76" s="1"/>
      <c r="J76" s="5">
        <f t="shared" ref="J76:J81" si="54">IF(H$12=0,0,H76/H$12)</f>
        <v>1.0466402345953533E-3</v>
      </c>
      <c r="K76" s="1"/>
      <c r="L76" s="1">
        <f t="shared" ref="L76:L81" si="55">+D76-H76</f>
        <v>7.4499999999999886</v>
      </c>
      <c r="M76" s="1"/>
      <c r="N76" s="5">
        <f t="shared" ref="N76:N81" si="56">IF(H76=0,0,L76/H76)</f>
        <v>2.8615325523333929E-2</v>
      </c>
      <c r="O76" s="13"/>
      <c r="P76" s="1">
        <f>SUM(OSRRefP22_14x_0)</f>
        <v>3292.15</v>
      </c>
      <c r="Q76" s="1"/>
      <c r="R76" s="5">
        <f t="shared" ref="R76:R81" si="57">IF(P$12=0,0,P76/P$12)</f>
        <v>9.7273014426171747E-4</v>
      </c>
      <c r="S76" s="1"/>
      <c r="T76" s="1">
        <f>SUM(OSRRefT22_14x_0)</f>
        <v>2592.4499999999998</v>
      </c>
      <c r="U76" s="1"/>
      <c r="V76" s="5">
        <f t="shared" ref="V76:V81" si="58">IF(T$12=0,0,T76/T$12)</f>
        <v>6.4072137528165961E-4</v>
      </c>
      <c r="W76" s="1"/>
      <c r="X76" s="1">
        <f t="shared" ref="X76:X81" si="59">+P76-T76</f>
        <v>699.70000000000027</v>
      </c>
      <c r="Y76" s="1"/>
      <c r="Z76" s="5">
        <f t="shared" ref="Z76:Z81" si="60">IF(T76=0,0,X76/T76)</f>
        <v>0.26989913016644501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267.8</v>
      </c>
      <c r="E77" s="2"/>
      <c r="F77" s="7">
        <f t="shared" si="53"/>
        <v>0</v>
      </c>
      <c r="G77" s="2"/>
      <c r="H77" s="6">
        <v>260.35000000000002</v>
      </c>
      <c r="I77" s="2"/>
      <c r="J77" s="7">
        <f t="shared" si="54"/>
        <v>1.0466402345953533E-3</v>
      </c>
      <c r="K77" s="2"/>
      <c r="L77" s="6">
        <f t="shared" si="55"/>
        <v>7.4499999999999886</v>
      </c>
      <c r="M77" s="2"/>
      <c r="N77" s="7">
        <f t="shared" si="56"/>
        <v>2.8615325523333929E-2</v>
      </c>
      <c r="O77" s="11"/>
      <c r="P77" s="6">
        <v>3292.15</v>
      </c>
      <c r="Q77" s="2"/>
      <c r="R77" s="7">
        <f t="shared" si="57"/>
        <v>9.7273014426171747E-4</v>
      </c>
      <c r="S77" s="2"/>
      <c r="T77" s="6">
        <v>2592.4499999999998</v>
      </c>
      <c r="U77" s="2"/>
      <c r="V77" s="7">
        <f t="shared" si="58"/>
        <v>6.4072137528165961E-4</v>
      </c>
      <c r="W77" s="2"/>
      <c r="X77" s="6">
        <f t="shared" si="59"/>
        <v>699.70000000000027</v>
      </c>
      <c r="Y77" s="2"/>
      <c r="Z77" s="7">
        <f t="shared" si="60"/>
        <v>0.26989913016644501</v>
      </c>
    </row>
    <row r="78" spans="1:26" s="27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1007.31</v>
      </c>
      <c r="I78" s="1"/>
      <c r="J78" s="5">
        <f t="shared" si="54"/>
        <v>4.0495147866727301E-3</v>
      </c>
      <c r="K78" s="1"/>
      <c r="L78" s="1">
        <f t="shared" si="55"/>
        <v>-1007.31</v>
      </c>
      <c r="M78" s="1"/>
      <c r="N78" s="5">
        <f t="shared" si="56"/>
        <v>-1</v>
      </c>
      <c r="O78" s="13"/>
      <c r="P78" s="1">
        <f>SUM(OSRRefP22_15x_0)</f>
        <v>1112.43</v>
      </c>
      <c r="Q78" s="1"/>
      <c r="R78" s="5">
        <f t="shared" si="57"/>
        <v>3.2868921354770058E-4</v>
      </c>
      <c r="S78" s="1"/>
      <c r="T78" s="1">
        <f>SUM(OSRRefT22_15x_0)</f>
        <v>3049.21</v>
      </c>
      <c r="U78" s="1"/>
      <c r="V78" s="5">
        <f t="shared" si="58"/>
        <v>7.5360914375304801E-4</v>
      </c>
      <c r="W78" s="1"/>
      <c r="X78" s="1">
        <f t="shared" si="59"/>
        <v>-1936.78</v>
      </c>
      <c r="Y78" s="1"/>
      <c r="Z78" s="5">
        <f t="shared" si="60"/>
        <v>-0.63517435663663702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53"/>
        <v>0</v>
      </c>
      <c r="G79" s="2"/>
      <c r="H79" s="6">
        <v>1007.31</v>
      </c>
      <c r="I79" s="2"/>
      <c r="J79" s="7">
        <f t="shared" si="54"/>
        <v>4.0495147866727301E-3</v>
      </c>
      <c r="K79" s="2"/>
      <c r="L79" s="6">
        <f t="shared" si="55"/>
        <v>-1007.31</v>
      </c>
      <c r="M79" s="2"/>
      <c r="N79" s="7">
        <f t="shared" si="56"/>
        <v>-1</v>
      </c>
      <c r="O79" s="11"/>
      <c r="P79" s="6">
        <v>1112.43</v>
      </c>
      <c r="Q79" s="2"/>
      <c r="R79" s="7">
        <f t="shared" si="57"/>
        <v>3.2868921354770058E-4</v>
      </c>
      <c r="S79" s="2"/>
      <c r="T79" s="6">
        <v>3049.21</v>
      </c>
      <c r="U79" s="2"/>
      <c r="V79" s="7">
        <f t="shared" si="58"/>
        <v>7.5360914375304801E-4</v>
      </c>
      <c r="W79" s="2"/>
      <c r="X79" s="6">
        <f t="shared" si="59"/>
        <v>-1936.78</v>
      </c>
      <c r="Y79" s="2"/>
      <c r="Z79" s="7">
        <f t="shared" si="60"/>
        <v>-0.63517435663663702</v>
      </c>
    </row>
    <row r="80" spans="1:26" s="27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59.14</v>
      </c>
      <c r="Q80" s="1"/>
      <c r="R80" s="5">
        <f t="shared" si="57"/>
        <v>1.7474070358774046E-5</v>
      </c>
      <c r="S80" s="1"/>
      <c r="T80" s="1">
        <f>SUM(OSRRefT22_16x_0)</f>
        <v>0</v>
      </c>
      <c r="U80" s="1"/>
      <c r="V80" s="5">
        <f t="shared" si="58"/>
        <v>0</v>
      </c>
      <c r="W80" s="1"/>
      <c r="X80" s="1">
        <f t="shared" si="59"/>
        <v>59.14</v>
      </c>
      <c r="Y80" s="1"/>
      <c r="Z80" s="5">
        <f t="shared" si="60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59.14</v>
      </c>
      <c r="Q81" s="2"/>
      <c r="R81" s="7">
        <f t="shared" si="57"/>
        <v>1.7474070358774046E-5</v>
      </c>
      <c r="S81" s="2"/>
      <c r="T81" s="6"/>
      <c r="U81" s="2"/>
      <c r="V81" s="7">
        <f t="shared" si="58"/>
        <v>0</v>
      </c>
      <c r="W81" s="2"/>
      <c r="X81" s="6">
        <f t="shared" si="59"/>
        <v>59.14</v>
      </c>
      <c r="Y81" s="2"/>
      <c r="Z81" s="7">
        <f t="shared" si="60"/>
        <v>0</v>
      </c>
    </row>
    <row r="82" spans="1:26" s="58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+D21-D23+D83</f>
        <v>-54565.649999999994</v>
      </c>
      <c r="E85" s="14"/>
      <c r="F85" s="20">
        <f>IF(D$12=0,0,D85/D$12)</f>
        <v>0</v>
      </c>
      <c r="G85" s="14"/>
      <c r="H85" s="21">
        <f>+H21-H23+H83</f>
        <v>25200.930000000022</v>
      </c>
      <c r="I85" s="14"/>
      <c r="J85" s="20">
        <f>IF(H$12=0,0,H85/H$12)</f>
        <v>0.10131095558755943</v>
      </c>
      <c r="K85" s="16"/>
      <c r="L85" s="21">
        <f>+D85-H85</f>
        <v>-79766.580000000016</v>
      </c>
      <c r="M85" s="16"/>
      <c r="N85" s="20">
        <f>IF(H85=0,0,L85/H85)</f>
        <v>-3.1652236643647655</v>
      </c>
      <c r="O85" s="28"/>
      <c r="P85" s="21">
        <f>+P21-P23+P83</f>
        <v>827771.72</v>
      </c>
      <c r="Q85" s="14"/>
      <c r="R85" s="20">
        <f>IF(P$12=0,0,P85/P$12)</f>
        <v>0.24458135401223211</v>
      </c>
      <c r="S85" s="14"/>
      <c r="T85" s="21">
        <f>+T21-T23+T83</f>
        <v>1116643.7000000002</v>
      </c>
      <c r="U85" s="14"/>
      <c r="V85" s="20">
        <f>IF(T$12=0,0,T85/T$12)</f>
        <v>0.27597735237462673</v>
      </c>
      <c r="W85" s="16"/>
      <c r="X85" s="21">
        <f>+P85-T85</f>
        <v>-288871.98000000021</v>
      </c>
      <c r="Y85" s="16"/>
      <c r="Z85" s="20">
        <f>IF(T85=0,0,X85/T85)</f>
        <v>-0.25869664602952597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16491.63</v>
      </c>
      <c r="E87" s="4"/>
      <c r="F87" s="12">
        <f>IF(D$12=0,0,D87/D$12)</f>
        <v>0</v>
      </c>
      <c r="G87" s="4"/>
      <c r="H87" s="4">
        <v>26086.2</v>
      </c>
      <c r="I87" s="4"/>
      <c r="J87" s="12">
        <f>IF(H$12=0,0,H87/H$12)</f>
        <v>0.10486985399539583</v>
      </c>
      <c r="K87" s="4"/>
      <c r="L87" s="4">
        <f>+D87-H87</f>
        <v>-9594.57</v>
      </c>
      <c r="M87" s="4"/>
      <c r="N87" s="12">
        <f>IF(H87=0,0,L87/H87)</f>
        <v>-0.36780251627297189</v>
      </c>
      <c r="O87" s="10"/>
      <c r="P87" s="4">
        <v>400770.94</v>
      </c>
      <c r="Q87" s="4"/>
      <c r="R87" s="12">
        <f>IF(P$12=0,0,P87/P$12)</f>
        <v>0.11841561723557678</v>
      </c>
      <c r="S87" s="4"/>
      <c r="T87" s="4">
        <v>420857.80000000005</v>
      </c>
      <c r="U87" s="4"/>
      <c r="V87" s="12">
        <f>IF(T$12=0,0,T87/T$12)</f>
        <v>0.10401457633281787</v>
      </c>
      <c r="W87" s="4"/>
      <c r="X87" s="4">
        <f>+P87-T87</f>
        <v>-20086.860000000044</v>
      </c>
      <c r="Y87" s="4"/>
      <c r="Z87" s="12">
        <f>IF(T87=0,0,X87/T87)</f>
        <v>-4.7728377613531318E-2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5">
        <f>+D85-D87</f>
        <v>-71057.279999999999</v>
      </c>
      <c r="E89" s="14"/>
      <c r="F89" s="32">
        <f>IF(D$12=0,0,D89/D$12)</f>
        <v>0</v>
      </c>
      <c r="G89" s="14"/>
      <c r="H89" s="35">
        <f>+H85-H87</f>
        <v>-885.26999999997861</v>
      </c>
      <c r="I89" s="14"/>
      <c r="J89" s="32">
        <f>IF(H$12=0,0,H89/H$12)</f>
        <v>-3.558898407836397E-3</v>
      </c>
      <c r="K89" s="16"/>
      <c r="L89" s="35">
        <f>D89-H89</f>
        <v>-70172.010000000024</v>
      </c>
      <c r="M89" s="16"/>
      <c r="N89" s="32">
        <f>IF(H89=0,0,L89/H89)</f>
        <v>79.266223863907868</v>
      </c>
      <c r="O89" s="28"/>
      <c r="P89" s="35">
        <f>+P85-P87</f>
        <v>427000.77999999997</v>
      </c>
      <c r="Q89" s="14"/>
      <c r="R89" s="32">
        <f>IF(P$12=0,0,P89/P$12)</f>
        <v>0.12616573677665532</v>
      </c>
      <c r="S89" s="14"/>
      <c r="T89" s="35">
        <f>+T85-T87</f>
        <v>695785.90000000014</v>
      </c>
      <c r="U89" s="14"/>
      <c r="V89" s="32">
        <f>IF(T$12=0,0,T89/T$12)</f>
        <v>0.17196277604180887</v>
      </c>
      <c r="W89" s="16"/>
      <c r="X89" s="35">
        <f>P89-T89</f>
        <v>-268785.12000000017</v>
      </c>
      <c r="Y89" s="16"/>
      <c r="Z89" s="32">
        <f>IF(T89=0,0,X89/T89)</f>
        <v>-0.38630435023187465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6">
        <f>SUM(D89:D91)</f>
        <v>-71057.279999999999</v>
      </c>
      <c r="E92" s="14"/>
      <c r="F92" s="33">
        <f>IF(D$12=0,0,D92/D$12)</f>
        <v>0</v>
      </c>
      <c r="G92" s="14"/>
      <c r="H92" s="36">
        <f>SUM(H89:H91)</f>
        <v>-885.26999999997861</v>
      </c>
      <c r="I92" s="14"/>
      <c r="J92" s="33">
        <f>IF(H$12=0,0,H92/H$12)</f>
        <v>-3.558898407836397E-3</v>
      </c>
      <c r="K92" s="16"/>
      <c r="L92" s="36">
        <f>+D92-H92</f>
        <v>-70172.010000000024</v>
      </c>
      <c r="M92" s="16"/>
      <c r="N92" s="33">
        <f>IF(H92=0,0,L92/H92)</f>
        <v>79.266223863907868</v>
      </c>
      <c r="O92" s="28"/>
      <c r="P92" s="36">
        <f>SUM(P89:P91)</f>
        <v>427000.77999999997</v>
      </c>
      <c r="Q92" s="14"/>
      <c r="R92" s="33">
        <f>IF(P$12=0,0,P92/P$12)</f>
        <v>0.12616573677665532</v>
      </c>
      <c r="S92" s="14"/>
      <c r="T92" s="36">
        <f>SUM(T89:T91)</f>
        <v>695785.90000000014</v>
      </c>
      <c r="U92" s="14"/>
      <c r="V92" s="33">
        <f>IF(T$12=0,0,T92/T$12)</f>
        <v>0.17196277604180887</v>
      </c>
      <c r="W92" s="16"/>
      <c r="X92" s="36">
        <f>+P92-T92</f>
        <v>-268785.12000000017</v>
      </c>
      <c r="Y92" s="16"/>
      <c r="Z92" s="33">
        <f>IF(T92=0,0,X92/T92)</f>
        <v>-0.38630435023187465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5">
        <v>43992.376120717592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3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","445", " - ", "Central Park Coffee House")</f>
        <v>Department 445 - Central Park Coffee House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1">
        <f t="shared" ref="F18:F20" si="0">IF(D$12=0,0,D18/D$12)</f>
        <v>0</v>
      </c>
      <c r="G18" s="22"/>
      <c r="H18" s="22">
        <f>SUM(OSRRefH22x_0)</f>
        <v>0</v>
      </c>
      <c r="I18" s="22"/>
      <c r="J18" s="31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1">
        <f t="shared" ref="N18:N20" si="3">IF(H18=0,0,L18/H18)</f>
        <v>0</v>
      </c>
      <c r="O18" s="10"/>
      <c r="P18" s="22">
        <f>SUM(OSRRefP22x_0)</f>
        <v>0</v>
      </c>
      <c r="Q18" s="22"/>
      <c r="R18" s="31">
        <f t="shared" ref="R18:R20" si="4">IF(P$12=0,0,P18/P$12)</f>
        <v>0</v>
      </c>
      <c r="S18" s="22"/>
      <c r="T18" s="22">
        <f>SUM(OSRRefT22x_0)</f>
        <v>929.2</v>
      </c>
      <c r="U18" s="22"/>
      <c r="V18" s="31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1">
        <f t="shared" ref="Z18:Z20" si="7">IF(T18=0,0,X18/T18)</f>
        <v>-1</v>
      </c>
    </row>
    <row r="19" spans="1:26" s="27" customFormat="1" outlineLevel="1" collapsed="1" x14ac:dyDescent="0.25">
      <c r="A19" s="25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58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1">
        <f>+D16-D18+D22</f>
        <v>0</v>
      </c>
      <c r="E24" s="14"/>
      <c r="F24" s="20">
        <f>IF(D$12=0,0,D24/D$12)</f>
        <v>0</v>
      </c>
      <c r="G24" s="14"/>
      <c r="H24" s="21">
        <f>+H16-H18+H22</f>
        <v>0</v>
      </c>
      <c r="I24" s="14"/>
      <c r="J24" s="20">
        <f>IF(H$12=0,0,H24/H$12)</f>
        <v>0</v>
      </c>
      <c r="K24" s="16"/>
      <c r="L24" s="21">
        <f>+D24-H24</f>
        <v>0</v>
      </c>
      <c r="M24" s="16"/>
      <c r="N24" s="20">
        <f>IF(H24=0,0,L24/H24)</f>
        <v>0</v>
      </c>
      <c r="O24" s="28"/>
      <c r="P24" s="21">
        <f>+P16-P18+P22</f>
        <v>0</v>
      </c>
      <c r="Q24" s="14"/>
      <c r="R24" s="20">
        <f>IF(P$12=0,0,P24/P$12)</f>
        <v>0</v>
      </c>
      <c r="S24" s="14"/>
      <c r="T24" s="21">
        <f>+T16-T18+T22</f>
        <v>-929.2</v>
      </c>
      <c r="U24" s="14"/>
      <c r="V24" s="20">
        <f>IF(T$12=0,0,T24/T$12)</f>
        <v>0</v>
      </c>
      <c r="W24" s="16"/>
      <c r="X24" s="21">
        <f>+P24-T24</f>
        <v>929.2</v>
      </c>
      <c r="Y24" s="16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5">
        <f>+D24-D26</f>
        <v>0</v>
      </c>
      <c r="E28" s="14"/>
      <c r="F28" s="32">
        <f>IF(D$12=0,0,D28/D$12)</f>
        <v>0</v>
      </c>
      <c r="G28" s="14"/>
      <c r="H28" s="35">
        <f>+H24-H26</f>
        <v>0</v>
      </c>
      <c r="I28" s="14"/>
      <c r="J28" s="32">
        <f>IF(H$12=0,0,H28/H$12)</f>
        <v>0</v>
      </c>
      <c r="K28" s="16"/>
      <c r="L28" s="35">
        <f>D28-H28</f>
        <v>0</v>
      </c>
      <c r="M28" s="16"/>
      <c r="N28" s="32">
        <f>IF(H28=0,0,L28/H28)</f>
        <v>0</v>
      </c>
      <c r="O28" s="28"/>
      <c r="P28" s="35">
        <f>+P24-P26</f>
        <v>0</v>
      </c>
      <c r="Q28" s="14"/>
      <c r="R28" s="32">
        <f>IF(P$12=0,0,P28/P$12)</f>
        <v>0</v>
      </c>
      <c r="S28" s="14"/>
      <c r="T28" s="35">
        <f>+T24-T26</f>
        <v>-929.2</v>
      </c>
      <c r="U28" s="14"/>
      <c r="V28" s="32">
        <f>IF(T$12=0,0,T28/T$12)</f>
        <v>0</v>
      </c>
      <c r="W28" s="16"/>
      <c r="X28" s="35">
        <f>P28-T28</f>
        <v>929.2</v>
      </c>
      <c r="Y28" s="16"/>
      <c r="Z28" s="32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6">
        <f>SUM(D28:D30)</f>
        <v>0</v>
      </c>
      <c r="E31" s="14"/>
      <c r="F31" s="33">
        <f>IF(D$12=0,0,D31/D$12)</f>
        <v>0</v>
      </c>
      <c r="G31" s="14"/>
      <c r="H31" s="36">
        <f>SUM(H28:H30)</f>
        <v>0</v>
      </c>
      <c r="I31" s="14"/>
      <c r="J31" s="33">
        <f>IF(H$12=0,0,H31/H$12)</f>
        <v>0</v>
      </c>
      <c r="K31" s="16"/>
      <c r="L31" s="36">
        <f>+D31-H31</f>
        <v>0</v>
      </c>
      <c r="M31" s="16"/>
      <c r="N31" s="33">
        <f>IF(H31=0,0,L31/H31)</f>
        <v>0</v>
      </c>
      <c r="O31" s="28"/>
      <c r="P31" s="36">
        <f>SUM(P28:P30)</f>
        <v>0</v>
      </c>
      <c r="Q31" s="14"/>
      <c r="R31" s="33">
        <f>IF(P$12=0,0,P31/P$12)</f>
        <v>0</v>
      </c>
      <c r="S31" s="14"/>
      <c r="T31" s="36">
        <f>SUM(T28:T30)</f>
        <v>-929.2</v>
      </c>
      <c r="U31" s="14"/>
      <c r="V31" s="33">
        <f>IF(T$12=0,0,T31/T$12)</f>
        <v>0</v>
      </c>
      <c r="W31" s="16"/>
      <c r="X31" s="36">
        <f>+P31-T31</f>
        <v>929.2</v>
      </c>
      <c r="Y31" s="16"/>
      <c r="Z31" s="33">
        <f>IF(T31=0,0,X31/T31)</f>
        <v>-1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5">
        <v>43992.376138657404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2" t="s">
        <v>313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3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8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159650.07</v>
      </c>
      <c r="I12" s="4"/>
      <c r="J12" s="12"/>
      <c r="K12" s="4"/>
      <c r="L12" s="4">
        <f t="shared" ref="L12:L15" si="0">+D12-H12</f>
        <v>-159650.07</v>
      </c>
      <c r="M12" s="4"/>
      <c r="N12" s="12">
        <f t="shared" ref="N12:N15" si="1">IF(H12=0,0,L12/H12)</f>
        <v>-1</v>
      </c>
      <c r="O12" s="10"/>
      <c r="P12" s="4">
        <f>SUM(OSRRefP13x_0)</f>
        <v>1996380.34</v>
      </c>
      <c r="Q12" s="4"/>
      <c r="R12" s="12"/>
      <c r="S12" s="4"/>
      <c r="T12" s="4">
        <f>SUM(OSRRefT13x_0)</f>
        <v>2405649.3300000005</v>
      </c>
      <c r="U12" s="4"/>
      <c r="V12" s="12"/>
      <c r="W12" s="4"/>
      <c r="X12" s="4">
        <f t="shared" ref="X12:X15" si="2">+P12-T12</f>
        <v>-409268.99000000046</v>
      </c>
      <c r="Y12" s="4"/>
      <c r="Z12" s="12">
        <f t="shared" ref="Z12:Z15" si="3">IF(T12=0,0,X12/T12)</f>
        <v>-0.17012828299459604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--40.97</f>
        <v>40.97</v>
      </c>
      <c r="I13" s="2"/>
      <c r="J13" s="19"/>
      <c r="K13" s="2"/>
      <c r="L13" s="2">
        <f t="shared" si="0"/>
        <v>-40.97</v>
      </c>
      <c r="M13" s="2"/>
      <c r="N13" s="19">
        <f t="shared" si="1"/>
        <v>-1</v>
      </c>
      <c r="O13" s="11"/>
      <c r="P13" s="2">
        <f>--959.82</f>
        <v>959.82</v>
      </c>
      <c r="Q13" s="2"/>
      <c r="R13" s="19"/>
      <c r="S13" s="2"/>
      <c r="T13" s="2">
        <f>--906.45</f>
        <v>906.45</v>
      </c>
      <c r="U13" s="2"/>
      <c r="V13" s="19"/>
      <c r="W13" s="2"/>
      <c r="X13" s="2">
        <f t="shared" si="2"/>
        <v>53.370000000000005</v>
      </c>
      <c r="Y13" s="2"/>
      <c r="Z13" s="19">
        <f t="shared" si="3"/>
        <v>5.8878040708257487E-2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--159101.79</f>
        <v>159101.79</v>
      </c>
      <c r="I14" s="2"/>
      <c r="J14" s="19"/>
      <c r="K14" s="2"/>
      <c r="L14" s="2">
        <f t="shared" si="0"/>
        <v>-159101.79</v>
      </c>
      <c r="M14" s="2"/>
      <c r="N14" s="19">
        <f t="shared" si="1"/>
        <v>-1</v>
      </c>
      <c r="O14" s="11"/>
      <c r="P14" s="2">
        <f>--1986254.12</f>
        <v>1986254.12</v>
      </c>
      <c r="Q14" s="2"/>
      <c r="R14" s="19"/>
      <c r="S14" s="2"/>
      <c r="T14" s="2">
        <f>--2395202.7</f>
        <v>2395202.7000000002</v>
      </c>
      <c r="U14" s="2"/>
      <c r="V14" s="19"/>
      <c r="W14" s="2"/>
      <c r="X14" s="2">
        <f t="shared" si="2"/>
        <v>-408948.58000000007</v>
      </c>
      <c r="Y14" s="2"/>
      <c r="Z14" s="19">
        <f t="shared" si="3"/>
        <v>-0.17073652263334541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--507.31</f>
        <v>507.31</v>
      </c>
      <c r="I15" s="2"/>
      <c r="J15" s="19"/>
      <c r="K15" s="2"/>
      <c r="L15" s="2">
        <f t="shared" si="0"/>
        <v>-507.31</v>
      </c>
      <c r="M15" s="2"/>
      <c r="N15" s="19">
        <f t="shared" si="1"/>
        <v>-1</v>
      </c>
      <c r="O15" s="11"/>
      <c r="P15" s="2">
        <f>--9166.4</f>
        <v>9166.4</v>
      </c>
      <c r="Q15" s="2"/>
      <c r="R15" s="19"/>
      <c r="S15" s="2"/>
      <c r="T15" s="2">
        <f>--9540.18</f>
        <v>9540.18</v>
      </c>
      <c r="U15" s="2"/>
      <c r="V15" s="19"/>
      <c r="W15" s="2"/>
      <c r="X15" s="2">
        <f t="shared" si="2"/>
        <v>-373.78000000000065</v>
      </c>
      <c r="Y15" s="2"/>
      <c r="Z15" s="19">
        <f t="shared" si="3"/>
        <v>-3.9179554264175374E-2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1843</v>
      </c>
      <c r="E17" s="4"/>
      <c r="F17" s="12">
        <f t="shared" ref="F17:F19" si="5">IF(D$12=0,0,D17/D$12)</f>
        <v>0</v>
      </c>
      <c r="G17" s="4"/>
      <c r="H17" s="4">
        <f>SUM(OSRRefH16x_0)</f>
        <v>29442.95</v>
      </c>
      <c r="I17" s="4"/>
      <c r="J17" s="12">
        <f t="shared" ref="J17:J19" si="6">IF(H$12=0,0,H17/H$12)</f>
        <v>0.18442177945803595</v>
      </c>
      <c r="K17" s="4"/>
      <c r="L17" s="4">
        <f t="shared" ref="L17:L19" si="7">+D17-H17</f>
        <v>-27599.95</v>
      </c>
      <c r="M17" s="4"/>
      <c r="N17" s="12">
        <f t="shared" ref="N17:N19" si="8">IF(H17=0,0,L17/H17)</f>
        <v>-0.93740437014633382</v>
      </c>
      <c r="O17" s="10"/>
      <c r="P17" s="4">
        <f>SUM(OSRRefP16x_0)</f>
        <v>447882.54</v>
      </c>
      <c r="Q17" s="4"/>
      <c r="R17" s="12">
        <f t="shared" ref="R17:R19" si="9">IF(P$12=0,0,P17/P$12)</f>
        <v>0.22434730047481832</v>
      </c>
      <c r="S17" s="4"/>
      <c r="T17" s="4">
        <f>SUM(OSRRefT16x_0)</f>
        <v>513928.18999999994</v>
      </c>
      <c r="U17" s="4"/>
      <c r="V17" s="12">
        <f t="shared" ref="V17:V19" si="10">IF(T$12=0,0,T17/T$12)</f>
        <v>0.21363387572369072</v>
      </c>
      <c r="W17" s="4"/>
      <c r="X17" s="4">
        <f t="shared" ref="X17:X19" si="11">+P17-T17</f>
        <v>-66045.649999999965</v>
      </c>
      <c r="Y17" s="4"/>
      <c r="Z17" s="12">
        <f t="shared" ref="Z17:Z19" si="12">IF(T17=0,0,X17/T17)</f>
        <v>-0.12851143658805711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28176.95</v>
      </c>
      <c r="I18" s="2"/>
      <c r="J18" s="19">
        <f t="shared" si="6"/>
        <v>0.17649193639564328</v>
      </c>
      <c r="K18" s="2"/>
      <c r="L18" s="2">
        <f t="shared" si="7"/>
        <v>-28176.95</v>
      </c>
      <c r="M18" s="2"/>
      <c r="N18" s="19">
        <f t="shared" si="8"/>
        <v>-1</v>
      </c>
      <c r="O18" s="11"/>
      <c r="P18" s="2">
        <v>437174.54</v>
      </c>
      <c r="Q18" s="2"/>
      <c r="R18" s="19">
        <f t="shared" si="9"/>
        <v>0.21898359307625717</v>
      </c>
      <c r="S18" s="2"/>
      <c r="T18" s="2">
        <v>516211.68999999994</v>
      </c>
      <c r="U18" s="2"/>
      <c r="V18" s="19">
        <f t="shared" si="10"/>
        <v>0.21458309969059366</v>
      </c>
      <c r="W18" s="2"/>
      <c r="X18" s="2">
        <f t="shared" si="11"/>
        <v>-79037.149999999965</v>
      </c>
      <c r="Y18" s="2"/>
      <c r="Z18" s="19">
        <f t="shared" si="12"/>
        <v>-0.15310995766097427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1843</v>
      </c>
      <c r="E19" s="2"/>
      <c r="F19" s="19">
        <f t="shared" si="5"/>
        <v>0</v>
      </c>
      <c r="G19" s="2"/>
      <c r="H19" s="2">
        <v>1266</v>
      </c>
      <c r="I19" s="2"/>
      <c r="J19" s="19">
        <f t="shared" si="6"/>
        <v>7.9298430623926438E-3</v>
      </c>
      <c r="K19" s="2"/>
      <c r="L19" s="2">
        <f t="shared" si="7"/>
        <v>577</v>
      </c>
      <c r="M19" s="2"/>
      <c r="N19" s="19">
        <f t="shared" si="8"/>
        <v>0.45576619273301738</v>
      </c>
      <c r="O19" s="11"/>
      <c r="P19" s="2">
        <v>10708</v>
      </c>
      <c r="Q19" s="2"/>
      <c r="R19" s="19">
        <f t="shared" si="9"/>
        <v>5.3637073985611378E-3</v>
      </c>
      <c r="S19" s="2"/>
      <c r="T19" s="2">
        <v>-2283.5</v>
      </c>
      <c r="U19" s="2"/>
      <c r="V19" s="19">
        <f t="shared" si="10"/>
        <v>-9.4922396690293989E-4</v>
      </c>
      <c r="W19" s="2"/>
      <c r="X19" s="2">
        <f t="shared" si="11"/>
        <v>12991.5</v>
      </c>
      <c r="Y19" s="2"/>
      <c r="Z19" s="19">
        <f t="shared" si="12"/>
        <v>-5.6892927523538424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-1843</v>
      </c>
      <c r="E21" s="14"/>
      <c r="F21" s="20">
        <f>IF(D$12=0,0,D21/D$12)</f>
        <v>0</v>
      </c>
      <c r="G21" s="14"/>
      <c r="H21" s="21">
        <f>H12-H17</f>
        <v>130207.12000000001</v>
      </c>
      <c r="I21" s="14"/>
      <c r="J21" s="20">
        <f>IF(H$12=0,0,H21/H$12)</f>
        <v>0.81557822054196405</v>
      </c>
      <c r="K21" s="16"/>
      <c r="L21" s="21">
        <f>+D21-H21</f>
        <v>-132050.12</v>
      </c>
      <c r="M21" s="16"/>
      <c r="N21" s="20">
        <f>IF(H21=0,0,L21/H21)</f>
        <v>-1.014154371896099</v>
      </c>
      <c r="O21" s="28"/>
      <c r="P21" s="21">
        <f>P12-P17</f>
        <v>1548497.8</v>
      </c>
      <c r="Q21" s="14"/>
      <c r="R21" s="20">
        <f>IF(P$12=0,0,P21/P$12)</f>
        <v>0.77565269952518168</v>
      </c>
      <c r="S21" s="14"/>
      <c r="T21" s="21">
        <f>T12-T17</f>
        <v>1891721.1400000006</v>
      </c>
      <c r="U21" s="14"/>
      <c r="V21" s="20">
        <f>IF(T$12=0,0,T21/T$12)</f>
        <v>0.78636612427630925</v>
      </c>
      <c r="W21" s="16"/>
      <c r="X21" s="21">
        <f>+P21-T21</f>
        <v>-343223.34000000055</v>
      </c>
      <c r="Y21" s="16"/>
      <c r="Z21" s="20">
        <f>IF(T21=0,0,X21/T21)</f>
        <v>-0.18143442642925714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32578.700000000004</v>
      </c>
      <c r="E23" s="22"/>
      <c r="F23" s="31">
        <f t="shared" ref="F23:F33" si="13">IF(D$12=0,0,D23/D$12)</f>
        <v>0</v>
      </c>
      <c r="G23" s="22"/>
      <c r="H23" s="22">
        <f>SUM(OSRRefH22x_0)</f>
        <v>120024.47000000003</v>
      </c>
      <c r="I23" s="22"/>
      <c r="J23" s="31">
        <f t="shared" ref="J23:J33" si="14">IF(H$12=0,0,H23/H$12)</f>
        <v>0.75179716488693071</v>
      </c>
      <c r="K23" s="4"/>
      <c r="L23" s="22">
        <f t="shared" ref="L23:L33" si="15">+D23-H23</f>
        <v>-87445.770000000019</v>
      </c>
      <c r="M23" s="4"/>
      <c r="N23" s="31">
        <f t="shared" ref="N23:N33" si="16">IF(H23=0,0,L23/H23)</f>
        <v>-0.72856618321247324</v>
      </c>
      <c r="O23" s="10"/>
      <c r="P23" s="22">
        <f>SUM(OSRRefP22x_0)</f>
        <v>1188295.3</v>
      </c>
      <c r="Q23" s="22"/>
      <c r="R23" s="31">
        <f t="shared" ref="R23:R33" si="17">IF(P$12=0,0,P23/P$12)</f>
        <v>0.59522490589142951</v>
      </c>
      <c r="S23" s="22"/>
      <c r="T23" s="22">
        <f>SUM(OSRRefT22x_0)</f>
        <v>1219047.0899999996</v>
      </c>
      <c r="U23" s="22"/>
      <c r="V23" s="31">
        <f t="shared" ref="V23:V33" si="18">IF(T$12=0,0,T23/T$12)</f>
        <v>0.50674347037936707</v>
      </c>
      <c r="W23" s="4"/>
      <c r="X23" s="22">
        <f t="shared" ref="X23:X33" si="19">+P23-T23</f>
        <v>-30751.789999999572</v>
      </c>
      <c r="Y23" s="4"/>
      <c r="Z23" s="31">
        <f t="shared" ref="Z23:Z33" si="20">IF(T23=0,0,X23/T23)</f>
        <v>-2.5226088682102986E-2</v>
      </c>
    </row>
    <row r="24" spans="1:26" s="27" customFormat="1" outlineLevel="1" collapsed="1" x14ac:dyDescent="0.25">
      <c r="A24" s="25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19050.53</v>
      </c>
      <c r="E24" s="1"/>
      <c r="F24" s="5">
        <f t="shared" si="13"/>
        <v>0</v>
      </c>
      <c r="G24" s="1"/>
      <c r="H24" s="1">
        <f>SUM(OSRRefH22_0x_0)</f>
        <v>25165.82</v>
      </c>
      <c r="I24" s="1"/>
      <c r="J24" s="5">
        <f t="shared" si="14"/>
        <v>0.15763112412039657</v>
      </c>
      <c r="K24" s="1"/>
      <c r="L24" s="1">
        <f t="shared" si="15"/>
        <v>-6115.2900000000009</v>
      </c>
      <c r="M24" s="1"/>
      <c r="N24" s="5">
        <f t="shared" si="16"/>
        <v>-0.24299983072278197</v>
      </c>
      <c r="O24" s="13"/>
      <c r="P24" s="1">
        <f>SUM(OSRRefP22_0x_0)</f>
        <v>242024.94</v>
      </c>
      <c r="Q24" s="1"/>
      <c r="R24" s="5">
        <f t="shared" si="17"/>
        <v>0.12123187909173659</v>
      </c>
      <c r="S24" s="1"/>
      <c r="T24" s="1">
        <f>SUM(OSRRefT22_0x_0)</f>
        <v>261670.78</v>
      </c>
      <c r="U24" s="1"/>
      <c r="V24" s="5">
        <f t="shared" si="18"/>
        <v>0.10877345119955614</v>
      </c>
      <c r="W24" s="1"/>
      <c r="X24" s="1">
        <f t="shared" si="19"/>
        <v>-19645.839999999997</v>
      </c>
      <c r="Y24" s="1"/>
      <c r="Z24" s="5">
        <f t="shared" si="20"/>
        <v>-7.5078463097790274E-2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1564.52</v>
      </c>
      <c r="E25" s="2"/>
      <c r="F25" s="7">
        <f t="shared" si="13"/>
        <v>0</v>
      </c>
      <c r="G25" s="2"/>
      <c r="H25" s="6">
        <v>4127.51</v>
      </c>
      <c r="I25" s="2"/>
      <c r="J25" s="7">
        <f t="shared" si="14"/>
        <v>2.5853480678085516E-2</v>
      </c>
      <c r="K25" s="2"/>
      <c r="L25" s="6">
        <f t="shared" si="15"/>
        <v>-2562.9900000000002</v>
      </c>
      <c r="M25" s="2"/>
      <c r="N25" s="7">
        <f t="shared" si="16"/>
        <v>-0.620953068557072</v>
      </c>
      <c r="O25" s="11"/>
      <c r="P25" s="6">
        <v>40147.769999999997</v>
      </c>
      <c r="Q25" s="2"/>
      <c r="R25" s="7">
        <f t="shared" si="17"/>
        <v>2.0110281190206469E-2</v>
      </c>
      <c r="S25" s="2"/>
      <c r="T25" s="6">
        <v>34254.630000000005</v>
      </c>
      <c r="U25" s="2"/>
      <c r="V25" s="7">
        <f t="shared" si="18"/>
        <v>1.4239244919374843E-2</v>
      </c>
      <c r="W25" s="2"/>
      <c r="X25" s="6">
        <f t="shared" si="19"/>
        <v>5893.1399999999921</v>
      </c>
      <c r="Y25" s="2"/>
      <c r="Z25" s="7">
        <f t="shared" si="20"/>
        <v>0.17203922506242197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1109.03</v>
      </c>
      <c r="E26" s="2"/>
      <c r="F26" s="7">
        <f t="shared" si="13"/>
        <v>0</v>
      </c>
      <c r="G26" s="2"/>
      <c r="H26" s="6">
        <v>2591.36</v>
      </c>
      <c r="I26" s="2"/>
      <c r="J26" s="7">
        <f t="shared" si="14"/>
        <v>1.6231499303445342E-2</v>
      </c>
      <c r="K26" s="2"/>
      <c r="L26" s="6">
        <f t="shared" si="15"/>
        <v>-1482.3300000000002</v>
      </c>
      <c r="M26" s="2"/>
      <c r="N26" s="7">
        <f t="shared" si="16"/>
        <v>-0.57202781551000248</v>
      </c>
      <c r="O26" s="11"/>
      <c r="P26" s="6">
        <v>24274.3</v>
      </c>
      <c r="Q26" s="2"/>
      <c r="R26" s="7">
        <f t="shared" si="17"/>
        <v>1.2159156005313095E-2</v>
      </c>
      <c r="S26" s="2"/>
      <c r="T26" s="6">
        <v>21531.9</v>
      </c>
      <c r="U26" s="2"/>
      <c r="V26" s="7">
        <f t="shared" si="18"/>
        <v>8.9505563971786356E-3</v>
      </c>
      <c r="W26" s="2"/>
      <c r="X26" s="6">
        <f t="shared" si="19"/>
        <v>2742.3999999999978</v>
      </c>
      <c r="Y26" s="2"/>
      <c r="Z26" s="7">
        <f t="shared" si="20"/>
        <v>0.12736451497545492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12616.96</v>
      </c>
      <c r="E27" s="2"/>
      <c r="F27" s="7">
        <f t="shared" si="13"/>
        <v>0</v>
      </c>
      <c r="G27" s="2"/>
      <c r="H27" s="6">
        <v>11698.26</v>
      </c>
      <c r="I27" s="2"/>
      <c r="J27" s="7">
        <f t="shared" si="14"/>
        <v>7.327438065013063E-2</v>
      </c>
      <c r="K27" s="2"/>
      <c r="L27" s="6">
        <f t="shared" si="15"/>
        <v>918.69999999999891</v>
      </c>
      <c r="M27" s="2"/>
      <c r="N27" s="7">
        <f t="shared" si="16"/>
        <v>7.8533046794993344E-2</v>
      </c>
      <c r="O27" s="11"/>
      <c r="P27" s="6">
        <v>155049.03</v>
      </c>
      <c r="Q27" s="2"/>
      <c r="R27" s="7">
        <f t="shared" si="17"/>
        <v>7.766507558374372E-2</v>
      </c>
      <c r="S27" s="2"/>
      <c r="T27" s="6">
        <v>133991</v>
      </c>
      <c r="U27" s="2"/>
      <c r="V27" s="7">
        <f t="shared" si="18"/>
        <v>5.5698475388347629E-2</v>
      </c>
      <c r="W27" s="2"/>
      <c r="X27" s="6">
        <f t="shared" si="19"/>
        <v>21058.03</v>
      </c>
      <c r="Y27" s="2"/>
      <c r="Z27" s="7">
        <f t="shared" si="20"/>
        <v>0.15716003313655394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79.7</v>
      </c>
      <c r="E28" s="2"/>
      <c r="F28" s="7">
        <f t="shared" si="13"/>
        <v>0</v>
      </c>
      <c r="G28" s="2"/>
      <c r="H28" s="6">
        <v>192.5</v>
      </c>
      <c r="I28" s="2"/>
      <c r="J28" s="7">
        <f t="shared" si="14"/>
        <v>1.2057620770225782E-3</v>
      </c>
      <c r="K28" s="2"/>
      <c r="L28" s="6">
        <f t="shared" si="15"/>
        <v>-112.8</v>
      </c>
      <c r="M28" s="2"/>
      <c r="N28" s="7">
        <f t="shared" si="16"/>
        <v>-0.58597402597402592</v>
      </c>
      <c r="O28" s="11"/>
      <c r="P28" s="6">
        <v>1896.74</v>
      </c>
      <c r="Q28" s="2"/>
      <c r="R28" s="7">
        <f t="shared" si="17"/>
        <v>9.5008950048065485E-4</v>
      </c>
      <c r="S28" s="2"/>
      <c r="T28" s="6">
        <v>1800.64</v>
      </c>
      <c r="U28" s="2"/>
      <c r="V28" s="7">
        <f t="shared" si="18"/>
        <v>7.4850477064335879E-4</v>
      </c>
      <c r="W28" s="2"/>
      <c r="X28" s="6">
        <f t="shared" si="19"/>
        <v>96.099999999999909</v>
      </c>
      <c r="Y28" s="2"/>
      <c r="Z28" s="7">
        <f t="shared" si="20"/>
        <v>5.3369912919850666E-2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449.45</v>
      </c>
      <c r="E29" s="2"/>
      <c r="F29" s="7">
        <f t="shared" si="13"/>
        <v>0</v>
      </c>
      <c r="G29" s="2"/>
      <c r="H29" s="6">
        <v>857.67</v>
      </c>
      <c r="I29" s="2"/>
      <c r="J29" s="7">
        <f t="shared" si="14"/>
        <v>5.3721868083114518E-3</v>
      </c>
      <c r="K29" s="2"/>
      <c r="L29" s="6">
        <f t="shared" si="15"/>
        <v>-408.21999999999997</v>
      </c>
      <c r="M29" s="2"/>
      <c r="N29" s="7">
        <f t="shared" si="16"/>
        <v>-0.4759639488381312</v>
      </c>
      <c r="O29" s="11"/>
      <c r="P29" s="6">
        <v>12714.19</v>
      </c>
      <c r="Q29" s="2"/>
      <c r="R29" s="7">
        <f t="shared" si="17"/>
        <v>6.3686211215644413E-3</v>
      </c>
      <c r="S29" s="2"/>
      <c r="T29" s="6">
        <v>11106.72</v>
      </c>
      <c r="U29" s="2"/>
      <c r="V29" s="7">
        <f t="shared" si="18"/>
        <v>4.6169322608628069E-3</v>
      </c>
      <c r="W29" s="2"/>
      <c r="X29" s="6">
        <f t="shared" si="19"/>
        <v>1607.4700000000012</v>
      </c>
      <c r="Y29" s="2"/>
      <c r="Z29" s="7">
        <f t="shared" si="20"/>
        <v>0.14472949709725294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526.23</v>
      </c>
      <c r="E30" s="2"/>
      <c r="F30" s="7">
        <f t="shared" si="13"/>
        <v>0</v>
      </c>
      <c r="G30" s="2"/>
      <c r="H30" s="6">
        <v>398.47</v>
      </c>
      <c r="I30" s="2"/>
      <c r="J30" s="7">
        <f t="shared" si="14"/>
        <v>2.4958961809412299E-3</v>
      </c>
      <c r="K30" s="2"/>
      <c r="L30" s="6">
        <f t="shared" si="15"/>
        <v>127.75999999999999</v>
      </c>
      <c r="M30" s="2"/>
      <c r="N30" s="7">
        <f t="shared" si="16"/>
        <v>0.32062639596456444</v>
      </c>
      <c r="O30" s="11"/>
      <c r="P30" s="6">
        <v>5901.13</v>
      </c>
      <c r="Q30" s="2"/>
      <c r="R30" s="7">
        <f t="shared" si="17"/>
        <v>2.9559147031071242E-3</v>
      </c>
      <c r="S30" s="2"/>
      <c r="T30" s="6">
        <v>4700.72</v>
      </c>
      <c r="U30" s="2"/>
      <c r="V30" s="7">
        <f t="shared" si="18"/>
        <v>1.9540337576965132E-3</v>
      </c>
      <c r="W30" s="2"/>
      <c r="X30" s="6">
        <f t="shared" si="19"/>
        <v>1200.4099999999999</v>
      </c>
      <c r="Y30" s="2"/>
      <c r="Z30" s="7">
        <f t="shared" si="20"/>
        <v>0.25536726288738743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1199.6199999999999</v>
      </c>
      <c r="E31" s="2"/>
      <c r="F31" s="7">
        <f t="shared" si="13"/>
        <v>0</v>
      </c>
      <c r="G31" s="2"/>
      <c r="H31" s="6">
        <v>2813.43</v>
      </c>
      <c r="I31" s="2"/>
      <c r="J31" s="7">
        <f t="shared" si="14"/>
        <v>1.7622478962896787E-2</v>
      </c>
      <c r="K31" s="2"/>
      <c r="L31" s="6">
        <f t="shared" si="15"/>
        <v>-1613.81</v>
      </c>
      <c r="M31" s="2"/>
      <c r="N31" s="7">
        <f t="shared" si="16"/>
        <v>-0.57360943759041461</v>
      </c>
      <c r="O31" s="11"/>
      <c r="P31" s="6">
        <v>23355.72</v>
      </c>
      <c r="Q31" s="2"/>
      <c r="R31" s="7">
        <f t="shared" si="17"/>
        <v>1.169903326136742E-2</v>
      </c>
      <c r="S31" s="2"/>
      <c r="T31" s="6">
        <v>24508.240000000002</v>
      </c>
      <c r="U31" s="2"/>
      <c r="V31" s="7">
        <f t="shared" si="18"/>
        <v>1.0187785765101515E-2</v>
      </c>
      <c r="W31" s="2"/>
      <c r="X31" s="6">
        <f t="shared" si="19"/>
        <v>-1152.5200000000004</v>
      </c>
      <c r="Y31" s="2"/>
      <c r="Z31" s="7">
        <f t="shared" si="20"/>
        <v>-4.7025816623307112E-2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946.52</v>
      </c>
      <c r="E32" s="2"/>
      <c r="F32" s="7">
        <f t="shared" si="13"/>
        <v>0</v>
      </c>
      <c r="G32" s="2"/>
      <c r="H32" s="6">
        <v>1819.82</v>
      </c>
      <c r="I32" s="2"/>
      <c r="J32" s="7">
        <f t="shared" si="14"/>
        <v>1.1398804898738847E-2</v>
      </c>
      <c r="K32" s="2"/>
      <c r="L32" s="6">
        <f t="shared" si="15"/>
        <v>-873.3</v>
      </c>
      <c r="M32" s="2"/>
      <c r="N32" s="7">
        <f t="shared" si="16"/>
        <v>-0.47988262575419544</v>
      </c>
      <c r="O32" s="11"/>
      <c r="P32" s="6">
        <v>-33482.630000000005</v>
      </c>
      <c r="Q32" s="2"/>
      <c r="R32" s="7">
        <f t="shared" si="17"/>
        <v>-1.6771668869470034E-2</v>
      </c>
      <c r="S32" s="2"/>
      <c r="T32" s="6">
        <v>19289.190000000002</v>
      </c>
      <c r="U32" s="2"/>
      <c r="V32" s="7">
        <f t="shared" si="18"/>
        <v>8.018288351278529E-3</v>
      </c>
      <c r="W32" s="2"/>
      <c r="X32" s="6">
        <f t="shared" si="19"/>
        <v>-52771.820000000007</v>
      </c>
      <c r="Y32" s="2"/>
      <c r="Z32" s="7">
        <f t="shared" si="20"/>
        <v>-2.7358235363952557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558.5</v>
      </c>
      <c r="E33" s="2"/>
      <c r="F33" s="7">
        <f t="shared" si="13"/>
        <v>0</v>
      </c>
      <c r="G33" s="2"/>
      <c r="H33" s="6">
        <v>666.8</v>
      </c>
      <c r="I33" s="2"/>
      <c r="J33" s="7">
        <f t="shared" si="14"/>
        <v>4.1766345608241825E-3</v>
      </c>
      <c r="K33" s="2"/>
      <c r="L33" s="6">
        <f t="shared" si="15"/>
        <v>-108.29999999999995</v>
      </c>
      <c r="M33" s="2"/>
      <c r="N33" s="7">
        <f t="shared" si="16"/>
        <v>-0.16241751649670061</v>
      </c>
      <c r="O33" s="11"/>
      <c r="P33" s="6">
        <v>12168.69</v>
      </c>
      <c r="Q33" s="2"/>
      <c r="R33" s="7">
        <f t="shared" si="17"/>
        <v>6.095376595423696E-3</v>
      </c>
      <c r="S33" s="2"/>
      <c r="T33" s="6">
        <v>10487.74</v>
      </c>
      <c r="U33" s="2"/>
      <c r="V33" s="7">
        <f t="shared" si="18"/>
        <v>4.3596295890723181E-3</v>
      </c>
      <c r="W33" s="2"/>
      <c r="X33" s="6">
        <f t="shared" si="19"/>
        <v>1680.9500000000007</v>
      </c>
      <c r="Y33" s="2"/>
      <c r="Z33" s="7">
        <f t="shared" si="20"/>
        <v>0.16027761939178514</v>
      </c>
    </row>
    <row r="34" spans="1:26" s="27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12602.380000000001</v>
      </c>
      <c r="E34" s="1"/>
      <c r="F34" s="5">
        <f t="shared" ref="F34:F40" si="21">IF(D$12=0,0,D34/D$12)</f>
        <v>0</v>
      </c>
      <c r="G34" s="1"/>
      <c r="H34" s="1">
        <f>SUM(OSRRefH22_1x_0)</f>
        <v>60347.889999999992</v>
      </c>
      <c r="I34" s="1"/>
      <c r="J34" s="5">
        <f t="shared" ref="J34:J40" si="22">IF(H$12=0,0,H34/H$12)</f>
        <v>0.37800102436535099</v>
      </c>
      <c r="K34" s="1"/>
      <c r="L34" s="1">
        <f t="shared" ref="L34:L40" si="23">+D34-H34</f>
        <v>-47745.509999999995</v>
      </c>
      <c r="M34" s="1"/>
      <c r="N34" s="5">
        <f t="shared" ref="N34:N40" si="24">IF(H34=0,0,L34/H34)</f>
        <v>-0.79117115776541647</v>
      </c>
      <c r="O34" s="13"/>
      <c r="P34" s="1">
        <f>SUM(OSRRefP22_1x_0)</f>
        <v>659306.61</v>
      </c>
      <c r="Q34" s="1"/>
      <c r="R34" s="5">
        <f t="shared" ref="R34:R40" si="25">IF(P$12=0,0,P34/P$12)</f>
        <v>0.33025100317307271</v>
      </c>
      <c r="S34" s="1"/>
      <c r="T34" s="1">
        <f>SUM(OSRRefT22_1x_0)</f>
        <v>627178.55000000005</v>
      </c>
      <c r="U34" s="1"/>
      <c r="V34" s="5">
        <f t="shared" ref="V34:V40" si="26">IF(T$12=0,0,T34/T$12)</f>
        <v>0.26071071214689462</v>
      </c>
      <c r="W34" s="1"/>
      <c r="X34" s="1">
        <f t="shared" ref="X34:X40" si="27">+P34-T34</f>
        <v>32128.059999999939</v>
      </c>
      <c r="Y34" s="1"/>
      <c r="Z34" s="5">
        <f t="shared" ref="Z34:Z40" si="28">IF(T34=0,0,X34/T34)</f>
        <v>5.1226337380320064E-2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2858.26</v>
      </c>
      <c r="E35" s="2"/>
      <c r="F35" s="7">
        <f t="shared" si="21"/>
        <v>0</v>
      </c>
      <c r="G35" s="2"/>
      <c r="H35" s="6">
        <v>10240.25</v>
      </c>
      <c r="I35" s="2"/>
      <c r="J35" s="7">
        <f t="shared" si="22"/>
        <v>6.4141844723275096E-2</v>
      </c>
      <c r="K35" s="2"/>
      <c r="L35" s="6">
        <f t="shared" si="23"/>
        <v>-7381.99</v>
      </c>
      <c r="M35" s="2"/>
      <c r="N35" s="7">
        <f t="shared" si="24"/>
        <v>-0.72087986133151039</v>
      </c>
      <c r="O35" s="11"/>
      <c r="P35" s="6">
        <v>99534.75</v>
      </c>
      <c r="Q35" s="2"/>
      <c r="R35" s="7">
        <f t="shared" si="25"/>
        <v>4.9857608796127495E-2</v>
      </c>
      <c r="S35" s="2"/>
      <c r="T35" s="6">
        <v>100833.01000000001</v>
      </c>
      <c r="U35" s="2"/>
      <c r="V35" s="7">
        <f t="shared" si="26"/>
        <v>4.1915090758468936E-2</v>
      </c>
      <c r="W35" s="2"/>
      <c r="X35" s="6">
        <f t="shared" si="27"/>
        <v>-1298.2600000000093</v>
      </c>
      <c r="Y35" s="2"/>
      <c r="Z35" s="7">
        <f t="shared" si="28"/>
        <v>-1.2875347071360949E-2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9744.1200000000008</v>
      </c>
      <c r="E36" s="2"/>
      <c r="F36" s="7">
        <f t="shared" si="21"/>
        <v>0</v>
      </c>
      <c r="G36" s="2"/>
      <c r="H36" s="6">
        <v>20859.73</v>
      </c>
      <c r="I36" s="2"/>
      <c r="J36" s="7">
        <f t="shared" si="22"/>
        <v>0.13065907205678018</v>
      </c>
      <c r="K36" s="2"/>
      <c r="L36" s="6">
        <f t="shared" si="23"/>
        <v>-11115.609999999999</v>
      </c>
      <c r="M36" s="2"/>
      <c r="N36" s="7">
        <f t="shared" si="24"/>
        <v>-0.53287410719122441</v>
      </c>
      <c r="O36" s="11"/>
      <c r="P36" s="6">
        <v>233088.71</v>
      </c>
      <c r="Q36" s="2"/>
      <c r="R36" s="7">
        <f t="shared" si="25"/>
        <v>0.11675566290138881</v>
      </c>
      <c r="S36" s="2"/>
      <c r="T36" s="6">
        <v>189227.41999999998</v>
      </c>
      <c r="U36" s="2"/>
      <c r="V36" s="7">
        <f t="shared" si="26"/>
        <v>7.8659602478304655E-2</v>
      </c>
      <c r="W36" s="2"/>
      <c r="X36" s="6">
        <f t="shared" si="27"/>
        <v>43861.290000000008</v>
      </c>
      <c r="Y36" s="2"/>
      <c r="Z36" s="7">
        <f t="shared" si="28"/>
        <v>0.23179140739751147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1"/>
        <v>0</v>
      </c>
      <c r="G37" s="2"/>
      <c r="H37" s="6">
        <v>13015.5</v>
      </c>
      <c r="I37" s="2"/>
      <c r="J37" s="7">
        <f t="shared" si="22"/>
        <v>8.1525175654479823E-2</v>
      </c>
      <c r="K37" s="2"/>
      <c r="L37" s="6">
        <f t="shared" si="23"/>
        <v>-13015.5</v>
      </c>
      <c r="M37" s="2"/>
      <c r="N37" s="7">
        <f t="shared" si="24"/>
        <v>-1</v>
      </c>
      <c r="O37" s="11"/>
      <c r="P37" s="6">
        <v>107403.49</v>
      </c>
      <c r="Q37" s="2"/>
      <c r="R37" s="7">
        <f t="shared" si="25"/>
        <v>5.3799112247318565E-2</v>
      </c>
      <c r="S37" s="2"/>
      <c r="T37" s="6">
        <v>102855.94</v>
      </c>
      <c r="U37" s="2"/>
      <c r="V37" s="7">
        <f t="shared" si="26"/>
        <v>4.2755998855410891E-2</v>
      </c>
      <c r="W37" s="2"/>
      <c r="X37" s="6">
        <f t="shared" si="27"/>
        <v>4547.5500000000029</v>
      </c>
      <c r="Y37" s="2"/>
      <c r="Z37" s="7">
        <f t="shared" si="28"/>
        <v>4.4212808710901899E-2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1"/>
        <v>0</v>
      </c>
      <c r="G38" s="2"/>
      <c r="H38" s="6">
        <v>1951.03</v>
      </c>
      <c r="I38" s="2"/>
      <c r="J38" s="7">
        <f t="shared" si="22"/>
        <v>1.222066485783564E-2</v>
      </c>
      <c r="K38" s="2"/>
      <c r="L38" s="6">
        <f t="shared" si="23"/>
        <v>-1951.03</v>
      </c>
      <c r="M38" s="2"/>
      <c r="N38" s="7">
        <f t="shared" si="24"/>
        <v>-1</v>
      </c>
      <c r="O38" s="11"/>
      <c r="P38" s="6">
        <v>10378.219999999999</v>
      </c>
      <c r="Q38" s="2"/>
      <c r="R38" s="7">
        <f t="shared" si="25"/>
        <v>5.1985184346185253E-3</v>
      </c>
      <c r="S38" s="2"/>
      <c r="T38" s="6">
        <v>4845.75</v>
      </c>
      <c r="U38" s="2"/>
      <c r="V38" s="7">
        <f t="shared" si="26"/>
        <v>2.0143210149419404E-3</v>
      </c>
      <c r="W38" s="2"/>
      <c r="X38" s="6">
        <f t="shared" si="27"/>
        <v>5532.4699999999993</v>
      </c>
      <c r="Y38" s="2"/>
      <c r="Z38" s="7">
        <f t="shared" si="28"/>
        <v>1.1417159366455141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1"/>
        <v>0</v>
      </c>
      <c r="G39" s="2"/>
      <c r="H39" s="6">
        <v>4768.38</v>
      </c>
      <c r="I39" s="2"/>
      <c r="J39" s="7">
        <f t="shared" si="22"/>
        <v>2.986769752120998E-2</v>
      </c>
      <c r="K39" s="2"/>
      <c r="L39" s="6">
        <f t="shared" si="23"/>
        <v>-4768.38</v>
      </c>
      <c r="M39" s="2"/>
      <c r="N39" s="7">
        <f t="shared" si="24"/>
        <v>-1</v>
      </c>
      <c r="O39" s="11"/>
      <c r="P39" s="6">
        <v>146844.08000000002</v>
      </c>
      <c r="Q39" s="2"/>
      <c r="R39" s="7">
        <f t="shared" si="25"/>
        <v>7.3555162339456831E-2</v>
      </c>
      <c r="S39" s="2"/>
      <c r="T39" s="6">
        <v>157705.53</v>
      </c>
      <c r="U39" s="2"/>
      <c r="V39" s="7">
        <f t="shared" si="26"/>
        <v>6.5556325285364828E-2</v>
      </c>
      <c r="W39" s="2"/>
      <c r="X39" s="6">
        <f t="shared" si="27"/>
        <v>-10861.449999999983</v>
      </c>
      <c r="Y39" s="2"/>
      <c r="Z39" s="7">
        <f t="shared" si="28"/>
        <v>-6.8871712995733136E-2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1"/>
        <v>0</v>
      </c>
      <c r="G40" s="2"/>
      <c r="H40" s="6">
        <v>9513</v>
      </c>
      <c r="I40" s="2"/>
      <c r="J40" s="7">
        <f t="shared" si="22"/>
        <v>5.9586569551770316E-2</v>
      </c>
      <c r="K40" s="2"/>
      <c r="L40" s="6">
        <f t="shared" si="23"/>
        <v>-9513</v>
      </c>
      <c r="M40" s="2"/>
      <c r="N40" s="7">
        <f t="shared" si="24"/>
        <v>-1</v>
      </c>
      <c r="O40" s="11"/>
      <c r="P40" s="6">
        <v>62057.36</v>
      </c>
      <c r="Q40" s="2"/>
      <c r="R40" s="7">
        <f t="shared" si="25"/>
        <v>3.1084938454162495E-2</v>
      </c>
      <c r="S40" s="2"/>
      <c r="T40" s="6">
        <v>71710.899999999994</v>
      </c>
      <c r="U40" s="2"/>
      <c r="V40" s="7">
        <f t="shared" si="26"/>
        <v>2.9809373754403339E-2</v>
      </c>
      <c r="W40" s="2"/>
      <c r="X40" s="6">
        <f t="shared" si="27"/>
        <v>-9653.5399999999936</v>
      </c>
      <c r="Y40" s="2"/>
      <c r="Z40" s="7">
        <f t="shared" si="28"/>
        <v>-0.13461747098418783</v>
      </c>
    </row>
    <row r="41" spans="1:26" s="27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4" si="29">IF(D$12=0,0,D41/D$12)</f>
        <v>0</v>
      </c>
      <c r="G41" s="1"/>
      <c r="H41" s="1">
        <f>SUM(OSRRefH22_2x_0)</f>
        <v>18</v>
      </c>
      <c r="I41" s="1"/>
      <c r="J41" s="5">
        <f t="shared" ref="J41:J64" si="30">IF(H$12=0,0,H41/H$12)</f>
        <v>1.1274658382548783E-4</v>
      </c>
      <c r="K41" s="1"/>
      <c r="L41" s="1">
        <f t="shared" ref="L41:L64" si="31">+D41-H41</f>
        <v>-18</v>
      </c>
      <c r="M41" s="1"/>
      <c r="N41" s="5">
        <f t="shared" ref="N41:N64" si="32">IF(H41=0,0,L41/H41)</f>
        <v>-1</v>
      </c>
      <c r="O41" s="13"/>
      <c r="P41" s="1">
        <f>SUM(OSRRefP22_2x_0)</f>
        <v>3020.03</v>
      </c>
      <c r="Q41" s="1"/>
      <c r="R41" s="5">
        <f t="shared" ref="R41:R64" si="33">IF(P$12=0,0,P41/P$12)</f>
        <v>1.5127528254460772E-3</v>
      </c>
      <c r="S41" s="1"/>
      <c r="T41" s="1">
        <f>SUM(OSRRefT22_2x_0)</f>
        <v>4035.39</v>
      </c>
      <c r="U41" s="1"/>
      <c r="V41" s="5">
        <f t="shared" ref="V41:V64" si="34">IF(T$12=0,0,T41/T$12)</f>
        <v>1.6774639386032207E-3</v>
      </c>
      <c r="W41" s="1"/>
      <c r="X41" s="1">
        <f t="shared" ref="X41:X64" si="35">+P41-T41</f>
        <v>-1015.3599999999997</v>
      </c>
      <c r="Y41" s="1"/>
      <c r="Z41" s="5">
        <f t="shared" ref="Z41:Z64" si="36">IF(T41=0,0,X41/T41)</f>
        <v>-0.25161384649315177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9"/>
        <v>0</v>
      </c>
      <c r="G42" s="2"/>
      <c r="H42" s="6">
        <v>18</v>
      </c>
      <c r="I42" s="2"/>
      <c r="J42" s="7">
        <f t="shared" si="30"/>
        <v>1.1274658382548783E-4</v>
      </c>
      <c r="K42" s="2"/>
      <c r="L42" s="6">
        <f t="shared" si="31"/>
        <v>-18</v>
      </c>
      <c r="M42" s="2"/>
      <c r="N42" s="7">
        <f t="shared" si="32"/>
        <v>-1</v>
      </c>
      <c r="O42" s="11"/>
      <c r="P42" s="6">
        <v>3020.03</v>
      </c>
      <c r="Q42" s="2"/>
      <c r="R42" s="7">
        <f t="shared" si="33"/>
        <v>1.5127528254460772E-3</v>
      </c>
      <c r="S42" s="2"/>
      <c r="T42" s="6">
        <v>4035.39</v>
      </c>
      <c r="U42" s="2"/>
      <c r="V42" s="7">
        <f t="shared" si="34"/>
        <v>1.6774639386032207E-3</v>
      </c>
      <c r="W42" s="2"/>
      <c r="X42" s="6">
        <f t="shared" si="35"/>
        <v>-1015.3599999999997</v>
      </c>
      <c r="Y42" s="2"/>
      <c r="Z42" s="7">
        <f t="shared" si="36"/>
        <v>-0.25161384649315177</v>
      </c>
    </row>
    <row r="43" spans="1:26" s="27" customFormat="1" outlineLevel="1" collapsed="1" x14ac:dyDescent="0.25">
      <c r="A43" s="25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-4.9000000000000004</v>
      </c>
      <c r="I43" s="1"/>
      <c r="J43" s="5">
        <f t="shared" si="30"/>
        <v>-3.0692125596938357E-5</v>
      </c>
      <c r="K43" s="1"/>
      <c r="L43" s="1">
        <f t="shared" si="31"/>
        <v>4.9000000000000004</v>
      </c>
      <c r="M43" s="1"/>
      <c r="N43" s="5">
        <f t="shared" si="32"/>
        <v>-1</v>
      </c>
      <c r="O43" s="13"/>
      <c r="P43" s="1">
        <f>SUM(OSRRefP22_3x_0)</f>
        <v>46.62</v>
      </c>
      <c r="Q43" s="1"/>
      <c r="R43" s="5">
        <f t="shared" si="33"/>
        <v>2.3352263627280558E-5</v>
      </c>
      <c r="S43" s="1"/>
      <c r="T43" s="1">
        <f>SUM(OSRRefT22_3x_0)</f>
        <v>59.74</v>
      </c>
      <c r="U43" s="1"/>
      <c r="V43" s="5">
        <f t="shared" si="34"/>
        <v>2.4833212079168657E-5</v>
      </c>
      <c r="W43" s="1"/>
      <c r="X43" s="1">
        <f t="shared" si="35"/>
        <v>-13.120000000000005</v>
      </c>
      <c r="Y43" s="1"/>
      <c r="Z43" s="5">
        <f t="shared" si="36"/>
        <v>-0.21961834616672254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9"/>
        <v>0</v>
      </c>
      <c r="G44" s="2"/>
      <c r="H44" s="6">
        <v>-4.9000000000000004</v>
      </c>
      <c r="I44" s="2"/>
      <c r="J44" s="7">
        <f t="shared" si="30"/>
        <v>-3.0692125596938357E-5</v>
      </c>
      <c r="K44" s="2"/>
      <c r="L44" s="6">
        <f t="shared" si="31"/>
        <v>4.9000000000000004</v>
      </c>
      <c r="M44" s="2"/>
      <c r="N44" s="7">
        <f t="shared" si="32"/>
        <v>-1</v>
      </c>
      <c r="O44" s="11"/>
      <c r="P44" s="6">
        <v>46.62</v>
      </c>
      <c r="Q44" s="2"/>
      <c r="R44" s="7">
        <f t="shared" si="33"/>
        <v>2.3352263627280558E-5</v>
      </c>
      <c r="S44" s="2"/>
      <c r="T44" s="6">
        <v>59.74</v>
      </c>
      <c r="U44" s="2"/>
      <c r="V44" s="7">
        <f t="shared" si="34"/>
        <v>2.4833212079168657E-5</v>
      </c>
      <c r="W44" s="2"/>
      <c r="X44" s="6">
        <f t="shared" si="35"/>
        <v>-13.120000000000005</v>
      </c>
      <c r="Y44" s="2"/>
      <c r="Z44" s="7">
        <f t="shared" si="36"/>
        <v>-0.21961834616672254</v>
      </c>
    </row>
    <row r="45" spans="1:26" s="27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3.83</v>
      </c>
      <c r="I45" s="1"/>
      <c r="J45" s="5">
        <f t="shared" si="30"/>
        <v>2.3989967558423244E-5</v>
      </c>
      <c r="K45" s="1"/>
      <c r="L45" s="1">
        <f t="shared" si="31"/>
        <v>-3.83</v>
      </c>
      <c r="M45" s="1"/>
      <c r="N45" s="5">
        <f t="shared" si="32"/>
        <v>-1</v>
      </c>
      <c r="O45" s="13"/>
      <c r="P45" s="1">
        <f>SUM(OSRRefP22_4x_0)</f>
        <v>70.89</v>
      </c>
      <c r="Q45" s="1"/>
      <c r="R45" s="5">
        <f t="shared" si="33"/>
        <v>3.5509265734404094E-5</v>
      </c>
      <c r="S45" s="1"/>
      <c r="T45" s="1">
        <f>SUM(OSRRefT22_4x_0)</f>
        <v>147.99</v>
      </c>
      <c r="U45" s="1"/>
      <c r="V45" s="5">
        <f t="shared" si="34"/>
        <v>6.1517694268432702E-5</v>
      </c>
      <c r="W45" s="1"/>
      <c r="X45" s="1">
        <f t="shared" si="35"/>
        <v>-77.100000000000009</v>
      </c>
      <c r="Y45" s="1"/>
      <c r="Z45" s="5">
        <f t="shared" si="36"/>
        <v>-0.5209811473748226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/>
      <c r="E46" s="2"/>
      <c r="F46" s="7">
        <f t="shared" si="29"/>
        <v>0</v>
      </c>
      <c r="G46" s="2"/>
      <c r="H46" s="6">
        <v>3.83</v>
      </c>
      <c r="I46" s="2"/>
      <c r="J46" s="7">
        <f t="shared" si="30"/>
        <v>2.3989967558423244E-5</v>
      </c>
      <c r="K46" s="2"/>
      <c r="L46" s="6">
        <f t="shared" si="31"/>
        <v>-3.83</v>
      </c>
      <c r="M46" s="2"/>
      <c r="N46" s="7">
        <f t="shared" si="32"/>
        <v>-1</v>
      </c>
      <c r="O46" s="11"/>
      <c r="P46" s="6">
        <v>70.89</v>
      </c>
      <c r="Q46" s="2"/>
      <c r="R46" s="7">
        <f t="shared" si="33"/>
        <v>3.5509265734404094E-5</v>
      </c>
      <c r="S46" s="2"/>
      <c r="T46" s="6">
        <v>147.99</v>
      </c>
      <c r="U46" s="2"/>
      <c r="V46" s="7">
        <f t="shared" si="34"/>
        <v>6.1517694268432702E-5</v>
      </c>
      <c r="W46" s="2"/>
      <c r="X46" s="6">
        <f t="shared" si="35"/>
        <v>-77.100000000000009</v>
      </c>
      <c r="Y46" s="2"/>
      <c r="Z46" s="7">
        <f t="shared" si="36"/>
        <v>-0.5209811473748226</v>
      </c>
    </row>
    <row r="47" spans="1:26" s="27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213.02</v>
      </c>
      <c r="M47" s="1"/>
      <c r="N47" s="5">
        <f t="shared" si="32"/>
        <v>0</v>
      </c>
      <c r="O47" s="13"/>
      <c r="P47" s="1">
        <f>SUM(OSRRefP22_5x_0)</f>
        <v>639.05999999999995</v>
      </c>
      <c r="Q47" s="1"/>
      <c r="R47" s="5">
        <f t="shared" si="33"/>
        <v>3.2010934349313412E-4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639.05999999999995</v>
      </c>
      <c r="Y47" s="1"/>
      <c r="Z47" s="5">
        <f t="shared" si="36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213.02</v>
      </c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213.02</v>
      </c>
      <c r="M48" s="2"/>
      <c r="N48" s="7">
        <f t="shared" si="32"/>
        <v>0</v>
      </c>
      <c r="O48" s="11"/>
      <c r="P48" s="6">
        <v>639.05999999999995</v>
      </c>
      <c r="Q48" s="2"/>
      <c r="R48" s="7">
        <f t="shared" si="33"/>
        <v>3.2010934349313412E-4</v>
      </c>
      <c r="S48" s="2"/>
      <c r="T48" s="6"/>
      <c r="U48" s="2"/>
      <c r="V48" s="7">
        <f t="shared" si="34"/>
        <v>0</v>
      </c>
      <c r="W48" s="2"/>
      <c r="X48" s="6">
        <f t="shared" si="35"/>
        <v>639.05999999999995</v>
      </c>
      <c r="Y48" s="2"/>
      <c r="Z48" s="7">
        <f t="shared" si="36"/>
        <v>0</v>
      </c>
    </row>
    <row r="49" spans="1:26" s="27" customFormat="1" outlineLevel="1" collapsed="1" x14ac:dyDescent="0.25">
      <c r="A49" s="25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1940.18</v>
      </c>
      <c r="I49" s="1"/>
      <c r="J49" s="5">
        <f t="shared" si="30"/>
        <v>1.2152703722585277E-2</v>
      </c>
      <c r="K49" s="1"/>
      <c r="L49" s="1">
        <f t="shared" si="31"/>
        <v>-1940.18</v>
      </c>
      <c r="M49" s="1"/>
      <c r="N49" s="5">
        <f t="shared" si="32"/>
        <v>-1</v>
      </c>
      <c r="O49" s="13"/>
      <c r="P49" s="1">
        <f>SUM(OSRRefP22_6x_0)</f>
        <v>21140.82</v>
      </c>
      <c r="Q49" s="1"/>
      <c r="R49" s="5">
        <f t="shared" si="33"/>
        <v>1.0589575331121523E-2</v>
      </c>
      <c r="S49" s="1"/>
      <c r="T49" s="1">
        <f>SUM(OSRRefT22_6x_0)</f>
        <v>23385.88</v>
      </c>
      <c r="U49" s="1"/>
      <c r="V49" s="5">
        <f t="shared" si="34"/>
        <v>9.7212339755270959E-3</v>
      </c>
      <c r="W49" s="1"/>
      <c r="X49" s="1">
        <f t="shared" si="35"/>
        <v>-2245.0600000000013</v>
      </c>
      <c r="Y49" s="1"/>
      <c r="Z49" s="5">
        <f t="shared" si="36"/>
        <v>-9.6000663648321174E-2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/>
      <c r="E50" s="2"/>
      <c r="F50" s="7">
        <f t="shared" si="29"/>
        <v>0</v>
      </c>
      <c r="G50" s="2"/>
      <c r="H50" s="6">
        <v>1940.18</v>
      </c>
      <c r="I50" s="2"/>
      <c r="J50" s="7">
        <f t="shared" si="30"/>
        <v>1.2152703722585277E-2</v>
      </c>
      <c r="K50" s="2"/>
      <c r="L50" s="6">
        <f t="shared" si="31"/>
        <v>-1940.18</v>
      </c>
      <c r="M50" s="2"/>
      <c r="N50" s="7">
        <f t="shared" si="32"/>
        <v>-1</v>
      </c>
      <c r="O50" s="11"/>
      <c r="P50" s="6">
        <v>21140.82</v>
      </c>
      <c r="Q50" s="2"/>
      <c r="R50" s="7">
        <f t="shared" si="33"/>
        <v>1.0589575331121523E-2</v>
      </c>
      <c r="S50" s="2"/>
      <c r="T50" s="6">
        <v>23385.88</v>
      </c>
      <c r="U50" s="2"/>
      <c r="V50" s="7">
        <f t="shared" si="34"/>
        <v>9.7212339755270959E-3</v>
      </c>
      <c r="W50" s="2"/>
      <c r="X50" s="6">
        <f t="shared" si="35"/>
        <v>-2245.0600000000013</v>
      </c>
      <c r="Y50" s="2"/>
      <c r="Z50" s="7">
        <f t="shared" si="36"/>
        <v>-9.6000663648321174E-2</v>
      </c>
    </row>
    <row r="51" spans="1:26" s="27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SUM(OSRRefP22_7x_0)</f>
        <v>21.34</v>
      </c>
      <c r="Q51" s="1"/>
      <c r="R51" s="5">
        <f t="shared" si="33"/>
        <v>1.0689345898888185E-5</v>
      </c>
      <c r="S51" s="1"/>
      <c r="T51" s="1">
        <f>SUM(OSRRefT22_7x_0)</f>
        <v>157.18</v>
      </c>
      <c r="U51" s="1"/>
      <c r="V51" s="5">
        <f t="shared" si="34"/>
        <v>6.5337868674317538E-5</v>
      </c>
      <c r="W51" s="1"/>
      <c r="X51" s="1">
        <f t="shared" si="35"/>
        <v>-135.84</v>
      </c>
      <c r="Y51" s="1"/>
      <c r="Z51" s="5">
        <f t="shared" si="36"/>
        <v>-0.86423209059676798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21.34</v>
      </c>
      <c r="Q52" s="2"/>
      <c r="R52" s="7">
        <f t="shared" si="33"/>
        <v>1.0689345898888185E-5</v>
      </c>
      <c r="S52" s="2"/>
      <c r="T52" s="6">
        <v>157.18</v>
      </c>
      <c r="U52" s="2"/>
      <c r="V52" s="7">
        <f t="shared" si="34"/>
        <v>6.5337868674317538E-5</v>
      </c>
      <c r="W52" s="2"/>
      <c r="X52" s="6">
        <f t="shared" si="35"/>
        <v>-135.84</v>
      </c>
      <c r="Y52" s="2"/>
      <c r="Z52" s="7">
        <f t="shared" si="36"/>
        <v>-0.86423209059676798</v>
      </c>
    </row>
    <row r="53" spans="1:26" s="27" customFormat="1" outlineLevel="1" collapsed="1" x14ac:dyDescent="0.25">
      <c r="A53" s="25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29"/>
        <v>0</v>
      </c>
      <c r="G53" s="1"/>
      <c r="H53" s="1">
        <f>SUM(OSRRefH22_8x_0)</f>
        <v>491.44</v>
      </c>
      <c r="I53" s="1"/>
      <c r="J53" s="5">
        <f t="shared" si="30"/>
        <v>3.0782322863998745E-3</v>
      </c>
      <c r="K53" s="1"/>
      <c r="L53" s="1">
        <f t="shared" si="31"/>
        <v>-491.44</v>
      </c>
      <c r="M53" s="1"/>
      <c r="N53" s="5">
        <f t="shared" si="32"/>
        <v>-1</v>
      </c>
      <c r="O53" s="13"/>
      <c r="P53" s="1">
        <f>SUM(OSRRefP22_8x_0)</f>
        <v>0.01</v>
      </c>
      <c r="Q53" s="1"/>
      <c r="R53" s="5">
        <f t="shared" si="33"/>
        <v>5.0090655571172371E-9</v>
      </c>
      <c r="S53" s="1"/>
      <c r="T53" s="1">
        <f>SUM(OSRRefT22_8x_0)</f>
        <v>566.29</v>
      </c>
      <c r="U53" s="1"/>
      <c r="V53" s="5">
        <f t="shared" si="34"/>
        <v>2.3540006140462702E-4</v>
      </c>
      <c r="W53" s="1"/>
      <c r="X53" s="1">
        <f t="shared" si="35"/>
        <v>-566.28</v>
      </c>
      <c r="Y53" s="1"/>
      <c r="Z53" s="5">
        <f t="shared" si="36"/>
        <v>-0.99998234120327045</v>
      </c>
    </row>
    <row r="54" spans="1:26" s="24" customFormat="1" hidden="1" outlineLevel="2" x14ac:dyDescent="0.25">
      <c r="A54" s="26"/>
      <c r="B54" s="11" t="str">
        <f>CONCATENATE("          ", "6351", " - ", "EQUIPMENT RENTAL")</f>
        <v xml:space="preserve">          6351 - EQUIPMENT RENTAL</v>
      </c>
      <c r="C54" s="11"/>
      <c r="D54" s="6"/>
      <c r="E54" s="2"/>
      <c r="F54" s="7">
        <f t="shared" si="29"/>
        <v>0</v>
      </c>
      <c r="G54" s="2"/>
      <c r="H54" s="6">
        <v>491.44</v>
      </c>
      <c r="I54" s="2"/>
      <c r="J54" s="7">
        <f t="shared" si="30"/>
        <v>3.0782322863998745E-3</v>
      </c>
      <c r="K54" s="2"/>
      <c r="L54" s="6">
        <f t="shared" si="31"/>
        <v>-491.44</v>
      </c>
      <c r="M54" s="2"/>
      <c r="N54" s="7">
        <f t="shared" si="32"/>
        <v>-1</v>
      </c>
      <c r="O54" s="11"/>
      <c r="P54" s="6">
        <v>0.01</v>
      </c>
      <c r="Q54" s="2"/>
      <c r="R54" s="7">
        <f t="shared" si="33"/>
        <v>5.0090655571172371E-9</v>
      </c>
      <c r="S54" s="2"/>
      <c r="T54" s="6">
        <v>566.29</v>
      </c>
      <c r="U54" s="2"/>
      <c r="V54" s="7">
        <f t="shared" si="34"/>
        <v>2.3540006140462702E-4</v>
      </c>
      <c r="W54" s="2"/>
      <c r="X54" s="6">
        <f t="shared" si="35"/>
        <v>-566.28</v>
      </c>
      <c r="Y54" s="2"/>
      <c r="Z54" s="7">
        <f t="shared" si="36"/>
        <v>-0.99998234120327045</v>
      </c>
    </row>
    <row r="55" spans="1:26" s="27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9"/>
        <v>0</v>
      </c>
      <c r="G55" s="1"/>
      <c r="H55" s="1">
        <f>SUM(OSRRefH22_9x_0)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SUM(OSRRefP22_9x_0)</f>
        <v>1950.43</v>
      </c>
      <c r="Q55" s="1"/>
      <c r="R55" s="5">
        <f t="shared" si="33"/>
        <v>9.7698317345681733E-4</v>
      </c>
      <c r="S55" s="1"/>
      <c r="T55" s="1">
        <f>SUM(OSRRefT22_9x_0)</f>
        <v>1968.51</v>
      </c>
      <c r="U55" s="1"/>
      <c r="V55" s="5">
        <f t="shared" si="34"/>
        <v>8.1828634599873269E-4</v>
      </c>
      <c r="W55" s="1"/>
      <c r="X55" s="1">
        <f t="shared" si="35"/>
        <v>-18.079999999999927</v>
      </c>
      <c r="Y55" s="1"/>
      <c r="Z55" s="5">
        <f t="shared" si="36"/>
        <v>-9.1846117113958924E-3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1950.43</v>
      </c>
      <c r="Q56" s="2"/>
      <c r="R56" s="7">
        <f t="shared" si="33"/>
        <v>9.7698317345681733E-4</v>
      </c>
      <c r="S56" s="2"/>
      <c r="T56" s="6">
        <v>1968.51</v>
      </c>
      <c r="U56" s="2"/>
      <c r="V56" s="7">
        <f t="shared" si="34"/>
        <v>8.1828634599873269E-4</v>
      </c>
      <c r="W56" s="2"/>
      <c r="X56" s="6">
        <f t="shared" si="35"/>
        <v>-18.079999999999927</v>
      </c>
      <c r="Y56" s="2"/>
      <c r="Z56" s="7">
        <f t="shared" si="36"/>
        <v>-9.1846117113958924E-3</v>
      </c>
    </row>
    <row r="57" spans="1:26" s="27" customFormat="1" outlineLevel="1" collapsed="1" x14ac:dyDescent="0.25">
      <c r="A57" s="25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29"/>
        <v>0</v>
      </c>
      <c r="G57" s="1"/>
      <c r="H57" s="1">
        <f>SUM(OSRRefH22_10x_0)</f>
        <v>4.93</v>
      </c>
      <c r="I57" s="1"/>
      <c r="J57" s="5">
        <f t="shared" si="30"/>
        <v>3.0880036569980831E-5</v>
      </c>
      <c r="K57" s="1"/>
      <c r="L57" s="1">
        <f t="shared" si="31"/>
        <v>0.97000000000000064</v>
      </c>
      <c r="M57" s="1"/>
      <c r="N57" s="5">
        <f t="shared" si="32"/>
        <v>0.19675456389452348</v>
      </c>
      <c r="O57" s="13"/>
      <c r="P57" s="1">
        <f>SUM(OSRRefP22_10x_0)</f>
        <v>64.900000000000006</v>
      </c>
      <c r="Q57" s="1"/>
      <c r="R57" s="5">
        <f t="shared" si="33"/>
        <v>3.2508835465690873E-5</v>
      </c>
      <c r="S57" s="1"/>
      <c r="T57" s="1">
        <f>SUM(OSRRefT22_10x_0)</f>
        <v>54.23</v>
      </c>
      <c r="U57" s="1"/>
      <c r="V57" s="5">
        <f t="shared" si="34"/>
        <v>2.2542770188371547E-5</v>
      </c>
      <c r="W57" s="1"/>
      <c r="X57" s="1">
        <f t="shared" si="35"/>
        <v>10.670000000000009</v>
      </c>
      <c r="Y57" s="1"/>
      <c r="Z57" s="5">
        <f t="shared" si="36"/>
        <v>0.1967545638945235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6">
        <v>5.9</v>
      </c>
      <c r="E58" s="2"/>
      <c r="F58" s="7">
        <f t="shared" si="29"/>
        <v>0</v>
      </c>
      <c r="G58" s="2"/>
      <c r="H58" s="6">
        <v>4.93</v>
      </c>
      <c r="I58" s="2"/>
      <c r="J58" s="7">
        <f t="shared" si="30"/>
        <v>3.0880036569980831E-5</v>
      </c>
      <c r="K58" s="2"/>
      <c r="L58" s="6">
        <f t="shared" si="31"/>
        <v>0.97000000000000064</v>
      </c>
      <c r="M58" s="2"/>
      <c r="N58" s="7">
        <f t="shared" si="32"/>
        <v>0.19675456389452348</v>
      </c>
      <c r="O58" s="11"/>
      <c r="P58" s="6">
        <v>64.900000000000006</v>
      </c>
      <c r="Q58" s="2"/>
      <c r="R58" s="7">
        <f t="shared" si="33"/>
        <v>3.2508835465690873E-5</v>
      </c>
      <c r="S58" s="2"/>
      <c r="T58" s="6">
        <v>54.23</v>
      </c>
      <c r="U58" s="2"/>
      <c r="V58" s="7">
        <f t="shared" si="34"/>
        <v>2.2542770188371547E-5</v>
      </c>
      <c r="W58" s="2"/>
      <c r="X58" s="6">
        <f t="shared" si="35"/>
        <v>10.670000000000009</v>
      </c>
      <c r="Y58" s="2"/>
      <c r="Z58" s="7">
        <f t="shared" si="36"/>
        <v>0.1967545638945235</v>
      </c>
    </row>
    <row r="59" spans="1:26" s="27" customFormat="1" outlineLevel="1" collapsed="1" x14ac:dyDescent="0.25">
      <c r="A59" s="25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0</v>
      </c>
      <c r="E59" s="1"/>
      <c r="F59" s="5">
        <f t="shared" si="29"/>
        <v>0</v>
      </c>
      <c r="G59" s="1"/>
      <c r="H59" s="1">
        <f>SUM(OSRRefH22_11x_0)</f>
        <v>12616.79</v>
      </c>
      <c r="I59" s="1"/>
      <c r="J59" s="5">
        <f t="shared" si="30"/>
        <v>7.9027776185754253E-2</v>
      </c>
      <c r="K59" s="1"/>
      <c r="L59" s="1">
        <f t="shared" si="31"/>
        <v>-12616.79</v>
      </c>
      <c r="M59" s="1"/>
      <c r="N59" s="5">
        <f t="shared" si="32"/>
        <v>-1</v>
      </c>
      <c r="O59" s="13"/>
      <c r="P59" s="1">
        <f>SUM(OSRRefP22_11x_0)</f>
        <v>156427.13</v>
      </c>
      <c r="Q59" s="1"/>
      <c r="R59" s="5">
        <f t="shared" si="33"/>
        <v>7.8355374908170058E-2</v>
      </c>
      <c r="S59" s="1"/>
      <c r="T59" s="1">
        <f>SUM(OSRRefT22_11x_0)</f>
        <v>189852.38</v>
      </c>
      <c r="U59" s="1"/>
      <c r="V59" s="5">
        <f t="shared" si="34"/>
        <v>7.8919390965432171E-2</v>
      </c>
      <c r="W59" s="1"/>
      <c r="X59" s="1">
        <f t="shared" si="35"/>
        <v>-33425.25</v>
      </c>
      <c r="Y59" s="1"/>
      <c r="Z59" s="5">
        <f t="shared" si="36"/>
        <v>-0.17605915711986334</v>
      </c>
    </row>
    <row r="60" spans="1:26" s="24" customFormat="1" hidden="1" outlineLevel="2" x14ac:dyDescent="0.25">
      <c r="A60" s="26"/>
      <c r="B60" s="11" t="str">
        <f>CONCATENATE("          ", "6387", " - ", "COMMISSION DUE HOUSING")</f>
        <v xml:space="preserve">          6387 - COMMISSION DUE HOUSING</v>
      </c>
      <c r="C60" s="11"/>
      <c r="D60" s="6"/>
      <c r="E60" s="2"/>
      <c r="F60" s="7">
        <f t="shared" si="29"/>
        <v>0</v>
      </c>
      <c r="G60" s="2"/>
      <c r="H60" s="6">
        <v>12616.79</v>
      </c>
      <c r="I60" s="2"/>
      <c r="J60" s="7">
        <f t="shared" si="30"/>
        <v>7.9027776185754253E-2</v>
      </c>
      <c r="K60" s="2"/>
      <c r="L60" s="6">
        <f t="shared" si="31"/>
        <v>-12616.79</v>
      </c>
      <c r="M60" s="2"/>
      <c r="N60" s="7">
        <f t="shared" si="32"/>
        <v>-1</v>
      </c>
      <c r="O60" s="11"/>
      <c r="P60" s="6">
        <v>156427.13</v>
      </c>
      <c r="Q60" s="2"/>
      <c r="R60" s="7">
        <f t="shared" si="33"/>
        <v>7.8355374908170058E-2</v>
      </c>
      <c r="S60" s="2"/>
      <c r="T60" s="6">
        <v>189852.38</v>
      </c>
      <c r="U60" s="2"/>
      <c r="V60" s="7">
        <f t="shared" si="34"/>
        <v>7.8919390965432171E-2</v>
      </c>
      <c r="W60" s="2"/>
      <c r="X60" s="6">
        <f t="shared" si="35"/>
        <v>-33425.25</v>
      </c>
      <c r="Y60" s="2"/>
      <c r="Z60" s="7">
        <f t="shared" si="36"/>
        <v>-0.17605915711986334</v>
      </c>
    </row>
    <row r="61" spans="1:26" s="27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0</v>
      </c>
      <c r="E61" s="1"/>
      <c r="F61" s="5">
        <f t="shared" si="29"/>
        <v>0</v>
      </c>
      <c r="G61" s="1"/>
      <c r="H61" s="1">
        <f>SUM(OSRRefH22_12x_0)</f>
        <v>10343.25</v>
      </c>
      <c r="I61" s="1"/>
      <c r="J61" s="5">
        <f t="shared" si="30"/>
        <v>6.4787005730720937E-2</v>
      </c>
      <c r="K61" s="1"/>
      <c r="L61" s="1">
        <f t="shared" si="31"/>
        <v>-10343.25</v>
      </c>
      <c r="M61" s="1"/>
      <c r="N61" s="5">
        <f t="shared" si="32"/>
        <v>-1</v>
      </c>
      <c r="O61" s="13"/>
      <c r="P61" s="1">
        <f>SUM(OSRRefP22_12x_0)</f>
        <v>212.16</v>
      </c>
      <c r="Q61" s="1"/>
      <c r="R61" s="5">
        <f t="shared" si="33"/>
        <v>1.062723348597993E-4</v>
      </c>
      <c r="S61" s="1"/>
      <c r="T61" s="1">
        <f>SUM(OSRRefT22_12x_0)</f>
        <v>3263.96</v>
      </c>
      <c r="U61" s="1"/>
      <c r="V61" s="5">
        <f t="shared" si="34"/>
        <v>1.3567896032461221E-3</v>
      </c>
      <c r="W61" s="1"/>
      <c r="X61" s="1">
        <f t="shared" si="35"/>
        <v>-3051.8</v>
      </c>
      <c r="Y61" s="1"/>
      <c r="Z61" s="5">
        <f t="shared" si="36"/>
        <v>-0.93499920342161058</v>
      </c>
    </row>
    <row r="62" spans="1:26" s="24" customFormat="1" hidden="1" outlineLevel="2" x14ac:dyDescent="0.25">
      <c r="A62" s="26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29"/>
        <v>0</v>
      </c>
      <c r="G62" s="2"/>
      <c r="H62" s="6">
        <v>10343.25</v>
      </c>
      <c r="I62" s="2"/>
      <c r="J62" s="7">
        <f t="shared" si="30"/>
        <v>6.4787005730720937E-2</v>
      </c>
      <c r="K62" s="2"/>
      <c r="L62" s="6">
        <f t="shared" si="31"/>
        <v>-10343.25</v>
      </c>
      <c r="M62" s="2"/>
      <c r="N62" s="7">
        <f t="shared" si="32"/>
        <v>-1</v>
      </c>
      <c r="O62" s="11"/>
      <c r="P62" s="6"/>
      <c r="Q62" s="2"/>
      <c r="R62" s="7">
        <f t="shared" si="33"/>
        <v>0</v>
      </c>
      <c r="S62" s="2"/>
      <c r="T62" s="6">
        <v>2971.97</v>
      </c>
      <c r="U62" s="2"/>
      <c r="V62" s="7">
        <f t="shared" si="34"/>
        <v>1.2354128105612132E-3</v>
      </c>
      <c r="W62" s="2"/>
      <c r="X62" s="6">
        <f t="shared" si="35"/>
        <v>-2971.97</v>
      </c>
      <c r="Y62" s="2"/>
      <c r="Z62" s="7">
        <f t="shared" si="36"/>
        <v>-1</v>
      </c>
    </row>
    <row r="63" spans="1:26" s="24" customFormat="1" hidden="1" outlineLevel="2" x14ac:dyDescent="0.25">
      <c r="A63" s="26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29"/>
        <v>0</v>
      </c>
      <c r="G63" s="2"/>
      <c r="H63" s="6"/>
      <c r="I63" s="2"/>
      <c r="J63" s="7">
        <f t="shared" si="30"/>
        <v>0</v>
      </c>
      <c r="K63" s="2"/>
      <c r="L63" s="6">
        <f t="shared" si="31"/>
        <v>0</v>
      </c>
      <c r="M63" s="2"/>
      <c r="N63" s="7">
        <f t="shared" si="32"/>
        <v>0</v>
      </c>
      <c r="O63" s="11"/>
      <c r="P63" s="6">
        <v>212.16</v>
      </c>
      <c r="Q63" s="2"/>
      <c r="R63" s="7">
        <f t="shared" si="33"/>
        <v>1.062723348597993E-4</v>
      </c>
      <c r="S63" s="2"/>
      <c r="T63" s="6">
        <v>202.38</v>
      </c>
      <c r="U63" s="2"/>
      <c r="V63" s="7">
        <f t="shared" si="34"/>
        <v>8.4126974566155885E-5</v>
      </c>
      <c r="W63" s="2"/>
      <c r="X63" s="6">
        <f t="shared" si="35"/>
        <v>9.7800000000000011</v>
      </c>
      <c r="Y63" s="2"/>
      <c r="Z63" s="7">
        <f t="shared" si="36"/>
        <v>4.8324933293803746E-2</v>
      </c>
    </row>
    <row r="64" spans="1:26" s="24" customFormat="1" hidden="1" outlineLevel="2" x14ac:dyDescent="0.25">
      <c r="A64" s="26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29"/>
        <v>0</v>
      </c>
      <c r="G64" s="2"/>
      <c r="H64" s="6"/>
      <c r="I64" s="2"/>
      <c r="J64" s="7">
        <f t="shared" si="30"/>
        <v>0</v>
      </c>
      <c r="K64" s="2"/>
      <c r="L64" s="6">
        <f t="shared" si="31"/>
        <v>0</v>
      </c>
      <c r="M64" s="2"/>
      <c r="N64" s="7">
        <f t="shared" si="32"/>
        <v>0</v>
      </c>
      <c r="O64" s="11"/>
      <c r="P64" s="6">
        <v>0</v>
      </c>
      <c r="Q64" s="2"/>
      <c r="R64" s="7">
        <f t="shared" si="33"/>
        <v>0</v>
      </c>
      <c r="S64" s="2"/>
      <c r="T64" s="6">
        <v>89.61</v>
      </c>
      <c r="U64" s="2"/>
      <c r="V64" s="7">
        <f t="shared" si="34"/>
        <v>3.7249818118752982E-5</v>
      </c>
      <c r="W64" s="2"/>
      <c r="X64" s="6">
        <f t="shared" si="35"/>
        <v>-89.61</v>
      </c>
      <c r="Y64" s="2"/>
      <c r="Z64" s="7">
        <f t="shared" si="36"/>
        <v>-1</v>
      </c>
    </row>
    <row r="65" spans="1:26" s="27" customFormat="1" outlineLevel="1" collapsed="1" x14ac:dyDescent="0.25">
      <c r="A65" s="25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SUM(OSRRefD22_13x_0)</f>
        <v>597.87</v>
      </c>
      <c r="E65" s="1"/>
      <c r="F65" s="5">
        <f t="shared" ref="F65:F68" si="37">IF(D$12=0,0,D65/D$12)</f>
        <v>0</v>
      </c>
      <c r="G65" s="1"/>
      <c r="H65" s="1">
        <f>SUM(OSRRefH22_13x_0)</f>
        <v>5819.13</v>
      </c>
      <c r="I65" s="1"/>
      <c r="J65" s="5">
        <f t="shared" ref="J65:J68" si="38">IF(H$12=0,0,H65/H$12)</f>
        <v>3.6449279352022836E-2</v>
      </c>
      <c r="K65" s="1"/>
      <c r="L65" s="1">
        <f t="shared" ref="L65:L68" si="39">+D65-H65</f>
        <v>-5221.26</v>
      </c>
      <c r="M65" s="1"/>
      <c r="N65" s="5">
        <f t="shared" ref="N65:N68" si="40">IF(H65=0,0,L65/H65)</f>
        <v>-0.897257837511793</v>
      </c>
      <c r="O65" s="13"/>
      <c r="P65" s="1">
        <f>SUM(OSRRefP22_13x_0)</f>
        <v>57045.48</v>
      </c>
      <c r="Q65" s="1"/>
      <c r="R65" s="5">
        <f t="shared" ref="R65:R68" si="41">IF(P$12=0,0,P65/P$12)</f>
        <v>2.8574454905722024E-2</v>
      </c>
      <c r="S65" s="1"/>
      <c r="T65" s="1">
        <f>SUM(OSRRefT22_13x_0)</f>
        <v>51687.08</v>
      </c>
      <c r="U65" s="1"/>
      <c r="V65" s="5">
        <f t="shared" ref="V65:V68" si="42">IF(T$12=0,0,T65/T$12)</f>
        <v>2.1485708392918593E-2</v>
      </c>
      <c r="W65" s="1"/>
      <c r="X65" s="1">
        <f t="shared" ref="X65:X68" si="43">+P65-T65</f>
        <v>5358.4000000000015</v>
      </c>
      <c r="Y65" s="1"/>
      <c r="Z65" s="5">
        <f t="shared" ref="Z65:Z68" si="44">IF(T65=0,0,X65/T65)</f>
        <v>0.10367000805617189</v>
      </c>
    </row>
    <row r="66" spans="1:26" s="24" customFormat="1" hidden="1" outlineLevel="2" x14ac:dyDescent="0.25">
      <c r="A66" s="26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597.87</v>
      </c>
      <c r="E66" s="2"/>
      <c r="F66" s="7">
        <f t="shared" si="37"/>
        <v>0</v>
      </c>
      <c r="G66" s="2"/>
      <c r="H66" s="6">
        <v>1339.28</v>
      </c>
      <c r="I66" s="2"/>
      <c r="J66" s="7">
        <f t="shared" si="38"/>
        <v>8.3888469325444082E-3</v>
      </c>
      <c r="K66" s="2"/>
      <c r="L66" s="6">
        <f t="shared" si="39"/>
        <v>-741.41</v>
      </c>
      <c r="M66" s="2"/>
      <c r="N66" s="7">
        <f t="shared" si="40"/>
        <v>-0.55358849531091336</v>
      </c>
      <c r="O66" s="11"/>
      <c r="P66" s="6">
        <v>8113.91</v>
      </c>
      <c r="Q66" s="2"/>
      <c r="R66" s="7">
        <f t="shared" si="41"/>
        <v>4.0643107114549121E-3</v>
      </c>
      <c r="S66" s="2"/>
      <c r="T66" s="6">
        <v>7516.04</v>
      </c>
      <c r="U66" s="2"/>
      <c r="V66" s="7">
        <f t="shared" si="42"/>
        <v>3.1243290143206362E-3</v>
      </c>
      <c r="W66" s="2"/>
      <c r="X66" s="6">
        <f t="shared" si="43"/>
        <v>597.86999999999989</v>
      </c>
      <c r="Y66" s="2"/>
      <c r="Z66" s="7">
        <f t="shared" si="44"/>
        <v>7.9545877882501947E-2</v>
      </c>
    </row>
    <row r="67" spans="1:26" s="24" customFormat="1" hidden="1" outlineLevel="2" x14ac:dyDescent="0.25">
      <c r="A67" s="26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37"/>
        <v>0</v>
      </c>
      <c r="G67" s="2"/>
      <c r="H67" s="6">
        <v>3639.27</v>
      </c>
      <c r="I67" s="2"/>
      <c r="J67" s="7">
        <f t="shared" si="38"/>
        <v>2.279529222881017E-2</v>
      </c>
      <c r="K67" s="2"/>
      <c r="L67" s="6">
        <f t="shared" si="39"/>
        <v>-3639.27</v>
      </c>
      <c r="M67" s="2"/>
      <c r="N67" s="7">
        <f t="shared" si="40"/>
        <v>-1</v>
      </c>
      <c r="O67" s="11"/>
      <c r="P67" s="6">
        <v>35826.720000000001</v>
      </c>
      <c r="Q67" s="2"/>
      <c r="R67" s="7">
        <f t="shared" si="41"/>
        <v>1.7945838917648328E-2</v>
      </c>
      <c r="S67" s="2"/>
      <c r="T67" s="6">
        <v>31272.639999999999</v>
      </c>
      <c r="U67" s="2"/>
      <c r="V67" s="7">
        <f t="shared" si="42"/>
        <v>1.2999666913215482E-2</v>
      </c>
      <c r="W67" s="2"/>
      <c r="X67" s="6">
        <f t="shared" si="43"/>
        <v>4554.0800000000017</v>
      </c>
      <c r="Y67" s="2"/>
      <c r="Z67" s="7">
        <f t="shared" si="44"/>
        <v>0.14562505755830021</v>
      </c>
    </row>
    <row r="68" spans="1:26" s="24" customFormat="1" hidden="1" outlineLevel="2" x14ac:dyDescent="0.25">
      <c r="A68" s="26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37"/>
        <v>0</v>
      </c>
      <c r="G68" s="2"/>
      <c r="H68" s="6">
        <v>840.58</v>
      </c>
      <c r="I68" s="2"/>
      <c r="J68" s="7">
        <f t="shared" si="38"/>
        <v>5.2651401906682535E-3</v>
      </c>
      <c r="K68" s="2"/>
      <c r="L68" s="6">
        <f t="shared" si="39"/>
        <v>-840.58</v>
      </c>
      <c r="M68" s="2"/>
      <c r="N68" s="7">
        <f t="shared" si="40"/>
        <v>-1</v>
      </c>
      <c r="O68" s="11"/>
      <c r="P68" s="6">
        <v>13104.85</v>
      </c>
      <c r="Q68" s="2"/>
      <c r="R68" s="7">
        <f t="shared" si="41"/>
        <v>6.5643052766187829E-3</v>
      </c>
      <c r="S68" s="2"/>
      <c r="T68" s="6">
        <v>12898.4</v>
      </c>
      <c r="U68" s="2"/>
      <c r="V68" s="7">
        <f t="shared" si="42"/>
        <v>5.3617124653824741E-3</v>
      </c>
      <c r="W68" s="2"/>
      <c r="X68" s="6">
        <f t="shared" si="43"/>
        <v>206.45000000000073</v>
      </c>
      <c r="Y68" s="2"/>
      <c r="Z68" s="7">
        <f t="shared" si="44"/>
        <v>1.6005861192085896E-2</v>
      </c>
    </row>
    <row r="69" spans="1:26" s="27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SUM(OSRRefD22_14x_0)</f>
        <v>0</v>
      </c>
      <c r="E69" s="1"/>
      <c r="F69" s="5">
        <f t="shared" ref="F69:F76" si="45">IF(D$12=0,0,D69/D$12)</f>
        <v>0</v>
      </c>
      <c r="G69" s="1"/>
      <c r="H69" s="1">
        <f>SUM(OSRRefH22_14x_0)</f>
        <v>3021.06</v>
      </c>
      <c r="I69" s="1"/>
      <c r="J69" s="5">
        <f t="shared" ref="J69:J76" si="46">IF(H$12=0,0,H69/H$12)</f>
        <v>1.8923010807323792E-2</v>
      </c>
      <c r="K69" s="1"/>
      <c r="L69" s="1">
        <f t="shared" ref="L69:L76" si="47">+D69-H69</f>
        <v>-3021.06</v>
      </c>
      <c r="M69" s="1"/>
      <c r="N69" s="5">
        <f t="shared" ref="N69:N76" si="48">IF(H69=0,0,L69/H69)</f>
        <v>-1</v>
      </c>
      <c r="O69" s="13"/>
      <c r="P69" s="1">
        <f>SUM(OSRRefP22_14x_0)</f>
        <v>43096.97</v>
      </c>
      <c r="Q69" s="1"/>
      <c r="R69" s="5">
        <f t="shared" ref="R69:R76" si="49">IF(P$12=0,0,P69/P$12)</f>
        <v>2.1587554804311487E-2</v>
      </c>
      <c r="S69" s="1"/>
      <c r="T69" s="1">
        <f>SUM(OSRRefT22_14x_0)</f>
        <v>50690.43</v>
      </c>
      <c r="U69" s="1"/>
      <c r="V69" s="5">
        <f t="shared" ref="V69:V76" si="50">IF(T$12=0,0,T69/T$12)</f>
        <v>2.1071412764885392E-2</v>
      </c>
      <c r="W69" s="1"/>
      <c r="X69" s="1">
        <f t="shared" ref="X69:X76" si="51">+P69-T69</f>
        <v>-7593.4599999999991</v>
      </c>
      <c r="Y69" s="1"/>
      <c r="Z69" s="5">
        <f t="shared" ref="Z69:Z76" si="52">IF(T69=0,0,X69/T69)</f>
        <v>-0.1498006625708245</v>
      </c>
    </row>
    <row r="70" spans="1:26" s="24" customFormat="1" hidden="1" outlineLevel="2" x14ac:dyDescent="0.25">
      <c r="A70" s="26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30.98</v>
      </c>
      <c r="U70" s="2"/>
      <c r="V70" s="7">
        <f t="shared" si="50"/>
        <v>1.2878019923211333E-5</v>
      </c>
      <c r="W70" s="2"/>
      <c r="X70" s="6">
        <f t="shared" si="51"/>
        <v>-30.98</v>
      </c>
      <c r="Y70" s="2"/>
      <c r="Z70" s="7">
        <f t="shared" si="52"/>
        <v>-1</v>
      </c>
    </row>
    <row r="71" spans="1:26" s="24" customFormat="1" hidden="1" outlineLevel="2" x14ac:dyDescent="0.25">
      <c r="A71" s="26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45"/>
        <v>0</v>
      </c>
      <c r="G71" s="2"/>
      <c r="H71" s="6">
        <v>674.99</v>
      </c>
      <c r="I71" s="2"/>
      <c r="J71" s="7">
        <f t="shared" si="46"/>
        <v>4.2279342564647791E-3</v>
      </c>
      <c r="K71" s="2"/>
      <c r="L71" s="6">
        <f t="shared" si="47"/>
        <v>-674.99</v>
      </c>
      <c r="M71" s="2"/>
      <c r="N71" s="7">
        <f t="shared" si="48"/>
        <v>-1</v>
      </c>
      <c r="O71" s="11"/>
      <c r="P71" s="6">
        <v>12287.44</v>
      </c>
      <c r="Q71" s="2"/>
      <c r="R71" s="7">
        <f t="shared" si="49"/>
        <v>6.1548592489144632E-3</v>
      </c>
      <c r="S71" s="2"/>
      <c r="T71" s="6">
        <v>20445.8</v>
      </c>
      <c r="U71" s="2"/>
      <c r="V71" s="7">
        <f t="shared" si="50"/>
        <v>8.4990774611360311E-3</v>
      </c>
      <c r="W71" s="2"/>
      <c r="X71" s="6">
        <f t="shared" si="51"/>
        <v>-8158.3599999999988</v>
      </c>
      <c r="Y71" s="2"/>
      <c r="Z71" s="7">
        <f t="shared" si="52"/>
        <v>-0.3990237603811051</v>
      </c>
    </row>
    <row r="72" spans="1:26" s="24" customFormat="1" hidden="1" outlineLevel="2" x14ac:dyDescent="0.25">
      <c r="A72" s="26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45"/>
        <v>0</v>
      </c>
      <c r="G72" s="2"/>
      <c r="H72" s="6">
        <v>1043.82</v>
      </c>
      <c r="I72" s="2"/>
      <c r="J72" s="7">
        <f t="shared" si="46"/>
        <v>6.5381743960400383E-3</v>
      </c>
      <c r="K72" s="2"/>
      <c r="L72" s="6">
        <f t="shared" si="47"/>
        <v>-1043.82</v>
      </c>
      <c r="M72" s="2"/>
      <c r="N72" s="7">
        <f t="shared" si="48"/>
        <v>-1</v>
      </c>
      <c r="O72" s="11"/>
      <c r="P72" s="6">
        <v>4550.0600000000004</v>
      </c>
      <c r="Q72" s="2"/>
      <c r="R72" s="7">
        <f t="shared" si="49"/>
        <v>2.279154882881686E-3</v>
      </c>
      <c r="S72" s="2"/>
      <c r="T72" s="6">
        <v>5091.3999999999996</v>
      </c>
      <c r="U72" s="2"/>
      <c r="V72" s="7">
        <f t="shared" si="50"/>
        <v>2.1164348172058802E-3</v>
      </c>
      <c r="W72" s="2"/>
      <c r="X72" s="6">
        <f t="shared" si="51"/>
        <v>-541.33999999999924</v>
      </c>
      <c r="Y72" s="2"/>
      <c r="Z72" s="7">
        <f t="shared" si="52"/>
        <v>-0.10632439014809272</v>
      </c>
    </row>
    <row r="73" spans="1:26" s="24" customFormat="1" hidden="1" outlineLevel="2" x14ac:dyDescent="0.25">
      <c r="A73" s="26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45"/>
        <v>0</v>
      </c>
      <c r="G73" s="2"/>
      <c r="H73" s="6">
        <v>398.16</v>
      </c>
      <c r="I73" s="2"/>
      <c r="J73" s="7">
        <f t="shared" si="46"/>
        <v>2.4939544342197908E-3</v>
      </c>
      <c r="K73" s="2"/>
      <c r="L73" s="6">
        <f t="shared" si="47"/>
        <v>-398.16</v>
      </c>
      <c r="M73" s="2"/>
      <c r="N73" s="7">
        <f t="shared" si="48"/>
        <v>-1</v>
      </c>
      <c r="O73" s="11"/>
      <c r="P73" s="6">
        <v>18733.82</v>
      </c>
      <c r="Q73" s="2"/>
      <c r="R73" s="7">
        <f t="shared" si="49"/>
        <v>9.3838932515234036E-3</v>
      </c>
      <c r="S73" s="2"/>
      <c r="T73" s="6">
        <v>4667.37</v>
      </c>
      <c r="U73" s="2"/>
      <c r="V73" s="7">
        <f t="shared" si="50"/>
        <v>1.9401705567785306E-3</v>
      </c>
      <c r="W73" s="2"/>
      <c r="X73" s="6">
        <f t="shared" si="51"/>
        <v>14066.45</v>
      </c>
      <c r="Y73" s="2"/>
      <c r="Z73" s="7">
        <f t="shared" si="52"/>
        <v>3.0137850652508802</v>
      </c>
    </row>
    <row r="74" spans="1:26" s="24" customFormat="1" hidden="1" outlineLevel="2" x14ac:dyDescent="0.25">
      <c r="A74" s="26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45"/>
        <v>0</v>
      </c>
      <c r="G74" s="2"/>
      <c r="H74" s="6">
        <v>904.09</v>
      </c>
      <c r="I74" s="2"/>
      <c r="J74" s="7">
        <f t="shared" si="46"/>
        <v>5.6629477205991825E-3</v>
      </c>
      <c r="K74" s="2"/>
      <c r="L74" s="6">
        <f t="shared" si="47"/>
        <v>-904.09</v>
      </c>
      <c r="M74" s="2"/>
      <c r="N74" s="7">
        <f t="shared" si="48"/>
        <v>-1</v>
      </c>
      <c r="O74" s="11"/>
      <c r="P74" s="6">
        <v>14386.16</v>
      </c>
      <c r="Q74" s="2"/>
      <c r="R74" s="7">
        <f t="shared" si="49"/>
        <v>7.2061218555177714E-3</v>
      </c>
      <c r="S74" s="2"/>
      <c r="T74" s="6">
        <v>16554.91</v>
      </c>
      <c r="U74" s="2"/>
      <c r="V74" s="7">
        <f t="shared" si="50"/>
        <v>6.8816804650410112E-3</v>
      </c>
      <c r="W74" s="2"/>
      <c r="X74" s="6">
        <f t="shared" si="51"/>
        <v>-2168.75</v>
      </c>
      <c r="Y74" s="2"/>
      <c r="Z74" s="7">
        <f t="shared" si="52"/>
        <v>-0.13100343040221904</v>
      </c>
    </row>
    <row r="75" spans="1:26" s="24" customFormat="1" hidden="1" outlineLevel="2" x14ac:dyDescent="0.25">
      <c r="A75" s="26"/>
      <c r="B75" s="11" t="str">
        <f>CONCATENATE("          ", "6245", " - ", "PRINTING")</f>
        <v xml:space="preserve">          6245 - PRINTING</v>
      </c>
      <c r="C75" s="11"/>
      <c r="D75" s="6"/>
      <c r="E75" s="2"/>
      <c r="F75" s="7">
        <f t="shared" si="45"/>
        <v>0</v>
      </c>
      <c r="G75" s="2"/>
      <c r="H75" s="6"/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>
        <v>469.44</v>
      </c>
      <c r="Q75" s="2"/>
      <c r="R75" s="7">
        <f t="shared" si="49"/>
        <v>2.3514557351331157E-4</v>
      </c>
      <c r="S75" s="2"/>
      <c r="T75" s="6"/>
      <c r="U75" s="2"/>
      <c r="V75" s="7">
        <f t="shared" si="50"/>
        <v>0</v>
      </c>
      <c r="W75" s="2"/>
      <c r="X75" s="6">
        <f t="shared" si="51"/>
        <v>469.44</v>
      </c>
      <c r="Y75" s="2"/>
      <c r="Z75" s="7">
        <f t="shared" si="52"/>
        <v>0</v>
      </c>
    </row>
    <row r="76" spans="1:26" s="24" customFormat="1" hidden="1" outlineLevel="2" x14ac:dyDescent="0.25">
      <c r="A76" s="26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-7329.95</v>
      </c>
      <c r="Q76" s="2"/>
      <c r="R76" s="7">
        <f t="shared" si="49"/>
        <v>-3.6716200080391492E-3</v>
      </c>
      <c r="S76" s="2"/>
      <c r="T76" s="6">
        <v>3899.97</v>
      </c>
      <c r="U76" s="2"/>
      <c r="V76" s="7">
        <f t="shared" si="50"/>
        <v>1.6211714448007262E-3</v>
      </c>
      <c r="W76" s="2"/>
      <c r="X76" s="6">
        <f t="shared" si="51"/>
        <v>-11229.92</v>
      </c>
      <c r="Y76" s="2"/>
      <c r="Z76" s="7">
        <f t="shared" si="52"/>
        <v>-2.8794888165806407</v>
      </c>
    </row>
    <row r="77" spans="1:26" s="27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SUM(OSRRefD22_15x_0)</f>
        <v>109</v>
      </c>
      <c r="E77" s="1"/>
      <c r="F77" s="5">
        <f t="shared" ref="F77:F83" si="53">IF(D$12=0,0,D77/D$12)</f>
        <v>0</v>
      </c>
      <c r="G77" s="1"/>
      <c r="H77" s="1">
        <f>SUM(OSRRefH22_15x_0)</f>
        <v>177.05</v>
      </c>
      <c r="I77" s="1"/>
      <c r="J77" s="5">
        <f t="shared" ref="J77:J83" si="54">IF(H$12=0,0,H77/H$12)</f>
        <v>1.1089879259057011E-3</v>
      </c>
      <c r="K77" s="1"/>
      <c r="L77" s="1">
        <f t="shared" ref="L77:L83" si="55">+D77-H77</f>
        <v>-68.050000000000011</v>
      </c>
      <c r="M77" s="1"/>
      <c r="N77" s="5">
        <f t="shared" ref="N77:N83" si="56">IF(H77=0,0,L77/H77)</f>
        <v>-0.38435470206156458</v>
      </c>
      <c r="O77" s="13"/>
      <c r="P77" s="1">
        <f>SUM(OSRRefP22_15x_0)</f>
        <v>1491.3</v>
      </c>
      <c r="Q77" s="1"/>
      <c r="R77" s="5">
        <f t="shared" ref="R77:R83" si="57">IF(P$12=0,0,P77/P$12)</f>
        <v>7.4700194653289358E-4</v>
      </c>
      <c r="S77" s="1"/>
      <c r="T77" s="1">
        <f>SUM(OSRRefT22_15x_0)</f>
        <v>2148.8000000000002</v>
      </c>
      <c r="U77" s="1"/>
      <c r="V77" s="5">
        <f t="shared" ref="V77:V83" si="58">IF(T$12=0,0,T77/T$12)</f>
        <v>8.932307685925279E-4</v>
      </c>
      <c r="W77" s="1"/>
      <c r="X77" s="1">
        <f t="shared" ref="X77:X83" si="59">+P77-T77</f>
        <v>-657.50000000000023</v>
      </c>
      <c r="Y77" s="1"/>
      <c r="Z77" s="5">
        <f t="shared" ref="Z77:Z83" si="60">IF(T77=0,0,X77/T77)</f>
        <v>-0.30598473566641854</v>
      </c>
    </row>
    <row r="78" spans="1:26" s="24" customFormat="1" hidden="1" outlineLevel="2" x14ac:dyDescent="0.25">
      <c r="A78" s="26"/>
      <c r="B78" s="11" t="str">
        <f>CONCATENATE("          ", "6309", " - ", "TELEPHONE")</f>
        <v xml:space="preserve">          6309 - TELEPHONE</v>
      </c>
      <c r="C78" s="11"/>
      <c r="D78" s="6">
        <v>109</v>
      </c>
      <c r="E78" s="2"/>
      <c r="F78" s="7">
        <f t="shared" si="53"/>
        <v>0</v>
      </c>
      <c r="G78" s="2"/>
      <c r="H78" s="6">
        <v>177.05</v>
      </c>
      <c r="I78" s="2"/>
      <c r="J78" s="7">
        <f t="shared" si="54"/>
        <v>1.1089879259057011E-3</v>
      </c>
      <c r="K78" s="2"/>
      <c r="L78" s="6">
        <f t="shared" si="55"/>
        <v>-68.050000000000011</v>
      </c>
      <c r="M78" s="2"/>
      <c r="N78" s="7">
        <f t="shared" si="56"/>
        <v>-0.38435470206156458</v>
      </c>
      <c r="O78" s="11"/>
      <c r="P78" s="6">
        <v>1491.3</v>
      </c>
      <c r="Q78" s="2"/>
      <c r="R78" s="7">
        <f t="shared" si="57"/>
        <v>7.4700194653289358E-4</v>
      </c>
      <c r="S78" s="2"/>
      <c r="T78" s="6">
        <v>2148.8000000000002</v>
      </c>
      <c r="U78" s="2"/>
      <c r="V78" s="7">
        <f t="shared" si="58"/>
        <v>8.932307685925279E-4</v>
      </c>
      <c r="W78" s="2"/>
      <c r="X78" s="6">
        <f t="shared" si="59"/>
        <v>-657.50000000000023</v>
      </c>
      <c r="Y78" s="2"/>
      <c r="Z78" s="7">
        <f t="shared" si="60"/>
        <v>-0.30598473566641854</v>
      </c>
    </row>
    <row r="79" spans="1:26" s="27" customFormat="1" outlineLevel="1" collapsed="1" x14ac:dyDescent="0.25">
      <c r="A79" s="25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SUM(OSRRefD22_16x_0)</f>
        <v>0</v>
      </c>
      <c r="E79" s="1"/>
      <c r="F79" s="5">
        <f t="shared" si="53"/>
        <v>0</v>
      </c>
      <c r="G79" s="1"/>
      <c r="H79" s="1">
        <f>SUM(OSRRefH22_16x_0)</f>
        <v>80</v>
      </c>
      <c r="I79" s="1"/>
      <c r="J79" s="5">
        <f t="shared" si="54"/>
        <v>5.0109592811327928E-4</v>
      </c>
      <c r="K79" s="1"/>
      <c r="L79" s="1">
        <f t="shared" si="55"/>
        <v>-80</v>
      </c>
      <c r="M79" s="1"/>
      <c r="N79" s="5">
        <f t="shared" si="56"/>
        <v>-1</v>
      </c>
      <c r="O79" s="13"/>
      <c r="P79" s="1">
        <f>SUM(OSRRefP22_16x_0)</f>
        <v>1657.1</v>
      </c>
      <c r="Q79" s="1"/>
      <c r="R79" s="5">
        <f t="shared" si="57"/>
        <v>8.3005225346989737E-4</v>
      </c>
      <c r="S79" s="1"/>
      <c r="T79" s="1">
        <f>SUM(OSRRefT22_16x_0)</f>
        <v>1929.02</v>
      </c>
      <c r="U79" s="1"/>
      <c r="V79" s="5">
        <f t="shared" si="58"/>
        <v>8.0187081963438097E-4</v>
      </c>
      <c r="W79" s="1"/>
      <c r="X79" s="1">
        <f t="shared" si="59"/>
        <v>-271.92000000000007</v>
      </c>
      <c r="Y79" s="1"/>
      <c r="Z79" s="5">
        <f t="shared" si="60"/>
        <v>-0.14096276865973401</v>
      </c>
    </row>
    <row r="80" spans="1:26" s="24" customFormat="1" hidden="1" outlineLevel="2" x14ac:dyDescent="0.25">
      <c r="A80" s="26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53"/>
        <v>0</v>
      </c>
      <c r="G80" s="2"/>
      <c r="H80" s="6">
        <v>80</v>
      </c>
      <c r="I80" s="2"/>
      <c r="J80" s="7">
        <f t="shared" si="54"/>
        <v>5.0109592811327928E-4</v>
      </c>
      <c r="K80" s="2"/>
      <c r="L80" s="6">
        <f t="shared" si="55"/>
        <v>-80</v>
      </c>
      <c r="M80" s="2"/>
      <c r="N80" s="7">
        <f t="shared" si="56"/>
        <v>-1</v>
      </c>
      <c r="O80" s="11"/>
      <c r="P80" s="6">
        <v>1657.1</v>
      </c>
      <c r="Q80" s="2"/>
      <c r="R80" s="7">
        <f t="shared" si="57"/>
        <v>8.3005225346989737E-4</v>
      </c>
      <c r="S80" s="2"/>
      <c r="T80" s="6">
        <v>1929.02</v>
      </c>
      <c r="U80" s="2"/>
      <c r="V80" s="7">
        <f t="shared" si="58"/>
        <v>8.0187081963438097E-4</v>
      </c>
      <c r="W80" s="2"/>
      <c r="X80" s="6">
        <f t="shared" si="59"/>
        <v>-271.92000000000007</v>
      </c>
      <c r="Y80" s="2"/>
      <c r="Z80" s="7">
        <f t="shared" si="60"/>
        <v>-0.14096276865973401</v>
      </c>
    </row>
    <row r="81" spans="1:26" s="27" customFormat="1" outlineLevel="1" collapsed="1" x14ac:dyDescent="0.25">
      <c r="A81" s="25"/>
      <c r="B81" s="13" t="str">
        <f>CONCATENATE("     ","Travel                                            ")</f>
        <v xml:space="preserve">     Travel                                            </v>
      </c>
      <c r="C81" s="13"/>
      <c r="D81" s="1">
        <f>SUM(OSRRefD22_17x_0)</f>
        <v>0</v>
      </c>
      <c r="E81" s="1"/>
      <c r="F81" s="5">
        <f t="shared" si="53"/>
        <v>0</v>
      </c>
      <c r="G81" s="1"/>
      <c r="H81" s="1">
        <f>SUM(OSRRefH22_17x_0)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3"/>
      <c r="P81" s="1">
        <f>SUM(OSRRefP22_17x_0)</f>
        <v>79.510000000000005</v>
      </c>
      <c r="Q81" s="1"/>
      <c r="R81" s="5">
        <f t="shared" si="57"/>
        <v>3.9827080244639157E-5</v>
      </c>
      <c r="S81" s="1"/>
      <c r="T81" s="1">
        <f>SUM(OSRRefT22_17x_0)</f>
        <v>250.88</v>
      </c>
      <c r="U81" s="1"/>
      <c r="V81" s="5">
        <f t="shared" si="58"/>
        <v>1.0428785146337181E-4</v>
      </c>
      <c r="W81" s="1"/>
      <c r="X81" s="1">
        <f t="shared" si="59"/>
        <v>-171.37</v>
      </c>
      <c r="Y81" s="1"/>
      <c r="Z81" s="5">
        <f t="shared" si="60"/>
        <v>-0.68307557397959184</v>
      </c>
    </row>
    <row r="82" spans="1:26" s="24" customFormat="1" hidden="1" outlineLevel="2" x14ac:dyDescent="0.25">
      <c r="A82" s="26"/>
      <c r="B82" s="11" t="str">
        <f>CONCATENATE("          ", "6292", " - ", "TRAVEL/CONFERENCE")</f>
        <v xml:space="preserve">          6292 - TRAVEL/CONFERENCE</v>
      </c>
      <c r="C82" s="11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>
        <v>79.510000000000005</v>
      </c>
      <c r="Q82" s="2"/>
      <c r="R82" s="7">
        <f t="shared" si="57"/>
        <v>3.9827080244639157E-5</v>
      </c>
      <c r="S82" s="2"/>
      <c r="T82" s="6">
        <v>31</v>
      </c>
      <c r="U82" s="2"/>
      <c r="V82" s="7">
        <f t="shared" si="58"/>
        <v>1.2886333686880287E-5</v>
      </c>
      <c r="W82" s="2"/>
      <c r="X82" s="6">
        <f t="shared" si="59"/>
        <v>48.510000000000005</v>
      </c>
      <c r="Y82" s="2"/>
      <c r="Z82" s="7">
        <f t="shared" si="60"/>
        <v>1.5648387096774194</v>
      </c>
    </row>
    <row r="83" spans="1:26" s="24" customFormat="1" hidden="1" outlineLevel="2" x14ac:dyDescent="0.25">
      <c r="A83" s="26"/>
      <c r="B83" s="11" t="str">
        <f>CONCATENATE("          ", "6294", " - ", "TRAVEL OPERATIONAL")</f>
        <v xml:space="preserve">          6294 - TRAVEL OPERATIONAL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/>
      <c r="Q83" s="2"/>
      <c r="R83" s="7">
        <f t="shared" si="57"/>
        <v>0</v>
      </c>
      <c r="S83" s="2"/>
      <c r="T83" s="6">
        <v>219.88</v>
      </c>
      <c r="U83" s="2"/>
      <c r="V83" s="7">
        <f t="shared" si="58"/>
        <v>9.1401517776491537E-5</v>
      </c>
      <c r="W83" s="2"/>
      <c r="X83" s="6">
        <f t="shared" si="59"/>
        <v>-219.88</v>
      </c>
      <c r="Y83" s="2"/>
      <c r="Z83" s="7">
        <f t="shared" si="60"/>
        <v>-1</v>
      </c>
    </row>
    <row r="84" spans="1:26" s="58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1">
        <f>+D21-D23+D85</f>
        <v>-34421.700000000004</v>
      </c>
      <c r="E87" s="14"/>
      <c r="F87" s="20">
        <f>IF(D$12=0,0,D87/D$12)</f>
        <v>0</v>
      </c>
      <c r="G87" s="14"/>
      <c r="H87" s="21">
        <f>+H21-H23+H85</f>
        <v>10182.64999999998</v>
      </c>
      <c r="I87" s="14"/>
      <c r="J87" s="20">
        <f>IF(H$12=0,0,H87/H$12)</f>
        <v>6.3781055655033406E-2</v>
      </c>
      <c r="K87" s="16"/>
      <c r="L87" s="21">
        <f>+D87-H87</f>
        <v>-44604.349999999984</v>
      </c>
      <c r="M87" s="16"/>
      <c r="N87" s="20">
        <f>IF(H87=0,0,L87/H87)</f>
        <v>-4.3804265097985366</v>
      </c>
      <c r="O87" s="28"/>
      <c r="P87" s="21">
        <f>+P21-P23+P85</f>
        <v>360202.5</v>
      </c>
      <c r="Q87" s="14"/>
      <c r="R87" s="20">
        <f>IF(P$12=0,0,P87/P$12)</f>
        <v>0.18042779363375216</v>
      </c>
      <c r="S87" s="14"/>
      <c r="T87" s="21">
        <f>+T21-T23+T85</f>
        <v>672674.05000000098</v>
      </c>
      <c r="U87" s="14"/>
      <c r="V87" s="20">
        <f>IF(T$12=0,0,T87/T$12)</f>
        <v>0.27962265389694219</v>
      </c>
      <c r="W87" s="16"/>
      <c r="X87" s="21">
        <f>+P87-T87</f>
        <v>-312471.55000000098</v>
      </c>
      <c r="Y87" s="16"/>
      <c r="Z87" s="20">
        <f>IF(T87=0,0,X87/T87)</f>
        <v>-0.46452148704116136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9727.91</v>
      </c>
      <c r="E89" s="4"/>
      <c r="F89" s="12">
        <f>IF(D$12=0,0,D89/D$12)</f>
        <v>0</v>
      </c>
      <c r="G89" s="4"/>
      <c r="H89" s="4">
        <v>16731.740000000002</v>
      </c>
      <c r="I89" s="4"/>
      <c r="J89" s="12">
        <f>IF(H$12=0,0,H89/H$12)</f>
        <v>0.10480258480312599</v>
      </c>
      <c r="K89" s="4"/>
      <c r="L89" s="4">
        <f>+D89-H89</f>
        <v>-7003.8300000000017</v>
      </c>
      <c r="M89" s="4"/>
      <c r="N89" s="12">
        <f>IF(H89=0,0,L89/H89)</f>
        <v>-0.41859543597976068</v>
      </c>
      <c r="O89" s="10"/>
      <c r="P89" s="4">
        <v>236402.61</v>
      </c>
      <c r="Q89" s="4"/>
      <c r="R89" s="12">
        <f>IF(P$12=0,0,P89/P$12)</f>
        <v>0.11841561713636189</v>
      </c>
      <c r="S89" s="4"/>
      <c r="T89" s="4">
        <v>250222.58</v>
      </c>
      <c r="U89" s="4"/>
      <c r="V89" s="12">
        <f>IF(T$12=0,0,T89/T$12)</f>
        <v>0.10401456973780959</v>
      </c>
      <c r="W89" s="4"/>
      <c r="X89" s="4">
        <f>+P89-T89</f>
        <v>-13819.970000000001</v>
      </c>
      <c r="Y89" s="4"/>
      <c r="Z89" s="12">
        <f>IF(T89=0,0,X89/T89)</f>
        <v>-5.5230706996946488E-2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5">
        <f>+D87-D89</f>
        <v>-44149.61</v>
      </c>
      <c r="E91" s="14"/>
      <c r="F91" s="32">
        <f>IF(D$12=0,0,D91/D$12)</f>
        <v>0</v>
      </c>
      <c r="G91" s="14"/>
      <c r="H91" s="35">
        <f>+H87-H89</f>
        <v>-6549.090000000022</v>
      </c>
      <c r="I91" s="14"/>
      <c r="J91" s="32">
        <f>IF(H$12=0,0,H91/H$12)</f>
        <v>-4.1021529148092588E-2</v>
      </c>
      <c r="K91" s="16"/>
      <c r="L91" s="35">
        <f>D91-H91</f>
        <v>-37600.519999999975</v>
      </c>
      <c r="M91" s="16"/>
      <c r="N91" s="32">
        <f>IF(H91=0,0,L91/H91)</f>
        <v>5.7413350557100067</v>
      </c>
      <c r="O91" s="28"/>
      <c r="P91" s="35">
        <f>+P87-P89</f>
        <v>123799.89000000001</v>
      </c>
      <c r="Q91" s="14"/>
      <c r="R91" s="32">
        <f>IF(P$12=0,0,P91/P$12)</f>
        <v>6.2012176497390277E-2</v>
      </c>
      <c r="S91" s="14"/>
      <c r="T91" s="35">
        <f>+T87-T89</f>
        <v>422451.47000000102</v>
      </c>
      <c r="U91" s="14"/>
      <c r="V91" s="32">
        <f>IF(T$12=0,0,T91/T$12)</f>
        <v>0.17560808415913259</v>
      </c>
      <c r="W91" s="16"/>
      <c r="X91" s="35">
        <f>P91-T91</f>
        <v>-298651.58000000101</v>
      </c>
      <c r="Y91" s="16"/>
      <c r="Z91" s="32">
        <f>IF(T91=0,0,X91/T91)</f>
        <v>-0.70694884787594725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6">
        <f>SUM(D91:D93)</f>
        <v>-44149.61</v>
      </c>
      <c r="E94" s="14"/>
      <c r="F94" s="33">
        <f>IF(D$12=0,0,D94/D$12)</f>
        <v>0</v>
      </c>
      <c r="G94" s="14"/>
      <c r="H94" s="36">
        <f>SUM(H91:H93)</f>
        <v>-6549.090000000022</v>
      </c>
      <c r="I94" s="14"/>
      <c r="J94" s="33">
        <f>IF(H$12=0,0,H94/H$12)</f>
        <v>-4.1021529148092588E-2</v>
      </c>
      <c r="K94" s="16"/>
      <c r="L94" s="36">
        <f>+D94-H94</f>
        <v>-37600.519999999975</v>
      </c>
      <c r="M94" s="16"/>
      <c r="N94" s="33">
        <f>IF(H94=0,0,L94/H94)</f>
        <v>5.7413350557100067</v>
      </c>
      <c r="O94" s="28"/>
      <c r="P94" s="36">
        <f>SUM(P91:P93)</f>
        <v>123799.89000000001</v>
      </c>
      <c r="Q94" s="14"/>
      <c r="R94" s="33">
        <f>IF(P$12=0,0,P94/P$12)</f>
        <v>6.2012176497390277E-2</v>
      </c>
      <c r="S94" s="14"/>
      <c r="T94" s="36">
        <f>SUM(T91:T93)</f>
        <v>422451.47000000102</v>
      </c>
      <c r="U94" s="14"/>
      <c r="V94" s="33">
        <f>IF(T$12=0,0,T94/T$12)</f>
        <v>0.17560808415913259</v>
      </c>
      <c r="W94" s="16"/>
      <c r="X94" s="36">
        <f>+P94-T94</f>
        <v>-298651.58000000101</v>
      </c>
      <c r="Y94" s="16"/>
      <c r="Z94" s="33">
        <f>IF(T94=0,0,X94/T94)</f>
        <v>-0.70694884787594725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5">
        <v>43992.376156516206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2" t="s">
        <v>313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3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296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24412</v>
      </c>
      <c r="E12" s="4"/>
      <c r="F12" s="12"/>
      <c r="G12" s="4"/>
      <c r="H12" s="4">
        <f>SUM(OSRRefH13x_0)</f>
        <v>40486</v>
      </c>
      <c r="I12" s="4"/>
      <c r="J12" s="12"/>
      <c r="K12" s="4"/>
      <c r="L12" s="4">
        <f t="shared" ref="L12:L13" si="0">+D12-H12</f>
        <v>-16074</v>
      </c>
      <c r="M12" s="4"/>
      <c r="N12" s="12">
        <f t="shared" ref="N12:N13" si="1">IF(H12=0,0,L12/H12)</f>
        <v>-0.39702613249024354</v>
      </c>
      <c r="O12" s="10"/>
      <c r="P12" s="4">
        <f>SUM(OSRRefP13x_0)</f>
        <v>429300</v>
      </c>
      <c r="Q12" s="4"/>
      <c r="R12" s="12"/>
      <c r="S12" s="4"/>
      <c r="T12" s="4">
        <f>SUM(OSRRefT13x_0)</f>
        <v>459392</v>
      </c>
      <c r="U12" s="4"/>
      <c r="V12" s="12"/>
      <c r="W12" s="4"/>
      <c r="X12" s="4">
        <f t="shared" ref="X12:X13" si="2">+P12-T12</f>
        <v>-30092</v>
      </c>
      <c r="Y12" s="4"/>
      <c r="Z12" s="12">
        <f t="shared" ref="Z12:Z13" si="3">IF(T12=0,0,X12/T12)</f>
        <v>-6.5503970465310674E-2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--24412</f>
        <v>24412</v>
      </c>
      <c r="E13" s="2"/>
      <c r="F13" s="19"/>
      <c r="G13" s="2"/>
      <c r="H13" s="2">
        <f>--40486</f>
        <v>40486</v>
      </c>
      <c r="I13" s="2"/>
      <c r="J13" s="19"/>
      <c r="K13" s="2"/>
      <c r="L13" s="2">
        <f t="shared" si="0"/>
        <v>-16074</v>
      </c>
      <c r="M13" s="2"/>
      <c r="N13" s="19">
        <f t="shared" si="1"/>
        <v>-0.39702613249024354</v>
      </c>
      <c r="O13" s="11"/>
      <c r="P13" s="2">
        <f>--429300</f>
        <v>429300</v>
      </c>
      <c r="Q13" s="2"/>
      <c r="R13" s="19"/>
      <c r="S13" s="2"/>
      <c r="T13" s="2">
        <f>--459392</f>
        <v>459392</v>
      </c>
      <c r="U13" s="2"/>
      <c r="V13" s="19"/>
      <c r="W13" s="2"/>
      <c r="X13" s="2">
        <f t="shared" si="2"/>
        <v>-30092</v>
      </c>
      <c r="Y13" s="2"/>
      <c r="Z13" s="19">
        <f t="shared" si="3"/>
        <v>-6.5503970465310674E-2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24412</v>
      </c>
      <c r="E17" s="14"/>
      <c r="F17" s="20">
        <f>IF(D$12=0,0,D17/D$12)</f>
        <v>1</v>
      </c>
      <c r="G17" s="14"/>
      <c r="H17" s="21">
        <f>H12-H15</f>
        <v>40486</v>
      </c>
      <c r="I17" s="14"/>
      <c r="J17" s="20">
        <f>IF(H$12=0,0,H17/H$12)</f>
        <v>1</v>
      </c>
      <c r="K17" s="16"/>
      <c r="L17" s="21">
        <f>+D17-H17</f>
        <v>-16074</v>
      </c>
      <c r="M17" s="16"/>
      <c r="N17" s="20">
        <f>IF(H17=0,0,L17/H17)</f>
        <v>-0.39702613249024354</v>
      </c>
      <c r="O17" s="28"/>
      <c r="P17" s="21">
        <f>P12-P15</f>
        <v>429300</v>
      </c>
      <c r="Q17" s="14"/>
      <c r="R17" s="20">
        <f>IF(P$12=0,0,P17/P$12)</f>
        <v>1</v>
      </c>
      <c r="S17" s="14"/>
      <c r="T17" s="21">
        <f>T12-T15</f>
        <v>459392</v>
      </c>
      <c r="U17" s="14"/>
      <c r="V17" s="20">
        <f>IF(T$12=0,0,T17/T$12)</f>
        <v>1</v>
      </c>
      <c r="W17" s="16"/>
      <c r="X17" s="21">
        <f>+P17-T17</f>
        <v>-30092</v>
      </c>
      <c r="Y17" s="16"/>
      <c r="Z17" s="20">
        <f>IF(T17=0,0,X17/T17)</f>
        <v>-6.5503970465310674E-2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19257.369999999995</v>
      </c>
      <c r="E19" s="22"/>
      <c r="F19" s="31">
        <f t="shared" ref="F19:F28" si="4">IF(D$12=0,0,D19/D$12)</f>
        <v>0.7888485171227263</v>
      </c>
      <c r="G19" s="22"/>
      <c r="H19" s="22">
        <f>SUM(OSRRefH22x_0)</f>
        <v>25811.429999999997</v>
      </c>
      <c r="I19" s="22"/>
      <c r="J19" s="31">
        <f t="shared" ref="J19:J28" si="5">IF(H$12=0,0,H19/H$12)</f>
        <v>0.63753964333349789</v>
      </c>
      <c r="K19" s="4"/>
      <c r="L19" s="22">
        <f t="shared" ref="L19:L28" si="6">+D19-H19</f>
        <v>-6554.0600000000013</v>
      </c>
      <c r="M19" s="4"/>
      <c r="N19" s="31">
        <f t="shared" ref="N19:N28" si="7">IF(H19=0,0,L19/H19)</f>
        <v>-0.25392084049585795</v>
      </c>
      <c r="O19" s="10"/>
      <c r="P19" s="22">
        <f>SUM(OSRRefP22x_0)</f>
        <v>403998.49000000005</v>
      </c>
      <c r="Q19" s="22"/>
      <c r="R19" s="31">
        <f t="shared" ref="R19:R28" si="8">IF(P$12=0,0,P19/P$12)</f>
        <v>0.94106333566270683</v>
      </c>
      <c r="S19" s="22"/>
      <c r="T19" s="22">
        <f>SUM(OSRRefT22x_0)</f>
        <v>443235.73000000004</v>
      </c>
      <c r="U19" s="22"/>
      <c r="V19" s="31">
        <f t="shared" ref="V19:V28" si="9">IF(T$12=0,0,T19/T$12)</f>
        <v>0.9648311899205908</v>
      </c>
      <c r="W19" s="4"/>
      <c r="X19" s="22">
        <f t="shared" ref="X19:X28" si="10">+P19-T19</f>
        <v>-39237.239999999991</v>
      </c>
      <c r="Y19" s="4"/>
      <c r="Z19" s="31">
        <f t="shared" ref="Z19:Z28" si="11">IF(T19=0,0,X19/T19)</f>
        <v>-8.8524542008380031E-2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3729.01</v>
      </c>
      <c r="E20" s="1"/>
      <c r="F20" s="5">
        <f t="shared" si="4"/>
        <v>0.15275315418646568</v>
      </c>
      <c r="G20" s="1"/>
      <c r="H20" s="1">
        <f>SUM(OSRRefH22_0x_0)</f>
        <v>4440.09</v>
      </c>
      <c r="I20" s="1"/>
      <c r="J20" s="5">
        <f t="shared" si="5"/>
        <v>0.10966976238699798</v>
      </c>
      <c r="K20" s="1"/>
      <c r="L20" s="1">
        <f t="shared" si="6"/>
        <v>-711.07999999999993</v>
      </c>
      <c r="M20" s="1"/>
      <c r="N20" s="5">
        <f t="shared" si="7"/>
        <v>-0.1601499068712571</v>
      </c>
      <c r="O20" s="13"/>
      <c r="P20" s="1">
        <f>SUM(OSRRefP22_0x_0)</f>
        <v>48770.64</v>
      </c>
      <c r="Q20" s="1"/>
      <c r="R20" s="5">
        <f t="shared" si="8"/>
        <v>0.11360503144654088</v>
      </c>
      <c r="S20" s="1"/>
      <c r="T20" s="1">
        <f>SUM(OSRRefT22_0x_0)</f>
        <v>44898.18</v>
      </c>
      <c r="U20" s="1"/>
      <c r="V20" s="5">
        <f t="shared" si="9"/>
        <v>9.7733917874059634E-2</v>
      </c>
      <c r="W20" s="1"/>
      <c r="X20" s="1">
        <f t="shared" si="10"/>
        <v>3872.4599999999991</v>
      </c>
      <c r="Y20" s="1"/>
      <c r="Z20" s="5">
        <f t="shared" si="11"/>
        <v>8.6249821262242676E-2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918.68</v>
      </c>
      <c r="E21" s="2"/>
      <c r="F21" s="7">
        <f t="shared" si="4"/>
        <v>3.7632311977715875E-2</v>
      </c>
      <c r="G21" s="2"/>
      <c r="H21" s="6">
        <v>1215.3399999999999</v>
      </c>
      <c r="I21" s="2"/>
      <c r="J21" s="7">
        <f t="shared" si="5"/>
        <v>3.0018771921157931E-2</v>
      </c>
      <c r="K21" s="2"/>
      <c r="L21" s="6">
        <f t="shared" si="6"/>
        <v>-296.65999999999997</v>
      </c>
      <c r="M21" s="2"/>
      <c r="N21" s="7">
        <f t="shared" si="7"/>
        <v>-0.2440963022693238</v>
      </c>
      <c r="O21" s="11"/>
      <c r="P21" s="6">
        <v>12066.38</v>
      </c>
      <c r="Q21" s="2"/>
      <c r="R21" s="7">
        <f t="shared" si="8"/>
        <v>2.8107104588865593E-2</v>
      </c>
      <c r="S21" s="2"/>
      <c r="T21" s="6">
        <v>10220.620000000001</v>
      </c>
      <c r="U21" s="2"/>
      <c r="V21" s="7">
        <f t="shared" si="9"/>
        <v>2.2248145374756202E-2</v>
      </c>
      <c r="W21" s="2"/>
      <c r="X21" s="6">
        <f t="shared" si="10"/>
        <v>1845.7599999999984</v>
      </c>
      <c r="Y21" s="2"/>
      <c r="Z21" s="7">
        <f t="shared" si="11"/>
        <v>0.18059178406006662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113.76</v>
      </c>
      <c r="E22" s="2"/>
      <c r="F22" s="7">
        <f t="shared" si="4"/>
        <v>4.6600032770768478E-3</v>
      </c>
      <c r="G22" s="2"/>
      <c r="H22" s="6">
        <v>48.01</v>
      </c>
      <c r="I22" s="2"/>
      <c r="J22" s="7">
        <f t="shared" si="5"/>
        <v>1.1858420194635181E-3</v>
      </c>
      <c r="K22" s="2"/>
      <c r="L22" s="6">
        <f t="shared" si="6"/>
        <v>65.75</v>
      </c>
      <c r="M22" s="2"/>
      <c r="N22" s="7">
        <f t="shared" si="7"/>
        <v>1.3695063528431577</v>
      </c>
      <c r="O22" s="11"/>
      <c r="P22" s="6">
        <v>662.29</v>
      </c>
      <c r="Q22" s="2"/>
      <c r="R22" s="7">
        <f t="shared" si="8"/>
        <v>1.5427207081295132E-3</v>
      </c>
      <c r="S22" s="2"/>
      <c r="T22" s="6">
        <v>543.87</v>
      </c>
      <c r="U22" s="2"/>
      <c r="V22" s="7">
        <f t="shared" si="9"/>
        <v>1.1838908818612426E-3</v>
      </c>
      <c r="W22" s="2"/>
      <c r="X22" s="6">
        <f t="shared" si="10"/>
        <v>118.41999999999996</v>
      </c>
      <c r="Y22" s="2"/>
      <c r="Z22" s="7">
        <f t="shared" si="11"/>
        <v>0.21773585599499873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1285.8599999999999</v>
      </c>
      <c r="E23" s="2"/>
      <c r="F23" s="7">
        <f t="shared" si="4"/>
        <v>5.2673275438309027E-2</v>
      </c>
      <c r="G23" s="2"/>
      <c r="H23" s="6">
        <v>1243.31</v>
      </c>
      <c r="I23" s="2"/>
      <c r="J23" s="7">
        <f t="shared" si="5"/>
        <v>3.0709628019562316E-2</v>
      </c>
      <c r="K23" s="2"/>
      <c r="L23" s="6">
        <f t="shared" si="6"/>
        <v>42.549999999999955</v>
      </c>
      <c r="M23" s="2"/>
      <c r="N23" s="7">
        <f t="shared" si="7"/>
        <v>3.4223162364977321E-2</v>
      </c>
      <c r="O23" s="11"/>
      <c r="P23" s="6">
        <v>13927.73</v>
      </c>
      <c r="Q23" s="2"/>
      <c r="R23" s="7">
        <f t="shared" si="8"/>
        <v>3.2442883764267412E-2</v>
      </c>
      <c r="S23" s="2"/>
      <c r="T23" s="6">
        <v>13542.53</v>
      </c>
      <c r="U23" s="2"/>
      <c r="V23" s="7">
        <f t="shared" si="9"/>
        <v>2.9479246482307049E-2</v>
      </c>
      <c r="W23" s="2"/>
      <c r="X23" s="6">
        <f t="shared" si="10"/>
        <v>385.19999999999891</v>
      </c>
      <c r="Y23" s="2"/>
      <c r="Z23" s="7">
        <f t="shared" si="11"/>
        <v>2.8443725064666563E-2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46.17</v>
      </c>
      <c r="E24" s="2"/>
      <c r="F24" s="7">
        <f t="shared" si="4"/>
        <v>1.8912829755857775E-3</v>
      </c>
      <c r="G24" s="2"/>
      <c r="H24" s="6">
        <v>40.270000000000003</v>
      </c>
      <c r="I24" s="2"/>
      <c r="J24" s="7">
        <f t="shared" si="5"/>
        <v>9.9466482240774599E-4</v>
      </c>
      <c r="K24" s="2"/>
      <c r="L24" s="6">
        <f t="shared" si="6"/>
        <v>5.8999999999999986</v>
      </c>
      <c r="M24" s="2"/>
      <c r="N24" s="7">
        <f t="shared" si="7"/>
        <v>0.14651105040973425</v>
      </c>
      <c r="O24" s="11"/>
      <c r="P24" s="6">
        <v>495.12</v>
      </c>
      <c r="Q24" s="2"/>
      <c r="R24" s="7">
        <f t="shared" si="8"/>
        <v>1.1533193570929421E-3</v>
      </c>
      <c r="S24" s="2"/>
      <c r="T24" s="6">
        <v>495.65</v>
      </c>
      <c r="U24" s="2"/>
      <c r="V24" s="7">
        <f t="shared" si="9"/>
        <v>1.0789260587907494E-3</v>
      </c>
      <c r="W24" s="2"/>
      <c r="X24" s="6">
        <f t="shared" si="10"/>
        <v>-0.52999999999997272</v>
      </c>
      <c r="Y24" s="2"/>
      <c r="Z24" s="7">
        <f t="shared" si="11"/>
        <v>-1.069302935539136E-3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2.2538505652957563E-2</v>
      </c>
      <c r="G25" s="2"/>
      <c r="H25" s="6">
        <v>544.30999999999995</v>
      </c>
      <c r="I25" s="2"/>
      <c r="J25" s="7">
        <f t="shared" si="5"/>
        <v>1.3444400533517758E-2</v>
      </c>
      <c r="K25" s="2"/>
      <c r="L25" s="6">
        <f t="shared" si="6"/>
        <v>5.9000000000000909</v>
      </c>
      <c r="M25" s="2"/>
      <c r="N25" s="7">
        <f t="shared" si="7"/>
        <v>1.0839411364847406E-2</v>
      </c>
      <c r="O25" s="11"/>
      <c r="P25" s="6">
        <v>7759.08</v>
      </c>
      <c r="Q25" s="2"/>
      <c r="R25" s="7">
        <f t="shared" si="8"/>
        <v>1.8073794549266248E-2</v>
      </c>
      <c r="S25" s="2"/>
      <c r="T25" s="6">
        <v>7125.23</v>
      </c>
      <c r="U25" s="2"/>
      <c r="V25" s="7">
        <f t="shared" si="9"/>
        <v>1.551013078155475E-2</v>
      </c>
      <c r="W25" s="2"/>
      <c r="X25" s="6">
        <f t="shared" si="10"/>
        <v>633.85000000000036</v>
      </c>
      <c r="Y25" s="2"/>
      <c r="Z25" s="7">
        <f t="shared" si="11"/>
        <v>8.8958531864936352E-2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484.71</v>
      </c>
      <c r="E26" s="2"/>
      <c r="F26" s="7">
        <f t="shared" si="4"/>
        <v>1.9855398984106175E-2</v>
      </c>
      <c r="G26" s="2"/>
      <c r="H26" s="6">
        <v>801.57</v>
      </c>
      <c r="I26" s="2"/>
      <c r="J26" s="7">
        <f t="shared" si="5"/>
        <v>1.979869584547745E-2</v>
      </c>
      <c r="K26" s="2"/>
      <c r="L26" s="6">
        <f t="shared" si="6"/>
        <v>-316.86000000000007</v>
      </c>
      <c r="M26" s="2"/>
      <c r="N26" s="7">
        <f t="shared" si="7"/>
        <v>-0.3952992252704069</v>
      </c>
      <c r="O26" s="11"/>
      <c r="P26" s="6">
        <v>7948.51</v>
      </c>
      <c r="Q26" s="2"/>
      <c r="R26" s="7">
        <f t="shared" si="8"/>
        <v>1.8515047752154672E-2</v>
      </c>
      <c r="S26" s="2"/>
      <c r="T26" s="6">
        <v>7009.36</v>
      </c>
      <c r="U26" s="2"/>
      <c r="V26" s="7">
        <f t="shared" si="9"/>
        <v>1.5257906101978266E-2</v>
      </c>
      <c r="W26" s="2"/>
      <c r="X26" s="6">
        <f t="shared" si="10"/>
        <v>939.15000000000055</v>
      </c>
      <c r="Y26" s="2"/>
      <c r="Z26" s="7">
        <f t="shared" si="11"/>
        <v>0.13398512845680641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281.62</v>
      </c>
      <c r="E27" s="2"/>
      <c r="F27" s="7">
        <f t="shared" si="4"/>
        <v>1.1536129772243159E-2</v>
      </c>
      <c r="G27" s="2"/>
      <c r="H27" s="6">
        <v>400.24</v>
      </c>
      <c r="I27" s="2"/>
      <c r="J27" s="7">
        <f t="shared" si="5"/>
        <v>9.8858864792767866E-3</v>
      </c>
      <c r="K27" s="2"/>
      <c r="L27" s="6">
        <f t="shared" si="6"/>
        <v>-118.62</v>
      </c>
      <c r="M27" s="2"/>
      <c r="N27" s="7">
        <f t="shared" si="7"/>
        <v>-0.29637217669398364</v>
      </c>
      <c r="O27" s="11"/>
      <c r="P27" s="6">
        <v>4542.84</v>
      </c>
      <c r="Q27" s="2"/>
      <c r="R27" s="7">
        <f t="shared" si="8"/>
        <v>1.0581970649895179E-2</v>
      </c>
      <c r="S27" s="2"/>
      <c r="T27" s="6">
        <v>3809.91</v>
      </c>
      <c r="U27" s="2"/>
      <c r="V27" s="7">
        <f t="shared" si="9"/>
        <v>8.2933747213708546E-3</v>
      </c>
      <c r="W27" s="2"/>
      <c r="X27" s="6">
        <f t="shared" si="10"/>
        <v>732.93000000000029</v>
      </c>
      <c r="Y27" s="2"/>
      <c r="Z27" s="7">
        <f t="shared" si="11"/>
        <v>0.19237462302259117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48</v>
      </c>
      <c r="E28" s="2"/>
      <c r="F28" s="7">
        <f t="shared" si="4"/>
        <v>1.9662461084712438E-3</v>
      </c>
      <c r="G28" s="2"/>
      <c r="H28" s="6">
        <v>147.04</v>
      </c>
      <c r="I28" s="2"/>
      <c r="J28" s="7">
        <f t="shared" si="5"/>
        <v>3.6318727461344662E-3</v>
      </c>
      <c r="K28" s="2"/>
      <c r="L28" s="6">
        <f t="shared" si="6"/>
        <v>-99.039999999999992</v>
      </c>
      <c r="M28" s="2"/>
      <c r="N28" s="7">
        <f t="shared" si="7"/>
        <v>-0.67355821545157779</v>
      </c>
      <c r="O28" s="11"/>
      <c r="P28" s="6">
        <v>1368.69</v>
      </c>
      <c r="Q28" s="2"/>
      <c r="R28" s="7">
        <f t="shared" si="8"/>
        <v>3.1881900768693221E-3</v>
      </c>
      <c r="S28" s="2"/>
      <c r="T28" s="6">
        <v>2151.0100000000002</v>
      </c>
      <c r="U28" s="2"/>
      <c r="V28" s="7">
        <f t="shared" si="9"/>
        <v>4.6822974714405136E-3</v>
      </c>
      <c r="W28" s="2"/>
      <c r="X28" s="6">
        <f t="shared" si="10"/>
        <v>-782.32000000000016</v>
      </c>
      <c r="Y28" s="2"/>
      <c r="Z28" s="7">
        <f t="shared" si="11"/>
        <v>-0.36369891353364237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11619.55</v>
      </c>
      <c r="E29" s="1"/>
      <c r="F29" s="5">
        <f t="shared" ref="F29:F35" si="12">IF(D$12=0,0,D29/D$12)</f>
        <v>0.47597697853514664</v>
      </c>
      <c r="G29" s="1"/>
      <c r="H29" s="1">
        <f>SUM(OSRRefH22_1x_0)</f>
        <v>17369.48</v>
      </c>
      <c r="I29" s="1"/>
      <c r="J29" s="5">
        <f t="shared" ref="J29:J35" si="13">IF(H$12=0,0,H29/H$12)</f>
        <v>0.42902435409771278</v>
      </c>
      <c r="K29" s="1"/>
      <c r="L29" s="1">
        <f t="shared" ref="L29:L35" si="14">+D29-H29</f>
        <v>-5749.93</v>
      </c>
      <c r="M29" s="1"/>
      <c r="N29" s="5">
        <f t="shared" ref="N29:N35" si="15">IF(H29=0,0,L29/H29)</f>
        <v>-0.33103639256903489</v>
      </c>
      <c r="O29" s="13"/>
      <c r="P29" s="1">
        <f>SUM(OSRRefP22_1x_0)</f>
        <v>177189.44999999998</v>
      </c>
      <c r="Q29" s="1"/>
      <c r="R29" s="5">
        <f t="shared" ref="R29:R35" si="16">IF(P$12=0,0,P29/P$12)</f>
        <v>0.41274039133473089</v>
      </c>
      <c r="S29" s="1"/>
      <c r="T29" s="1">
        <f>SUM(OSRRefT22_1x_0)</f>
        <v>176188.69000000003</v>
      </c>
      <c r="U29" s="1"/>
      <c r="V29" s="5">
        <f t="shared" ref="V29:V35" si="17">IF(T$12=0,0,T29/T$12)</f>
        <v>0.3835258123780998</v>
      </c>
      <c r="W29" s="1"/>
      <c r="X29" s="1">
        <f t="shared" ref="X29:X35" si="18">+P29-T29</f>
        <v>1000.7599999999511</v>
      </c>
      <c r="Y29" s="1"/>
      <c r="Z29" s="5">
        <f t="shared" ref="Z29:Z35" si="19">IF(T29=0,0,X29/T29)</f>
        <v>5.6800467725820021E-3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5649.22</v>
      </c>
      <c r="E30" s="2"/>
      <c r="F30" s="7">
        <f t="shared" si="12"/>
        <v>0.23141160085203999</v>
      </c>
      <c r="G30" s="2"/>
      <c r="H30" s="6">
        <v>5785.17</v>
      </c>
      <c r="I30" s="2"/>
      <c r="J30" s="7">
        <f t="shared" si="13"/>
        <v>0.14289309884898482</v>
      </c>
      <c r="K30" s="2"/>
      <c r="L30" s="6">
        <f t="shared" si="14"/>
        <v>-135.94999999999982</v>
      </c>
      <c r="M30" s="2"/>
      <c r="N30" s="7">
        <f t="shared" si="15"/>
        <v>-2.3499741580627675E-2</v>
      </c>
      <c r="O30" s="11"/>
      <c r="P30" s="6">
        <v>64280.81</v>
      </c>
      <c r="Q30" s="2"/>
      <c r="R30" s="7">
        <f t="shared" si="16"/>
        <v>0.14973400885161892</v>
      </c>
      <c r="S30" s="2"/>
      <c r="T30" s="6">
        <v>63055.810000000005</v>
      </c>
      <c r="U30" s="2"/>
      <c r="V30" s="7">
        <f t="shared" si="17"/>
        <v>0.13725926877263864</v>
      </c>
      <c r="W30" s="2"/>
      <c r="X30" s="6">
        <f t="shared" si="18"/>
        <v>1224.9999999999927</v>
      </c>
      <c r="Y30" s="2"/>
      <c r="Z30" s="7">
        <f t="shared" si="19"/>
        <v>1.9427234381732512E-2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2.4077476316522708E-2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5970.33</v>
      </c>
      <c r="E32" s="2"/>
      <c r="F32" s="7">
        <f t="shared" si="12"/>
        <v>0.24456537768310666</v>
      </c>
      <c r="G32" s="2"/>
      <c r="H32" s="6">
        <v>3451.45</v>
      </c>
      <c r="I32" s="2"/>
      <c r="J32" s="7">
        <f t="shared" si="13"/>
        <v>8.5250456948080811E-2</v>
      </c>
      <c r="K32" s="2"/>
      <c r="L32" s="6">
        <f t="shared" si="14"/>
        <v>2518.88</v>
      </c>
      <c r="M32" s="2"/>
      <c r="N32" s="7">
        <f t="shared" si="15"/>
        <v>0.72980341595561293</v>
      </c>
      <c r="O32" s="11"/>
      <c r="P32" s="6">
        <v>81200.490000000005</v>
      </c>
      <c r="Q32" s="2"/>
      <c r="R32" s="7">
        <f t="shared" si="16"/>
        <v>0.18914626135569532</v>
      </c>
      <c r="S32" s="2"/>
      <c r="T32" s="6">
        <v>37107.19</v>
      </c>
      <c r="U32" s="2"/>
      <c r="V32" s="7">
        <f t="shared" si="17"/>
        <v>8.077456725410978E-2</v>
      </c>
      <c r="W32" s="2"/>
      <c r="X32" s="6">
        <f t="shared" si="18"/>
        <v>44093.3</v>
      </c>
      <c r="Y32" s="2"/>
      <c r="Z32" s="7">
        <f t="shared" si="19"/>
        <v>1.1882683652413455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2063.91</v>
      </c>
      <c r="I33" s="2"/>
      <c r="J33" s="7">
        <f t="shared" si="13"/>
        <v>5.0978362890875852E-2</v>
      </c>
      <c r="K33" s="2"/>
      <c r="L33" s="6">
        <f t="shared" si="14"/>
        <v>-2063.91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10512.57</v>
      </c>
      <c r="U33" s="2"/>
      <c r="V33" s="7">
        <f t="shared" si="17"/>
        <v>2.2883659271384787E-2</v>
      </c>
      <c r="W33" s="2"/>
      <c r="X33" s="6">
        <f t="shared" si="18"/>
        <v>-10512.57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12"/>
        <v>0</v>
      </c>
      <c r="G34" s="2"/>
      <c r="H34" s="6">
        <v>5275.26</v>
      </c>
      <c r="I34" s="2"/>
      <c r="J34" s="7">
        <f t="shared" si="13"/>
        <v>0.13029837474682607</v>
      </c>
      <c r="K34" s="2"/>
      <c r="L34" s="6">
        <f t="shared" si="14"/>
        <v>-5275.26</v>
      </c>
      <c r="M34" s="2"/>
      <c r="N34" s="7">
        <f t="shared" si="15"/>
        <v>-1</v>
      </c>
      <c r="O34" s="11"/>
      <c r="P34" s="6">
        <v>25787.41</v>
      </c>
      <c r="Q34" s="2"/>
      <c r="R34" s="7">
        <f t="shared" si="16"/>
        <v>6.0068506871651522E-2</v>
      </c>
      <c r="S34" s="2"/>
      <c r="T34" s="6">
        <v>50923.58</v>
      </c>
      <c r="U34" s="2"/>
      <c r="V34" s="7">
        <f t="shared" si="17"/>
        <v>0.11084994949846755</v>
      </c>
      <c r="W34" s="2"/>
      <c r="X34" s="6">
        <f t="shared" si="18"/>
        <v>-25136.170000000002</v>
      </c>
      <c r="Y34" s="2"/>
      <c r="Z34" s="7">
        <f t="shared" si="19"/>
        <v>-0.49360571271697712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12"/>
        <v>0</v>
      </c>
      <c r="G35" s="2"/>
      <c r="H35" s="6">
        <v>793.69</v>
      </c>
      <c r="I35" s="2"/>
      <c r="J35" s="7">
        <f t="shared" si="13"/>
        <v>1.9604060662945216E-2</v>
      </c>
      <c r="K35" s="2"/>
      <c r="L35" s="6">
        <f t="shared" si="14"/>
        <v>-793.69</v>
      </c>
      <c r="M35" s="2"/>
      <c r="N35" s="7">
        <f t="shared" si="15"/>
        <v>-1</v>
      </c>
      <c r="O35" s="11"/>
      <c r="P35" s="6">
        <v>5920.74</v>
      </c>
      <c r="Q35" s="2"/>
      <c r="R35" s="7">
        <f t="shared" si="16"/>
        <v>1.3791614255765198E-2</v>
      </c>
      <c r="S35" s="2"/>
      <c r="T35" s="6">
        <v>3528.54</v>
      </c>
      <c r="U35" s="2"/>
      <c r="V35" s="7">
        <f t="shared" si="17"/>
        <v>7.6808912649763165E-3</v>
      </c>
      <c r="W35" s="2"/>
      <c r="X35" s="6">
        <f t="shared" si="18"/>
        <v>2392.1999999999998</v>
      </c>
      <c r="Y35" s="2"/>
      <c r="Z35" s="7">
        <f t="shared" si="19"/>
        <v>0.67795745549150632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1911.81</v>
      </c>
      <c r="E36" s="1"/>
      <c r="F36" s="5">
        <f t="shared" ref="F36:F44" si="20">IF(D$12=0,0,D36/D$12)</f>
        <v>7.8314353596591835E-2</v>
      </c>
      <c r="G36" s="1"/>
      <c r="H36" s="1">
        <f>SUM(OSRRefH22_2x_0)</f>
        <v>82.5</v>
      </c>
      <c r="I36" s="1"/>
      <c r="J36" s="5">
        <f t="shared" ref="J36:J44" si="21">IF(H$12=0,0,H36/H$12)</f>
        <v>2.0377414414859459E-3</v>
      </c>
      <c r="K36" s="1"/>
      <c r="L36" s="1">
        <f t="shared" ref="L36:L44" si="22">+D36-H36</f>
        <v>1829.31</v>
      </c>
      <c r="M36" s="1"/>
      <c r="N36" s="5">
        <f t="shared" ref="N36:N44" si="23">IF(H36=0,0,L36/H36)</f>
        <v>22.173454545454543</v>
      </c>
      <c r="O36" s="13"/>
      <c r="P36" s="1">
        <f>SUM(OSRRefP22_2x_0)</f>
        <v>2066.92</v>
      </c>
      <c r="Q36" s="1"/>
      <c r="R36" s="5">
        <f t="shared" ref="R36:R44" si="24">IF(P$12=0,0,P36/P$12)</f>
        <v>4.8146284649429301E-3</v>
      </c>
      <c r="S36" s="1"/>
      <c r="T36" s="1">
        <f>SUM(OSRRefT22_2x_0)</f>
        <v>3171.09</v>
      </c>
      <c r="U36" s="1"/>
      <c r="V36" s="5">
        <f t="shared" ref="V36:V44" si="25">IF(T$12=0,0,T36/T$12)</f>
        <v>6.902797610755085E-3</v>
      </c>
      <c r="W36" s="1"/>
      <c r="X36" s="1">
        <f t="shared" ref="X36:X44" si="26">+P36-T36</f>
        <v>-1104.17</v>
      </c>
      <c r="Y36" s="1"/>
      <c r="Z36" s="5">
        <f t="shared" ref="Z36:Z44" si="27">IF(T36=0,0,X36/T36)</f>
        <v>-0.34819888429530543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1911.81</v>
      </c>
      <c r="E37" s="2"/>
      <c r="F37" s="7">
        <f t="shared" si="20"/>
        <v>7.8314353596591835E-2</v>
      </c>
      <c r="G37" s="2"/>
      <c r="H37" s="6">
        <v>82.5</v>
      </c>
      <c r="I37" s="2"/>
      <c r="J37" s="7">
        <f t="shared" si="21"/>
        <v>2.0377414414859459E-3</v>
      </c>
      <c r="K37" s="2"/>
      <c r="L37" s="6">
        <f t="shared" si="22"/>
        <v>1829.31</v>
      </c>
      <c r="M37" s="2"/>
      <c r="N37" s="7">
        <f t="shared" si="23"/>
        <v>22.173454545454543</v>
      </c>
      <c r="O37" s="11"/>
      <c r="P37" s="6">
        <v>2066.92</v>
      </c>
      <c r="Q37" s="2"/>
      <c r="R37" s="7">
        <f t="shared" si="24"/>
        <v>4.8146284649429301E-3</v>
      </c>
      <c r="S37" s="2"/>
      <c r="T37" s="6">
        <v>3171.09</v>
      </c>
      <c r="U37" s="2"/>
      <c r="V37" s="7">
        <f t="shared" si="25"/>
        <v>6.902797610755085E-3</v>
      </c>
      <c r="W37" s="2"/>
      <c r="X37" s="6">
        <f t="shared" si="26"/>
        <v>-1104.17</v>
      </c>
      <c r="Y37" s="2"/>
      <c r="Z37" s="7">
        <f t="shared" si="27"/>
        <v>-0.34819888429530543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43.26</v>
      </c>
      <c r="E38" s="1"/>
      <c r="F38" s="5">
        <f t="shared" si="20"/>
        <v>1.7720793052597083E-3</v>
      </c>
      <c r="G38" s="1"/>
      <c r="H38" s="1">
        <f>SUM(OSRRefH22_3x_0)</f>
        <v>1826.07</v>
      </c>
      <c r="I38" s="1"/>
      <c r="J38" s="5">
        <f t="shared" si="21"/>
        <v>4.5103739564293831E-2</v>
      </c>
      <c r="K38" s="1"/>
      <c r="L38" s="1">
        <f t="shared" si="22"/>
        <v>-1782.81</v>
      </c>
      <c r="M38" s="1"/>
      <c r="N38" s="5">
        <f t="shared" si="23"/>
        <v>-0.97630978001938595</v>
      </c>
      <c r="O38" s="13"/>
      <c r="P38" s="1">
        <f>SUM(OSRRefP22_3x_0)</f>
        <v>17833.88</v>
      </c>
      <c r="Q38" s="1"/>
      <c r="R38" s="5">
        <f t="shared" si="24"/>
        <v>4.1541765665036111E-2</v>
      </c>
      <c r="S38" s="1"/>
      <c r="T38" s="1">
        <f>SUM(OSRRefT22_3x_0)</f>
        <v>22338.05</v>
      </c>
      <c r="U38" s="1"/>
      <c r="V38" s="5">
        <f t="shared" si="25"/>
        <v>4.8625248154081917E-2</v>
      </c>
      <c r="W38" s="1"/>
      <c r="X38" s="1">
        <f t="shared" si="26"/>
        <v>-4504.1699999999983</v>
      </c>
      <c r="Y38" s="1"/>
      <c r="Z38" s="5">
        <f t="shared" si="27"/>
        <v>-0.20163666927059426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43.26</v>
      </c>
      <c r="E39" s="2"/>
      <c r="F39" s="7">
        <f t="shared" si="20"/>
        <v>1.7720793052597083E-3</v>
      </c>
      <c r="G39" s="2"/>
      <c r="H39" s="6">
        <v>1826.07</v>
      </c>
      <c r="I39" s="2"/>
      <c r="J39" s="7">
        <f t="shared" si="21"/>
        <v>4.5103739564293831E-2</v>
      </c>
      <c r="K39" s="2"/>
      <c r="L39" s="6">
        <f t="shared" si="22"/>
        <v>-1782.81</v>
      </c>
      <c r="M39" s="2"/>
      <c r="N39" s="7">
        <f t="shared" si="23"/>
        <v>-0.97630978001938595</v>
      </c>
      <c r="O39" s="11"/>
      <c r="P39" s="6">
        <v>17833.88</v>
      </c>
      <c r="Q39" s="2"/>
      <c r="R39" s="7">
        <f t="shared" si="24"/>
        <v>4.1541765665036111E-2</v>
      </c>
      <c r="S39" s="2"/>
      <c r="T39" s="6">
        <v>22338.05</v>
      </c>
      <c r="U39" s="2"/>
      <c r="V39" s="7">
        <f t="shared" si="25"/>
        <v>4.8625248154081917E-2</v>
      </c>
      <c r="W39" s="2"/>
      <c r="X39" s="6">
        <f t="shared" si="26"/>
        <v>-4504.1699999999983</v>
      </c>
      <c r="Y39" s="2"/>
      <c r="Z39" s="7">
        <f t="shared" si="27"/>
        <v>-0.20163666927059426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1.4963894712322385E-4</v>
      </c>
      <c r="S40" s="1"/>
      <c r="T40" s="1">
        <f>SUM(OSRRefT22_4x_0)</f>
        <v>92.16</v>
      </c>
      <c r="U40" s="1"/>
      <c r="V40" s="5">
        <f t="shared" si="25"/>
        <v>2.0061298411813876E-4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1.4963894712322385E-4</v>
      </c>
      <c r="S41" s="2"/>
      <c r="T41" s="6">
        <v>92.16</v>
      </c>
      <c r="U41" s="2"/>
      <c r="V41" s="7">
        <f t="shared" si="25"/>
        <v>2.0061298411813876E-4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2.2248972555029257E-4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54.57</v>
      </c>
      <c r="U43" s="2"/>
      <c r="V43" s="7">
        <f t="shared" si="25"/>
        <v>1.1878744079130677E-4</v>
      </c>
      <c r="W43" s="2"/>
      <c r="X43" s="6">
        <f t="shared" si="26"/>
        <v>-54.57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1.0370228475898579E-4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1.1027253668763104E-4</v>
      </c>
      <c r="S45" s="1"/>
      <c r="T45" s="1">
        <f>SUM(OSRRefT22_6x_0)</f>
        <v>661</v>
      </c>
      <c r="U45" s="1"/>
      <c r="V45" s="5">
        <f t="shared" ref="V45:V56" si="33">IF(T$12=0,0,T45/T$12)</f>
        <v>1.4388583170799666E-3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1.1027253668763104E-4</v>
      </c>
      <c r="S46" s="2"/>
      <c r="T46" s="6">
        <v>661</v>
      </c>
      <c r="U46" s="2"/>
      <c r="V46" s="7">
        <f t="shared" si="33"/>
        <v>1.4388583170799666E-3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1.1883499918073079E-3</v>
      </c>
      <c r="G47" s="1"/>
      <c r="H47" s="1">
        <f>SUM(OSRRefH22_7x_0)</f>
        <v>27.33</v>
      </c>
      <c r="I47" s="1"/>
      <c r="J47" s="5">
        <f t="shared" si="29"/>
        <v>6.7504816479770785E-4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319.11</v>
      </c>
      <c r="Q47" s="1"/>
      <c r="R47" s="5">
        <f t="shared" si="32"/>
        <v>7.4332634521313769E-4</v>
      </c>
      <c r="S47" s="1"/>
      <c r="T47" s="1">
        <f>SUM(OSRRefT22_7x_0)</f>
        <v>251.86</v>
      </c>
      <c r="U47" s="1"/>
      <c r="V47" s="5">
        <f t="shared" si="33"/>
        <v>5.4824637782112016E-4</v>
      </c>
      <c r="W47" s="1"/>
      <c r="X47" s="1">
        <f t="shared" si="34"/>
        <v>67.25</v>
      </c>
      <c r="Y47" s="1"/>
      <c r="Z47" s="5">
        <f t="shared" si="35"/>
        <v>0.26701342015405383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1.1883499918073079E-3</v>
      </c>
      <c r="G48" s="2"/>
      <c r="H48" s="6">
        <v>27.33</v>
      </c>
      <c r="I48" s="2"/>
      <c r="J48" s="7">
        <f t="shared" si="29"/>
        <v>6.7504816479770785E-4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319.11</v>
      </c>
      <c r="Q48" s="2"/>
      <c r="R48" s="7">
        <f t="shared" si="32"/>
        <v>7.4332634521313769E-4</v>
      </c>
      <c r="S48" s="2"/>
      <c r="T48" s="6">
        <v>251.86</v>
      </c>
      <c r="U48" s="2"/>
      <c r="V48" s="7">
        <f t="shared" si="33"/>
        <v>5.4824637782112016E-4</v>
      </c>
      <c r="W48" s="2"/>
      <c r="X48" s="6">
        <f t="shared" si="34"/>
        <v>67.25</v>
      </c>
      <c r="Y48" s="2"/>
      <c r="Z48" s="7">
        <f t="shared" si="35"/>
        <v>0.26701342015405383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3.6570075229869045E-3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3.6570075229869045E-3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7" customFormat="1" outlineLevel="1" collapsed="1" x14ac:dyDescent="0.25">
      <c r="A51" s="25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3.2770768474520727E-2</v>
      </c>
      <c r="G51" s="1"/>
      <c r="H51" s="1">
        <f>SUM(OSRRefH22_9x_0)</f>
        <v>800</v>
      </c>
      <c r="I51" s="1"/>
      <c r="J51" s="5">
        <f t="shared" si="29"/>
        <v>1.9759917008348563E-2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7200</v>
      </c>
      <c r="Q51" s="1"/>
      <c r="R51" s="5">
        <f t="shared" si="32"/>
        <v>1.6771488469601678E-2</v>
      </c>
      <c r="S51" s="1"/>
      <c r="T51" s="1">
        <f>SUM(OSRRefT22_9x_0)</f>
        <v>8000</v>
      </c>
      <c r="U51" s="1"/>
      <c r="V51" s="5">
        <f t="shared" si="33"/>
        <v>1.7414321538032879E-2</v>
      </c>
      <c r="W51" s="1"/>
      <c r="X51" s="1">
        <f t="shared" si="34"/>
        <v>-800</v>
      </c>
      <c r="Y51" s="1"/>
      <c r="Z51" s="5">
        <f t="shared" si="35"/>
        <v>-0.1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3.2770768474520727E-2</v>
      </c>
      <c r="G52" s="2"/>
      <c r="H52" s="6">
        <v>800</v>
      </c>
      <c r="I52" s="2"/>
      <c r="J52" s="7">
        <f t="shared" si="29"/>
        <v>1.9759917008348563E-2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7200</v>
      </c>
      <c r="Q52" s="2"/>
      <c r="R52" s="7">
        <f t="shared" si="32"/>
        <v>1.6771488469601678E-2</v>
      </c>
      <c r="S52" s="2"/>
      <c r="T52" s="6">
        <v>8000</v>
      </c>
      <c r="U52" s="2"/>
      <c r="V52" s="7">
        <f t="shared" si="33"/>
        <v>1.7414321538032879E-2</v>
      </c>
      <c r="W52" s="2"/>
      <c r="X52" s="6">
        <f t="shared" si="34"/>
        <v>-800</v>
      </c>
      <c r="Y52" s="2"/>
      <c r="Z52" s="7">
        <f t="shared" si="35"/>
        <v>-0.1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SUM(OSRRefP22_10x_0)</f>
        <v>118520.76</v>
      </c>
      <c r="Q53" s="1"/>
      <c r="R53" s="5">
        <f t="shared" si="32"/>
        <v>0.27607910552061493</v>
      </c>
      <c r="S53" s="1"/>
      <c r="T53" s="1">
        <f>SUM(OSRRefT22_10x_0)</f>
        <v>116031.56</v>
      </c>
      <c r="U53" s="1"/>
      <c r="V53" s="5">
        <f t="shared" si="33"/>
        <v>0.25257636179994425</v>
      </c>
      <c r="W53" s="1"/>
      <c r="X53" s="1">
        <f t="shared" si="34"/>
        <v>2489.1999999999971</v>
      </c>
      <c r="Y53" s="1"/>
      <c r="Z53" s="5">
        <f t="shared" si="35"/>
        <v>2.1452784052890413E-2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1.0186582809224318E-3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117094</v>
      </c>
      <c r="Q55" s="2"/>
      <c r="R55" s="7">
        <f t="shared" si="32"/>
        <v>0.27275564873049152</v>
      </c>
      <c r="S55" s="2"/>
      <c r="T55" s="6">
        <v>115431.56</v>
      </c>
      <c r="U55" s="2"/>
      <c r="V55" s="7">
        <f t="shared" si="33"/>
        <v>0.25127028768459181</v>
      </c>
      <c r="W55" s="2"/>
      <c r="X55" s="6">
        <f t="shared" si="34"/>
        <v>1662.4400000000023</v>
      </c>
      <c r="Y55" s="2"/>
      <c r="Z55" s="7">
        <f t="shared" si="35"/>
        <v>1.4401953850402804E-2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989.45</v>
      </c>
      <c r="Q56" s="2"/>
      <c r="R56" s="7">
        <f t="shared" si="32"/>
        <v>2.3047985092010249E-3</v>
      </c>
      <c r="S56" s="2"/>
      <c r="T56" s="6">
        <v>600</v>
      </c>
      <c r="U56" s="2"/>
      <c r="V56" s="7">
        <f t="shared" si="33"/>
        <v>1.3060741153524658E-3</v>
      </c>
      <c r="W56" s="2"/>
      <c r="X56" s="6">
        <f t="shared" si="34"/>
        <v>389.45000000000005</v>
      </c>
      <c r="Y56" s="2"/>
      <c r="Z56" s="7">
        <f t="shared" si="35"/>
        <v>0.64908333333333346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915</v>
      </c>
      <c r="E57" s="1"/>
      <c r="F57" s="5">
        <f t="shared" ref="F57:F63" si="36">IF(D$12=0,0,D57/D$12)</f>
        <v>3.748156644273308E-2</v>
      </c>
      <c r="G57" s="1"/>
      <c r="H57" s="1">
        <f>SUM(OSRRefH22_11x_0)</f>
        <v>915</v>
      </c>
      <c r="I57" s="1"/>
      <c r="J57" s="5">
        <f t="shared" ref="J57:J63" si="37">IF(H$12=0,0,H57/H$12)</f>
        <v>2.260040507829867E-2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1740</v>
      </c>
      <c r="Q57" s="1"/>
      <c r="R57" s="5">
        <f t="shared" ref="R57:R63" si="40">IF(P$12=0,0,P57/P$12)</f>
        <v>4.0531097134870716E-3</v>
      </c>
      <c r="S57" s="1"/>
      <c r="T57" s="1">
        <f>SUM(OSRRefT22_11x_0)</f>
        <v>915</v>
      </c>
      <c r="U57" s="1"/>
      <c r="V57" s="5">
        <f t="shared" ref="V57:V63" si="41">IF(T$12=0,0,T57/T$12)</f>
        <v>1.9917630259125105E-3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0.90163934426229508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>
        <v>915</v>
      </c>
      <c r="E58" s="2"/>
      <c r="F58" s="7">
        <f t="shared" si="36"/>
        <v>3.748156644273308E-2</v>
      </c>
      <c r="G58" s="2"/>
      <c r="H58" s="6">
        <v>915</v>
      </c>
      <c r="I58" s="2"/>
      <c r="J58" s="7">
        <f t="shared" si="37"/>
        <v>2.260040507829867E-2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1740</v>
      </c>
      <c r="Q58" s="2"/>
      <c r="R58" s="7">
        <f t="shared" si="40"/>
        <v>4.0531097134870716E-3</v>
      </c>
      <c r="S58" s="2"/>
      <c r="T58" s="6">
        <v>915</v>
      </c>
      <c r="U58" s="2"/>
      <c r="V58" s="7">
        <f t="shared" si="41"/>
        <v>1.9917630259125105E-3</v>
      </c>
      <c r="W58" s="2"/>
      <c r="X58" s="6">
        <f t="shared" si="42"/>
        <v>825</v>
      </c>
      <c r="Y58" s="2"/>
      <c r="Z58" s="7">
        <f t="shared" si="43"/>
        <v>0.90163934426229508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5.78</v>
      </c>
      <c r="E59" s="1"/>
      <c r="F59" s="5">
        <f t="shared" si="36"/>
        <v>2.3676880222841227E-4</v>
      </c>
      <c r="G59" s="1"/>
      <c r="H59" s="1">
        <f>SUM(OSRRefH22_12x_0)</f>
        <v>17.59</v>
      </c>
      <c r="I59" s="1"/>
      <c r="J59" s="5">
        <f t="shared" si="37"/>
        <v>4.3447117522106408E-4</v>
      </c>
      <c r="K59" s="1"/>
      <c r="L59" s="1">
        <f t="shared" si="38"/>
        <v>-11.809999999999999</v>
      </c>
      <c r="M59" s="1"/>
      <c r="N59" s="5">
        <f t="shared" si="39"/>
        <v>-0.67140420693575886</v>
      </c>
      <c r="O59" s="13"/>
      <c r="P59" s="1">
        <f>SUM(OSRRefP22_12x_0)</f>
        <v>24962.36</v>
      </c>
      <c r="Q59" s="1"/>
      <c r="R59" s="5">
        <f t="shared" si="40"/>
        <v>5.8146657349173077E-2</v>
      </c>
      <c r="S59" s="1"/>
      <c r="T59" s="1">
        <f>SUM(OSRRefT22_12x_0)</f>
        <v>60386.79</v>
      </c>
      <c r="U59" s="1"/>
      <c r="V59" s="5">
        <f t="shared" si="41"/>
        <v>0.13144937221370856</v>
      </c>
      <c r="W59" s="1"/>
      <c r="X59" s="1">
        <f t="shared" si="42"/>
        <v>-35424.43</v>
      </c>
      <c r="Y59" s="1"/>
      <c r="Z59" s="5">
        <f t="shared" si="43"/>
        <v>-0.58662548547455495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413.27</v>
      </c>
      <c r="Q60" s="2"/>
      <c r="R60" s="7">
        <f t="shared" si="40"/>
        <v>9.6266014442115066E-4</v>
      </c>
      <c r="S60" s="2"/>
      <c r="T60" s="6"/>
      <c r="U60" s="2"/>
      <c r="V60" s="7">
        <f t="shared" si="41"/>
        <v>0</v>
      </c>
      <c r="W60" s="2"/>
      <c r="X60" s="6">
        <f t="shared" si="42"/>
        <v>413.27</v>
      </c>
      <c r="Y60" s="2"/>
      <c r="Z60" s="7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5.78</v>
      </c>
      <c r="E61" s="2"/>
      <c r="F61" s="7">
        <f t="shared" si="36"/>
        <v>2.3676880222841227E-4</v>
      </c>
      <c r="G61" s="2"/>
      <c r="H61" s="6">
        <v>17.59</v>
      </c>
      <c r="I61" s="2"/>
      <c r="J61" s="7">
        <f t="shared" si="37"/>
        <v>4.3447117522106408E-4</v>
      </c>
      <c r="K61" s="2"/>
      <c r="L61" s="6">
        <f t="shared" si="38"/>
        <v>-11.809999999999999</v>
      </c>
      <c r="M61" s="2"/>
      <c r="N61" s="7">
        <f t="shared" si="39"/>
        <v>-0.67140420693575886</v>
      </c>
      <c r="O61" s="11"/>
      <c r="P61" s="6">
        <v>24345.57</v>
      </c>
      <c r="Q61" s="2"/>
      <c r="R61" s="7">
        <f t="shared" si="40"/>
        <v>5.6709923130677846E-2</v>
      </c>
      <c r="S61" s="2"/>
      <c r="T61" s="6">
        <v>59231.369999999995</v>
      </c>
      <c r="U61" s="2"/>
      <c r="V61" s="7">
        <f t="shared" si="41"/>
        <v>0.12893426528977431</v>
      </c>
      <c r="W61" s="2"/>
      <c r="X61" s="6">
        <f t="shared" si="42"/>
        <v>-34885.799999999996</v>
      </c>
      <c r="Y61" s="2"/>
      <c r="Z61" s="7">
        <f t="shared" si="43"/>
        <v>-0.58897506507109321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203.52</v>
      </c>
      <c r="Q62" s="2"/>
      <c r="R62" s="7">
        <f t="shared" si="40"/>
        <v>4.7407407407407408E-4</v>
      </c>
      <c r="S62" s="2"/>
      <c r="T62" s="6">
        <v>1100.3</v>
      </c>
      <c r="U62" s="2"/>
      <c r="V62" s="7">
        <f t="shared" si="41"/>
        <v>2.3951222485371969E-3</v>
      </c>
      <c r="W62" s="2"/>
      <c r="X62" s="6">
        <f t="shared" si="42"/>
        <v>-896.78</v>
      </c>
      <c r="Y62" s="2"/>
      <c r="Z62" s="7">
        <f t="shared" si="43"/>
        <v>-0.81503226392801964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/>
      <c r="Q63" s="2"/>
      <c r="R63" s="7">
        <f t="shared" si="40"/>
        <v>0</v>
      </c>
      <c r="S63" s="2"/>
      <c r="T63" s="6">
        <v>55.12</v>
      </c>
      <c r="U63" s="2"/>
      <c r="V63" s="7">
        <f t="shared" si="41"/>
        <v>1.1998467539704653E-4</v>
      </c>
      <c r="W63" s="2"/>
      <c r="X63" s="6">
        <f t="shared" si="42"/>
        <v>-55.12</v>
      </c>
      <c r="Y63" s="2"/>
      <c r="Z63" s="7">
        <f t="shared" si="43"/>
        <v>-1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203.95</v>
      </c>
      <c r="E64" s="1"/>
      <c r="F64" s="5">
        <f t="shared" ref="F64:F67" si="44">IF(D$12=0,0,D64/D$12)</f>
        <v>8.3544977879731266E-3</v>
      </c>
      <c r="G64" s="1"/>
      <c r="H64" s="1">
        <f>SUM(OSRRefH22_13x_0)</f>
        <v>333.37</v>
      </c>
      <c r="I64" s="1"/>
      <c r="J64" s="5">
        <f t="shared" ref="J64:J67" si="45">IF(H$12=0,0,H64/H$12)</f>
        <v>8.2342044163414511E-3</v>
      </c>
      <c r="K64" s="1"/>
      <c r="L64" s="1">
        <f t="shared" ref="L64:L67" si="46">+D64-H64</f>
        <v>-129.42000000000002</v>
      </c>
      <c r="M64" s="1"/>
      <c r="N64" s="5">
        <f t="shared" ref="N64:N67" si="47">IF(H64=0,0,L64/H64)</f>
        <v>-0.38821729609742933</v>
      </c>
      <c r="O64" s="13"/>
      <c r="P64" s="1">
        <f>SUM(OSRRefP22_13x_0)</f>
        <v>2097.5500000000002</v>
      </c>
      <c r="Q64" s="1"/>
      <c r="R64" s="5">
        <f t="shared" ref="R64:R67" si="48">IF(P$12=0,0,P64/P$12)</f>
        <v>4.8859771721406946E-3</v>
      </c>
      <c r="S64" s="1"/>
      <c r="T64" s="1">
        <f>SUM(OSRRefT22_13x_0)</f>
        <v>3927.94</v>
      </c>
      <c r="U64" s="1"/>
      <c r="V64" s="5">
        <f t="shared" ref="V64:V67" si="49">IF(T$12=0,0,T64/T$12)</f>
        <v>8.5503012677626087E-3</v>
      </c>
      <c r="W64" s="1"/>
      <c r="X64" s="1">
        <f t="shared" ref="X64:X67" si="50">+P64-T64</f>
        <v>-1830.3899999999999</v>
      </c>
      <c r="Y64" s="1"/>
      <c r="Z64" s="5">
        <f t="shared" ref="Z64:Z67" si="51">IF(T64=0,0,X64/T64)</f>
        <v>-0.46599235222533947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203.95</v>
      </c>
      <c r="E65" s="2"/>
      <c r="F65" s="7">
        <f t="shared" si="44"/>
        <v>8.3544977879731266E-3</v>
      </c>
      <c r="G65" s="2"/>
      <c r="H65" s="6">
        <v>333.37</v>
      </c>
      <c r="I65" s="2"/>
      <c r="J65" s="7">
        <f t="shared" si="45"/>
        <v>8.2342044163414511E-3</v>
      </c>
      <c r="K65" s="2"/>
      <c r="L65" s="6">
        <f t="shared" si="46"/>
        <v>-129.42000000000002</v>
      </c>
      <c r="M65" s="2"/>
      <c r="N65" s="7">
        <f t="shared" si="47"/>
        <v>-0.38821729609742933</v>
      </c>
      <c r="O65" s="11"/>
      <c r="P65" s="6">
        <v>2097.5500000000002</v>
      </c>
      <c r="Q65" s="2"/>
      <c r="R65" s="7">
        <f t="shared" si="48"/>
        <v>4.8859771721406946E-3</v>
      </c>
      <c r="S65" s="2"/>
      <c r="T65" s="6">
        <v>3927.94</v>
      </c>
      <c r="U65" s="2"/>
      <c r="V65" s="7">
        <f t="shared" si="49"/>
        <v>8.5503012677626087E-3</v>
      </c>
      <c r="W65" s="2"/>
      <c r="X65" s="6">
        <f t="shared" si="50"/>
        <v>-1830.3899999999999</v>
      </c>
      <c r="Y65" s="2"/>
      <c r="Z65" s="7">
        <f t="shared" si="51"/>
        <v>-0.46599235222533947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SUM(OSRRefP22_14x_0)</f>
        <v>3186.24</v>
      </c>
      <c r="Q66" s="1"/>
      <c r="R66" s="5">
        <f t="shared" si="48"/>
        <v>7.4219426974143953E-3</v>
      </c>
      <c r="S66" s="1"/>
      <c r="T66" s="1">
        <f>SUM(OSRRefT22_14x_0)</f>
        <v>4591.2</v>
      </c>
      <c r="U66" s="1"/>
      <c r="V66" s="5">
        <f t="shared" si="49"/>
        <v>9.9940791306770676E-3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3186.24</v>
      </c>
      <c r="Q67" s="2"/>
      <c r="R67" s="7">
        <f t="shared" si="48"/>
        <v>7.4219426974143953E-3</v>
      </c>
      <c r="S67" s="2"/>
      <c r="T67" s="6">
        <v>4591.2</v>
      </c>
      <c r="U67" s="2"/>
      <c r="V67" s="7">
        <f t="shared" si="49"/>
        <v>9.9940791306770676E-3</v>
      </c>
      <c r="W67" s="2"/>
      <c r="X67" s="6">
        <f t="shared" si="50"/>
        <v>-1404.96</v>
      </c>
      <c r="Y67" s="2"/>
      <c r="Z67" s="7">
        <f t="shared" si="51"/>
        <v>-0.30601150026136958</v>
      </c>
    </row>
    <row r="68" spans="1:26" s="58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0</v>
      </c>
      <c r="C69" s="10"/>
      <c r="D69" s="4">
        <f>SUM(OSRRefD25x_0)</f>
        <v>152.96</v>
      </c>
      <c r="E69" s="4"/>
      <c r="F69" s="12">
        <f t="shared" ref="F69:F71" si="52">IF(D$12=0,0,D69/D$12)</f>
        <v>6.2657709323283633E-3</v>
      </c>
      <c r="G69" s="4"/>
      <c r="H69" s="4">
        <f>SUM(OSRRefH25x_0)</f>
        <v>191.54</v>
      </c>
      <c r="I69" s="4"/>
      <c r="J69" s="12">
        <f t="shared" ref="J69:J71" si="53">IF(H$12=0,0,H69/H$12)</f>
        <v>4.731018129723855E-3</v>
      </c>
      <c r="K69" s="4"/>
      <c r="L69" s="4">
        <f t="shared" ref="L69:L71" si="54">+D69-H69</f>
        <v>-38.579999999999984</v>
      </c>
      <c r="M69" s="4"/>
      <c r="N69" s="12">
        <f t="shared" ref="N69:N71" si="55">IF(H69=0,0,L69/H69)</f>
        <v>-0.20142006891510905</v>
      </c>
      <c r="O69" s="10"/>
      <c r="P69" s="4">
        <f>SUM(OSRRefP25x_0)</f>
        <v>20670.71</v>
      </c>
      <c r="Q69" s="4"/>
      <c r="R69" s="12">
        <f t="shared" ref="R69:R71" si="56">IF(P$12=0,0,P69/P$12)</f>
        <v>4.8149802003261119E-2</v>
      </c>
      <c r="S69" s="4"/>
      <c r="T69" s="4">
        <f>SUM(OSRRefT25x_0)</f>
        <v>27392.629999999997</v>
      </c>
      <c r="U69" s="4"/>
      <c r="V69" s="12">
        <f t="shared" ref="V69:V71" si="57">IF(T$12=0,0,T69/T$12)</f>
        <v>5.9628008324045689E-2</v>
      </c>
      <c r="W69" s="4"/>
      <c r="X69" s="4">
        <f t="shared" ref="X69:X71" si="58">+P69-T69</f>
        <v>-6721.9199999999983</v>
      </c>
      <c r="Y69" s="4"/>
      <c r="Z69" s="12">
        <f t="shared" ref="Z69:Z71" si="59">IF(T69=0,0,X69/T69)</f>
        <v>-0.24539155239931321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--152.96</f>
        <v>152.96</v>
      </c>
      <c r="E70" s="2"/>
      <c r="F70" s="19">
        <f t="shared" si="52"/>
        <v>6.2657709323283633E-3</v>
      </c>
      <c r="G70" s="2"/>
      <c r="H70" s="2">
        <f>--191.54</f>
        <v>191.54</v>
      </c>
      <c r="I70" s="2"/>
      <c r="J70" s="19">
        <f t="shared" si="53"/>
        <v>4.731018129723855E-3</v>
      </c>
      <c r="K70" s="2"/>
      <c r="L70" s="2">
        <f t="shared" si="54"/>
        <v>-38.579999999999984</v>
      </c>
      <c r="M70" s="2"/>
      <c r="N70" s="19">
        <f t="shared" si="55"/>
        <v>-0.20142006891510905</v>
      </c>
      <c r="O70" s="11"/>
      <c r="P70" s="2">
        <f>--20670.71</f>
        <v>20670.71</v>
      </c>
      <c r="Q70" s="2"/>
      <c r="R70" s="19">
        <f t="shared" si="56"/>
        <v>4.8149802003261119E-2</v>
      </c>
      <c r="S70" s="2"/>
      <c r="T70" s="2">
        <f>--27222.28</f>
        <v>27222.28</v>
      </c>
      <c r="U70" s="2"/>
      <c r="V70" s="19">
        <f t="shared" si="57"/>
        <v>5.9257192114795208E-2</v>
      </c>
      <c r="W70" s="2"/>
      <c r="X70" s="2">
        <f t="shared" si="58"/>
        <v>-6551.57</v>
      </c>
      <c r="Y70" s="2"/>
      <c r="Z70" s="19">
        <f t="shared" si="59"/>
        <v>-0.24066940755880845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3.7081620925048759E-4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+D17-D19+D69</f>
        <v>5307.5900000000047</v>
      </c>
      <c r="E73" s="14"/>
      <c r="F73" s="20">
        <f>IF(D$12=0,0,D73/D$12)</f>
        <v>0.21741725380960203</v>
      </c>
      <c r="G73" s="14"/>
      <c r="H73" s="21">
        <f>+H17-H19+H69</f>
        <v>14866.110000000004</v>
      </c>
      <c r="I73" s="14"/>
      <c r="J73" s="20">
        <f>IF(H$12=0,0,H73/H$12)</f>
        <v>0.36719137479622593</v>
      </c>
      <c r="K73" s="16"/>
      <c r="L73" s="21">
        <f>+D73-H73</f>
        <v>-9558.52</v>
      </c>
      <c r="M73" s="16"/>
      <c r="N73" s="20">
        <f>IF(H73=0,0,L73/H73)</f>
        <v>-0.64297385126304041</v>
      </c>
      <c r="O73" s="28"/>
      <c r="P73" s="21">
        <f>+P17-P19+P69</f>
        <v>45972.21999999995</v>
      </c>
      <c r="Q73" s="14"/>
      <c r="R73" s="20">
        <f>IF(P$12=0,0,P73/P$12)</f>
        <v>0.10708646634055427</v>
      </c>
      <c r="S73" s="14"/>
      <c r="T73" s="21">
        <f>+T17-T19+T69</f>
        <v>43548.899999999958</v>
      </c>
      <c r="U73" s="14"/>
      <c r="V73" s="20">
        <f>IF(T$12=0,0,T73/T$12)</f>
        <v>9.4796818403454913E-2</v>
      </c>
      <c r="W73" s="16"/>
      <c r="X73" s="21">
        <f>+P73-T73</f>
        <v>2423.3199999999924</v>
      </c>
      <c r="Y73" s="16"/>
      <c r="Z73" s="20">
        <f>IF(T73=0,0,X73/T73)</f>
        <v>5.5645952021750142E-2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4863.6899999999996</v>
      </c>
      <c r="E75" s="4"/>
      <c r="F75" s="12">
        <f>IF(D$12=0,0,D75/D$12)</f>
        <v>0.19923357365230213</v>
      </c>
      <c r="G75" s="4"/>
      <c r="H75" s="4">
        <v>4234.6000000000004</v>
      </c>
      <c r="I75" s="4"/>
      <c r="J75" s="12">
        <f>IF(H$12=0,0,H75/H$12)</f>
        <v>0.10459418070444106</v>
      </c>
      <c r="K75" s="4"/>
      <c r="L75" s="4">
        <f>+D75-H75</f>
        <v>629.08999999999924</v>
      </c>
      <c r="M75" s="4"/>
      <c r="N75" s="12">
        <f>IF(H75=0,0,L75/H75)</f>
        <v>0.14855948613800576</v>
      </c>
      <c r="O75" s="10"/>
      <c r="P75" s="4">
        <v>50835.82</v>
      </c>
      <c r="Q75" s="4"/>
      <c r="R75" s="12">
        <f>IF(P$12=0,0,P75/P$12)</f>
        <v>0.11841560680177032</v>
      </c>
      <c r="S75" s="4"/>
      <c r="T75" s="4">
        <v>47783.46</v>
      </c>
      <c r="U75" s="4"/>
      <c r="V75" s="12">
        <f>IF(T$12=0,0,T75/T$12)</f>
        <v>0.10401456707996656</v>
      </c>
      <c r="W75" s="4"/>
      <c r="X75" s="4">
        <f>+P75-T75</f>
        <v>3052.3600000000006</v>
      </c>
      <c r="Y75" s="4"/>
      <c r="Z75" s="12">
        <f>IF(T75=0,0,X75/T75)</f>
        <v>6.3879007505944538E-2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443.90000000000509</v>
      </c>
      <c r="E77" s="14"/>
      <c r="F77" s="32">
        <f>IF(D$12=0,0,D77/D$12)</f>
        <v>1.8183680157299896E-2</v>
      </c>
      <c r="G77" s="14"/>
      <c r="H77" s="35">
        <f>+H73-H75</f>
        <v>10631.510000000004</v>
      </c>
      <c r="I77" s="14"/>
      <c r="J77" s="32">
        <f>IF(H$12=0,0,H77/H$12)</f>
        <v>0.26259719409178489</v>
      </c>
      <c r="K77" s="16"/>
      <c r="L77" s="35">
        <f>D77-H77</f>
        <v>-10187.609999999999</v>
      </c>
      <c r="M77" s="16"/>
      <c r="N77" s="32">
        <f>IF(H77=0,0,L77/H77)</f>
        <v>-0.95824675892700051</v>
      </c>
      <c r="O77" s="28"/>
      <c r="P77" s="35">
        <f>+P73-P75</f>
        <v>-4863.6000000000495</v>
      </c>
      <c r="Q77" s="14"/>
      <c r="R77" s="32">
        <f>IF(P$12=0,0,P77/P$12)</f>
        <v>-1.1329140461216048E-2</v>
      </c>
      <c r="S77" s="14"/>
      <c r="T77" s="35">
        <f>+T73-T75</f>
        <v>-4234.5600000000413</v>
      </c>
      <c r="U77" s="14"/>
      <c r="V77" s="32">
        <f>IF(T$12=0,0,T77/T$12)</f>
        <v>-9.2177486765116536E-3</v>
      </c>
      <c r="W77" s="16"/>
      <c r="X77" s="35">
        <f>P77-T77</f>
        <v>-629.04000000000815</v>
      </c>
      <c r="Y77" s="16"/>
      <c r="Z77" s="32">
        <f>IF(T77=0,0,X77/T77)</f>
        <v>0.14854908184085289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443.90000000000509</v>
      </c>
      <c r="E80" s="14"/>
      <c r="F80" s="33">
        <f>IF(D$12=0,0,D80/D$12)</f>
        <v>1.8183680157299896E-2</v>
      </c>
      <c r="G80" s="14"/>
      <c r="H80" s="36">
        <f>SUM(H77:H79)</f>
        <v>10631.510000000004</v>
      </c>
      <c r="I80" s="14"/>
      <c r="J80" s="33">
        <f>IF(H$12=0,0,H80/H$12)</f>
        <v>0.26259719409178489</v>
      </c>
      <c r="K80" s="16"/>
      <c r="L80" s="36">
        <f>+D80-H80</f>
        <v>-10187.609999999999</v>
      </c>
      <c r="M80" s="16"/>
      <c r="N80" s="33">
        <f>IF(H80=0,0,L80/H80)</f>
        <v>-0.95824675892700051</v>
      </c>
      <c r="O80" s="28"/>
      <c r="P80" s="36">
        <f>SUM(P77:P79)</f>
        <v>-4863.6000000000495</v>
      </c>
      <c r="Q80" s="14"/>
      <c r="R80" s="33">
        <f>IF(P$12=0,0,P80/P$12)</f>
        <v>-1.1329140461216048E-2</v>
      </c>
      <c r="S80" s="14"/>
      <c r="T80" s="36">
        <f>SUM(T77:T79)</f>
        <v>-4234.5600000000413</v>
      </c>
      <c r="U80" s="14"/>
      <c r="V80" s="33">
        <f>IF(T$12=0,0,T80/T$12)</f>
        <v>-9.2177486765116536E-3</v>
      </c>
      <c r="W80" s="16"/>
      <c r="X80" s="36">
        <f>+P80-T80</f>
        <v>-629.04000000000815</v>
      </c>
      <c r="Y80" s="16"/>
      <c r="Z80" s="33">
        <f>IF(T80=0,0,X80/T80)</f>
        <v>0.14854908184085289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>
        <v>43992.375062766201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62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str">
        <f>CONCATENATE("Period ",RIGHT(202011,2),", ",2020)</f>
        <v>Period 11, 2020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3">
        <v>43981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24412</v>
      </c>
      <c r="E12" s="4"/>
      <c r="F12" s="12"/>
      <c r="G12" s="4"/>
      <c r="H12" s="4">
        <f>SUM(OSRRefH13x_0)</f>
        <v>40486</v>
      </c>
      <c r="I12" s="4"/>
      <c r="J12" s="12"/>
      <c r="K12" s="4"/>
      <c r="L12" s="4">
        <f t="shared" ref="L12:L13" si="0">+D12-H12</f>
        <v>-16074</v>
      </c>
      <c r="M12" s="4"/>
      <c r="N12" s="12">
        <f t="shared" ref="N12:N13" si="1">IF(H12=0,0,L12/H12)</f>
        <v>-0.39702613249024354</v>
      </c>
      <c r="O12" s="10"/>
      <c r="P12" s="4">
        <f>SUM(OSRRefP13x_0)</f>
        <v>429300</v>
      </c>
      <c r="Q12" s="4"/>
      <c r="R12" s="12"/>
      <c r="S12" s="4"/>
      <c r="T12" s="4">
        <f>SUM(OSRRefT13x_0)</f>
        <v>459392</v>
      </c>
      <c r="U12" s="4"/>
      <c r="V12" s="12"/>
      <c r="W12" s="4"/>
      <c r="X12" s="4">
        <f t="shared" ref="X12:X13" si="2">+P12-T12</f>
        <v>-30092</v>
      </c>
      <c r="Y12" s="4"/>
      <c r="Z12" s="12">
        <f t="shared" ref="Z12:Z13" si="3">IF(T12=0,0,X12/T12)</f>
        <v>-6.5503970465310674E-2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--24412</f>
        <v>24412</v>
      </c>
      <c r="E13" s="2"/>
      <c r="F13" s="19"/>
      <c r="G13" s="2"/>
      <c r="H13" s="2">
        <f>--40486</f>
        <v>40486</v>
      </c>
      <c r="I13" s="2"/>
      <c r="J13" s="19"/>
      <c r="K13" s="2"/>
      <c r="L13" s="2">
        <f t="shared" si="0"/>
        <v>-16074</v>
      </c>
      <c r="M13" s="2"/>
      <c r="N13" s="19">
        <f t="shared" si="1"/>
        <v>-0.39702613249024354</v>
      </c>
      <c r="O13" s="11"/>
      <c r="P13" s="2">
        <f>--429300</f>
        <v>429300</v>
      </c>
      <c r="Q13" s="2"/>
      <c r="R13" s="19"/>
      <c r="S13" s="2"/>
      <c r="T13" s="2">
        <f>--459392</f>
        <v>459392</v>
      </c>
      <c r="U13" s="2"/>
      <c r="V13" s="19"/>
      <c r="W13" s="2"/>
      <c r="X13" s="2">
        <f t="shared" si="2"/>
        <v>-30092</v>
      </c>
      <c r="Y13" s="2"/>
      <c r="Z13" s="19">
        <f t="shared" si="3"/>
        <v>-6.5503970465310674E-2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24412</v>
      </c>
      <c r="E17" s="14"/>
      <c r="F17" s="20">
        <f>IF(D$12=0,0,D17/D$12)</f>
        <v>1</v>
      </c>
      <c r="G17" s="14"/>
      <c r="H17" s="21">
        <f>H12-H15</f>
        <v>40486</v>
      </c>
      <c r="I17" s="14"/>
      <c r="J17" s="20">
        <f>IF(H$12=0,0,H17/H$12)</f>
        <v>1</v>
      </c>
      <c r="K17" s="16"/>
      <c r="L17" s="21">
        <f>+D17-H17</f>
        <v>-16074</v>
      </c>
      <c r="M17" s="16"/>
      <c r="N17" s="20">
        <f>IF(H17=0,0,L17/H17)</f>
        <v>-0.39702613249024354</v>
      </c>
      <c r="O17" s="28"/>
      <c r="P17" s="21">
        <f>P12-P15</f>
        <v>429300</v>
      </c>
      <c r="Q17" s="14"/>
      <c r="R17" s="20">
        <f>IF(P$12=0,0,P17/P$12)</f>
        <v>1</v>
      </c>
      <c r="S17" s="14"/>
      <c r="T17" s="21">
        <f>T12-T15</f>
        <v>459392</v>
      </c>
      <c r="U17" s="14"/>
      <c r="V17" s="20">
        <f>IF(T$12=0,0,T17/T$12)</f>
        <v>1</v>
      </c>
      <c r="W17" s="16"/>
      <c r="X17" s="21">
        <f>+P17-T17</f>
        <v>-30092</v>
      </c>
      <c r="Y17" s="16"/>
      <c r="Z17" s="20">
        <f>IF(T17=0,0,X17/T17)</f>
        <v>-6.5503970465310674E-2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19257.369999999995</v>
      </c>
      <c r="E19" s="22"/>
      <c r="F19" s="31">
        <f t="shared" ref="F19:F28" si="4">IF(D$12=0,0,D19/D$12)</f>
        <v>0.7888485171227263</v>
      </c>
      <c r="G19" s="22"/>
      <c r="H19" s="22">
        <f>SUM(OSRRefH22x_0)</f>
        <v>25811.429999999997</v>
      </c>
      <c r="I19" s="22"/>
      <c r="J19" s="31">
        <f t="shared" ref="J19:J28" si="5">IF(H$12=0,0,H19/H$12)</f>
        <v>0.63753964333349789</v>
      </c>
      <c r="K19" s="4"/>
      <c r="L19" s="22">
        <f t="shared" ref="L19:L28" si="6">+D19-H19</f>
        <v>-6554.0600000000013</v>
      </c>
      <c r="M19" s="4"/>
      <c r="N19" s="31">
        <f t="shared" ref="N19:N28" si="7">IF(H19=0,0,L19/H19)</f>
        <v>-0.25392084049585795</v>
      </c>
      <c r="O19" s="10"/>
      <c r="P19" s="22">
        <f>SUM(OSRRefP22x_0)</f>
        <v>403998.49000000005</v>
      </c>
      <c r="Q19" s="22"/>
      <c r="R19" s="31">
        <f t="shared" ref="R19:R28" si="8">IF(P$12=0,0,P19/P$12)</f>
        <v>0.94106333566270683</v>
      </c>
      <c r="S19" s="22"/>
      <c r="T19" s="22">
        <f>SUM(OSRRefT22x_0)</f>
        <v>443235.73000000004</v>
      </c>
      <c r="U19" s="22"/>
      <c r="V19" s="31">
        <f t="shared" ref="V19:V28" si="9">IF(T$12=0,0,T19/T$12)</f>
        <v>0.9648311899205908</v>
      </c>
      <c r="W19" s="4"/>
      <c r="X19" s="22">
        <f t="shared" ref="X19:X28" si="10">+P19-T19</f>
        <v>-39237.239999999991</v>
      </c>
      <c r="Y19" s="4"/>
      <c r="Z19" s="31">
        <f t="shared" ref="Z19:Z28" si="11">IF(T19=0,0,X19/T19)</f>
        <v>-8.8524542008380031E-2</v>
      </c>
    </row>
    <row r="20" spans="1:26" s="27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3729.01</v>
      </c>
      <c r="E20" s="1"/>
      <c r="F20" s="5">
        <f t="shared" si="4"/>
        <v>0.15275315418646568</v>
      </c>
      <c r="G20" s="1"/>
      <c r="H20" s="1">
        <f>SUM(OSRRefH22_0x_0)</f>
        <v>4440.09</v>
      </c>
      <c r="I20" s="1"/>
      <c r="J20" s="5">
        <f t="shared" si="5"/>
        <v>0.10966976238699798</v>
      </c>
      <c r="K20" s="1"/>
      <c r="L20" s="1">
        <f t="shared" si="6"/>
        <v>-711.07999999999993</v>
      </c>
      <c r="M20" s="1"/>
      <c r="N20" s="5">
        <f t="shared" si="7"/>
        <v>-0.1601499068712571</v>
      </c>
      <c r="O20" s="13"/>
      <c r="P20" s="1">
        <f>SUM(OSRRefP22_0x_0)</f>
        <v>48770.64</v>
      </c>
      <c r="Q20" s="1"/>
      <c r="R20" s="5">
        <f t="shared" si="8"/>
        <v>0.11360503144654088</v>
      </c>
      <c r="S20" s="1"/>
      <c r="T20" s="1">
        <f>SUM(OSRRefT22_0x_0)</f>
        <v>44898.18</v>
      </c>
      <c r="U20" s="1"/>
      <c r="V20" s="5">
        <f t="shared" si="9"/>
        <v>9.7733917874059634E-2</v>
      </c>
      <c r="W20" s="1"/>
      <c r="X20" s="1">
        <f t="shared" si="10"/>
        <v>3872.4599999999991</v>
      </c>
      <c r="Y20" s="1"/>
      <c r="Z20" s="5">
        <f t="shared" si="11"/>
        <v>8.6249821262242676E-2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918.68</v>
      </c>
      <c r="E21" s="2"/>
      <c r="F21" s="7">
        <f t="shared" si="4"/>
        <v>3.7632311977715875E-2</v>
      </c>
      <c r="G21" s="2"/>
      <c r="H21" s="6">
        <v>1215.3399999999999</v>
      </c>
      <c r="I21" s="2"/>
      <c r="J21" s="7">
        <f t="shared" si="5"/>
        <v>3.0018771921157931E-2</v>
      </c>
      <c r="K21" s="2"/>
      <c r="L21" s="6">
        <f t="shared" si="6"/>
        <v>-296.65999999999997</v>
      </c>
      <c r="M21" s="2"/>
      <c r="N21" s="7">
        <f t="shared" si="7"/>
        <v>-0.2440963022693238</v>
      </c>
      <c r="O21" s="11"/>
      <c r="P21" s="6">
        <v>12066.38</v>
      </c>
      <c r="Q21" s="2"/>
      <c r="R21" s="7">
        <f t="shared" si="8"/>
        <v>2.8107104588865593E-2</v>
      </c>
      <c r="S21" s="2"/>
      <c r="T21" s="6">
        <v>10220.620000000001</v>
      </c>
      <c r="U21" s="2"/>
      <c r="V21" s="7">
        <f t="shared" si="9"/>
        <v>2.2248145374756202E-2</v>
      </c>
      <c r="W21" s="2"/>
      <c r="X21" s="6">
        <f t="shared" si="10"/>
        <v>1845.7599999999984</v>
      </c>
      <c r="Y21" s="2"/>
      <c r="Z21" s="7">
        <f t="shared" si="11"/>
        <v>0.18059178406006662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113.76</v>
      </c>
      <c r="E22" s="2"/>
      <c r="F22" s="7">
        <f t="shared" si="4"/>
        <v>4.6600032770768478E-3</v>
      </c>
      <c r="G22" s="2"/>
      <c r="H22" s="6">
        <v>48.01</v>
      </c>
      <c r="I22" s="2"/>
      <c r="J22" s="7">
        <f t="shared" si="5"/>
        <v>1.1858420194635181E-3</v>
      </c>
      <c r="K22" s="2"/>
      <c r="L22" s="6">
        <f t="shared" si="6"/>
        <v>65.75</v>
      </c>
      <c r="M22" s="2"/>
      <c r="N22" s="7">
        <f t="shared" si="7"/>
        <v>1.3695063528431577</v>
      </c>
      <c r="O22" s="11"/>
      <c r="P22" s="6">
        <v>662.29</v>
      </c>
      <c r="Q22" s="2"/>
      <c r="R22" s="7">
        <f t="shared" si="8"/>
        <v>1.5427207081295132E-3</v>
      </c>
      <c r="S22" s="2"/>
      <c r="T22" s="6">
        <v>543.87</v>
      </c>
      <c r="U22" s="2"/>
      <c r="V22" s="7">
        <f t="shared" si="9"/>
        <v>1.1838908818612426E-3</v>
      </c>
      <c r="W22" s="2"/>
      <c r="X22" s="6">
        <f t="shared" si="10"/>
        <v>118.41999999999996</v>
      </c>
      <c r="Y22" s="2"/>
      <c r="Z22" s="7">
        <f t="shared" si="11"/>
        <v>0.21773585599499873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1285.8599999999999</v>
      </c>
      <c r="E23" s="2"/>
      <c r="F23" s="7">
        <f t="shared" si="4"/>
        <v>5.2673275438309027E-2</v>
      </c>
      <c r="G23" s="2"/>
      <c r="H23" s="6">
        <v>1243.31</v>
      </c>
      <c r="I23" s="2"/>
      <c r="J23" s="7">
        <f t="shared" si="5"/>
        <v>3.0709628019562316E-2</v>
      </c>
      <c r="K23" s="2"/>
      <c r="L23" s="6">
        <f t="shared" si="6"/>
        <v>42.549999999999955</v>
      </c>
      <c r="M23" s="2"/>
      <c r="N23" s="7">
        <f t="shared" si="7"/>
        <v>3.4223162364977321E-2</v>
      </c>
      <c r="O23" s="11"/>
      <c r="P23" s="6">
        <v>13927.73</v>
      </c>
      <c r="Q23" s="2"/>
      <c r="R23" s="7">
        <f t="shared" si="8"/>
        <v>3.2442883764267412E-2</v>
      </c>
      <c r="S23" s="2"/>
      <c r="T23" s="6">
        <v>13542.53</v>
      </c>
      <c r="U23" s="2"/>
      <c r="V23" s="7">
        <f t="shared" si="9"/>
        <v>2.9479246482307049E-2</v>
      </c>
      <c r="W23" s="2"/>
      <c r="X23" s="6">
        <f t="shared" si="10"/>
        <v>385.19999999999891</v>
      </c>
      <c r="Y23" s="2"/>
      <c r="Z23" s="7">
        <f t="shared" si="11"/>
        <v>2.8443725064666563E-2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46.17</v>
      </c>
      <c r="E24" s="2"/>
      <c r="F24" s="7">
        <f t="shared" si="4"/>
        <v>1.8912829755857775E-3</v>
      </c>
      <c r="G24" s="2"/>
      <c r="H24" s="6">
        <v>40.270000000000003</v>
      </c>
      <c r="I24" s="2"/>
      <c r="J24" s="7">
        <f t="shared" si="5"/>
        <v>9.9466482240774599E-4</v>
      </c>
      <c r="K24" s="2"/>
      <c r="L24" s="6">
        <f t="shared" si="6"/>
        <v>5.8999999999999986</v>
      </c>
      <c r="M24" s="2"/>
      <c r="N24" s="7">
        <f t="shared" si="7"/>
        <v>0.14651105040973425</v>
      </c>
      <c r="O24" s="11"/>
      <c r="P24" s="6">
        <v>495.12</v>
      </c>
      <c r="Q24" s="2"/>
      <c r="R24" s="7">
        <f t="shared" si="8"/>
        <v>1.1533193570929421E-3</v>
      </c>
      <c r="S24" s="2"/>
      <c r="T24" s="6">
        <v>495.65</v>
      </c>
      <c r="U24" s="2"/>
      <c r="V24" s="7">
        <f t="shared" si="9"/>
        <v>1.0789260587907494E-3</v>
      </c>
      <c r="W24" s="2"/>
      <c r="X24" s="6">
        <f t="shared" si="10"/>
        <v>-0.52999999999997272</v>
      </c>
      <c r="Y24" s="2"/>
      <c r="Z24" s="7">
        <f t="shared" si="11"/>
        <v>-1.069302935539136E-3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2.2538505652957563E-2</v>
      </c>
      <c r="G25" s="2"/>
      <c r="H25" s="6">
        <v>544.30999999999995</v>
      </c>
      <c r="I25" s="2"/>
      <c r="J25" s="7">
        <f t="shared" si="5"/>
        <v>1.3444400533517758E-2</v>
      </c>
      <c r="K25" s="2"/>
      <c r="L25" s="6">
        <f t="shared" si="6"/>
        <v>5.9000000000000909</v>
      </c>
      <c r="M25" s="2"/>
      <c r="N25" s="7">
        <f t="shared" si="7"/>
        <v>1.0839411364847406E-2</v>
      </c>
      <c r="O25" s="11"/>
      <c r="P25" s="6">
        <v>7759.08</v>
      </c>
      <c r="Q25" s="2"/>
      <c r="R25" s="7">
        <f t="shared" si="8"/>
        <v>1.8073794549266248E-2</v>
      </c>
      <c r="S25" s="2"/>
      <c r="T25" s="6">
        <v>7125.23</v>
      </c>
      <c r="U25" s="2"/>
      <c r="V25" s="7">
        <f t="shared" si="9"/>
        <v>1.551013078155475E-2</v>
      </c>
      <c r="W25" s="2"/>
      <c r="X25" s="6">
        <f t="shared" si="10"/>
        <v>633.85000000000036</v>
      </c>
      <c r="Y25" s="2"/>
      <c r="Z25" s="7">
        <f t="shared" si="11"/>
        <v>8.8958531864936352E-2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484.71</v>
      </c>
      <c r="E26" s="2"/>
      <c r="F26" s="7">
        <f t="shared" si="4"/>
        <v>1.9855398984106175E-2</v>
      </c>
      <c r="G26" s="2"/>
      <c r="H26" s="6">
        <v>801.57</v>
      </c>
      <c r="I26" s="2"/>
      <c r="J26" s="7">
        <f t="shared" si="5"/>
        <v>1.979869584547745E-2</v>
      </c>
      <c r="K26" s="2"/>
      <c r="L26" s="6">
        <f t="shared" si="6"/>
        <v>-316.86000000000007</v>
      </c>
      <c r="M26" s="2"/>
      <c r="N26" s="7">
        <f t="shared" si="7"/>
        <v>-0.3952992252704069</v>
      </c>
      <c r="O26" s="11"/>
      <c r="P26" s="6">
        <v>7948.51</v>
      </c>
      <c r="Q26" s="2"/>
      <c r="R26" s="7">
        <f t="shared" si="8"/>
        <v>1.8515047752154672E-2</v>
      </c>
      <c r="S26" s="2"/>
      <c r="T26" s="6">
        <v>7009.36</v>
      </c>
      <c r="U26" s="2"/>
      <c r="V26" s="7">
        <f t="shared" si="9"/>
        <v>1.5257906101978266E-2</v>
      </c>
      <c r="W26" s="2"/>
      <c r="X26" s="6">
        <f t="shared" si="10"/>
        <v>939.15000000000055</v>
      </c>
      <c r="Y26" s="2"/>
      <c r="Z26" s="7">
        <f t="shared" si="11"/>
        <v>0.13398512845680641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281.62</v>
      </c>
      <c r="E27" s="2"/>
      <c r="F27" s="7">
        <f t="shared" si="4"/>
        <v>1.1536129772243159E-2</v>
      </c>
      <c r="G27" s="2"/>
      <c r="H27" s="6">
        <v>400.24</v>
      </c>
      <c r="I27" s="2"/>
      <c r="J27" s="7">
        <f t="shared" si="5"/>
        <v>9.8858864792767866E-3</v>
      </c>
      <c r="K27" s="2"/>
      <c r="L27" s="6">
        <f t="shared" si="6"/>
        <v>-118.62</v>
      </c>
      <c r="M27" s="2"/>
      <c r="N27" s="7">
        <f t="shared" si="7"/>
        <v>-0.29637217669398364</v>
      </c>
      <c r="O27" s="11"/>
      <c r="P27" s="6">
        <v>4542.84</v>
      </c>
      <c r="Q27" s="2"/>
      <c r="R27" s="7">
        <f t="shared" si="8"/>
        <v>1.0581970649895179E-2</v>
      </c>
      <c r="S27" s="2"/>
      <c r="T27" s="6">
        <v>3809.91</v>
      </c>
      <c r="U27" s="2"/>
      <c r="V27" s="7">
        <f t="shared" si="9"/>
        <v>8.2933747213708546E-3</v>
      </c>
      <c r="W27" s="2"/>
      <c r="X27" s="6">
        <f t="shared" si="10"/>
        <v>732.93000000000029</v>
      </c>
      <c r="Y27" s="2"/>
      <c r="Z27" s="7">
        <f t="shared" si="11"/>
        <v>0.19237462302259117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48</v>
      </c>
      <c r="E28" s="2"/>
      <c r="F28" s="7">
        <f t="shared" si="4"/>
        <v>1.9662461084712438E-3</v>
      </c>
      <c r="G28" s="2"/>
      <c r="H28" s="6">
        <v>147.04</v>
      </c>
      <c r="I28" s="2"/>
      <c r="J28" s="7">
        <f t="shared" si="5"/>
        <v>3.6318727461344662E-3</v>
      </c>
      <c r="K28" s="2"/>
      <c r="L28" s="6">
        <f t="shared" si="6"/>
        <v>-99.039999999999992</v>
      </c>
      <c r="M28" s="2"/>
      <c r="N28" s="7">
        <f t="shared" si="7"/>
        <v>-0.67355821545157779</v>
      </c>
      <c r="O28" s="11"/>
      <c r="P28" s="6">
        <v>1368.69</v>
      </c>
      <c r="Q28" s="2"/>
      <c r="R28" s="7">
        <f t="shared" si="8"/>
        <v>3.1881900768693221E-3</v>
      </c>
      <c r="S28" s="2"/>
      <c r="T28" s="6">
        <v>2151.0100000000002</v>
      </c>
      <c r="U28" s="2"/>
      <c r="V28" s="7">
        <f t="shared" si="9"/>
        <v>4.6822974714405136E-3</v>
      </c>
      <c r="W28" s="2"/>
      <c r="X28" s="6">
        <f t="shared" si="10"/>
        <v>-782.32000000000016</v>
      </c>
      <c r="Y28" s="2"/>
      <c r="Z28" s="7">
        <f t="shared" si="11"/>
        <v>-0.36369891353364237</v>
      </c>
    </row>
    <row r="29" spans="1:26" s="27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11619.55</v>
      </c>
      <c r="E29" s="1"/>
      <c r="F29" s="5">
        <f t="shared" ref="F29:F35" si="12">IF(D$12=0,0,D29/D$12)</f>
        <v>0.47597697853514664</v>
      </c>
      <c r="G29" s="1"/>
      <c r="H29" s="1">
        <f>SUM(OSRRefH22_1x_0)</f>
        <v>17369.48</v>
      </c>
      <c r="I29" s="1"/>
      <c r="J29" s="5">
        <f t="shared" ref="J29:J35" si="13">IF(H$12=0,0,H29/H$12)</f>
        <v>0.42902435409771278</v>
      </c>
      <c r="K29" s="1"/>
      <c r="L29" s="1">
        <f t="shared" ref="L29:L35" si="14">+D29-H29</f>
        <v>-5749.93</v>
      </c>
      <c r="M29" s="1"/>
      <c r="N29" s="5">
        <f t="shared" ref="N29:N35" si="15">IF(H29=0,0,L29/H29)</f>
        <v>-0.33103639256903489</v>
      </c>
      <c r="O29" s="13"/>
      <c r="P29" s="1">
        <f>SUM(OSRRefP22_1x_0)</f>
        <v>177189.44999999998</v>
      </c>
      <c r="Q29" s="1"/>
      <c r="R29" s="5">
        <f t="shared" ref="R29:R35" si="16">IF(P$12=0,0,P29/P$12)</f>
        <v>0.41274039133473089</v>
      </c>
      <c r="S29" s="1"/>
      <c r="T29" s="1">
        <f>SUM(OSRRefT22_1x_0)</f>
        <v>176188.69000000003</v>
      </c>
      <c r="U29" s="1"/>
      <c r="V29" s="5">
        <f t="shared" ref="V29:V35" si="17">IF(T$12=0,0,T29/T$12)</f>
        <v>0.3835258123780998</v>
      </c>
      <c r="W29" s="1"/>
      <c r="X29" s="1">
        <f t="shared" ref="X29:X35" si="18">+P29-T29</f>
        <v>1000.7599999999511</v>
      </c>
      <c r="Y29" s="1"/>
      <c r="Z29" s="5">
        <f t="shared" ref="Z29:Z35" si="19">IF(T29=0,0,X29/T29)</f>
        <v>5.6800467725820021E-3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5649.22</v>
      </c>
      <c r="E30" s="2"/>
      <c r="F30" s="7">
        <f t="shared" si="12"/>
        <v>0.23141160085203999</v>
      </c>
      <c r="G30" s="2"/>
      <c r="H30" s="6">
        <v>5785.17</v>
      </c>
      <c r="I30" s="2"/>
      <c r="J30" s="7">
        <f t="shared" si="13"/>
        <v>0.14289309884898482</v>
      </c>
      <c r="K30" s="2"/>
      <c r="L30" s="6">
        <f t="shared" si="14"/>
        <v>-135.94999999999982</v>
      </c>
      <c r="M30" s="2"/>
      <c r="N30" s="7">
        <f t="shared" si="15"/>
        <v>-2.3499741580627675E-2</v>
      </c>
      <c r="O30" s="11"/>
      <c r="P30" s="6">
        <v>64280.81</v>
      </c>
      <c r="Q30" s="2"/>
      <c r="R30" s="7">
        <f t="shared" si="16"/>
        <v>0.14973400885161892</v>
      </c>
      <c r="S30" s="2"/>
      <c r="T30" s="6">
        <v>63055.810000000005</v>
      </c>
      <c r="U30" s="2"/>
      <c r="V30" s="7">
        <f t="shared" si="17"/>
        <v>0.13725926877263864</v>
      </c>
      <c r="W30" s="2"/>
      <c r="X30" s="6">
        <f t="shared" si="18"/>
        <v>1224.9999999999927</v>
      </c>
      <c r="Y30" s="2"/>
      <c r="Z30" s="7">
        <f t="shared" si="19"/>
        <v>1.9427234381732512E-2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2.4077476316522708E-2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5970.33</v>
      </c>
      <c r="E32" s="2"/>
      <c r="F32" s="7">
        <f t="shared" si="12"/>
        <v>0.24456537768310666</v>
      </c>
      <c r="G32" s="2"/>
      <c r="H32" s="6">
        <v>3451.45</v>
      </c>
      <c r="I32" s="2"/>
      <c r="J32" s="7">
        <f t="shared" si="13"/>
        <v>8.5250456948080811E-2</v>
      </c>
      <c r="K32" s="2"/>
      <c r="L32" s="6">
        <f t="shared" si="14"/>
        <v>2518.88</v>
      </c>
      <c r="M32" s="2"/>
      <c r="N32" s="7">
        <f t="shared" si="15"/>
        <v>0.72980341595561293</v>
      </c>
      <c r="O32" s="11"/>
      <c r="P32" s="6">
        <v>81200.490000000005</v>
      </c>
      <c r="Q32" s="2"/>
      <c r="R32" s="7">
        <f t="shared" si="16"/>
        <v>0.18914626135569532</v>
      </c>
      <c r="S32" s="2"/>
      <c r="T32" s="6">
        <v>37107.19</v>
      </c>
      <c r="U32" s="2"/>
      <c r="V32" s="7">
        <f t="shared" si="17"/>
        <v>8.077456725410978E-2</v>
      </c>
      <c r="W32" s="2"/>
      <c r="X32" s="6">
        <f t="shared" si="18"/>
        <v>44093.3</v>
      </c>
      <c r="Y32" s="2"/>
      <c r="Z32" s="7">
        <f t="shared" si="19"/>
        <v>1.1882683652413455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2063.91</v>
      </c>
      <c r="I33" s="2"/>
      <c r="J33" s="7">
        <f t="shared" si="13"/>
        <v>5.0978362890875852E-2</v>
      </c>
      <c r="K33" s="2"/>
      <c r="L33" s="6">
        <f t="shared" si="14"/>
        <v>-2063.91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10512.57</v>
      </c>
      <c r="U33" s="2"/>
      <c r="V33" s="7">
        <f t="shared" si="17"/>
        <v>2.2883659271384787E-2</v>
      </c>
      <c r="W33" s="2"/>
      <c r="X33" s="6">
        <f t="shared" si="18"/>
        <v>-10512.57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12"/>
        <v>0</v>
      </c>
      <c r="G34" s="2"/>
      <c r="H34" s="6">
        <v>5275.26</v>
      </c>
      <c r="I34" s="2"/>
      <c r="J34" s="7">
        <f t="shared" si="13"/>
        <v>0.13029837474682607</v>
      </c>
      <c r="K34" s="2"/>
      <c r="L34" s="6">
        <f t="shared" si="14"/>
        <v>-5275.26</v>
      </c>
      <c r="M34" s="2"/>
      <c r="N34" s="7">
        <f t="shared" si="15"/>
        <v>-1</v>
      </c>
      <c r="O34" s="11"/>
      <c r="P34" s="6">
        <v>25787.41</v>
      </c>
      <c r="Q34" s="2"/>
      <c r="R34" s="7">
        <f t="shared" si="16"/>
        <v>6.0068506871651522E-2</v>
      </c>
      <c r="S34" s="2"/>
      <c r="T34" s="6">
        <v>50923.58</v>
      </c>
      <c r="U34" s="2"/>
      <c r="V34" s="7">
        <f t="shared" si="17"/>
        <v>0.11084994949846755</v>
      </c>
      <c r="W34" s="2"/>
      <c r="X34" s="6">
        <f t="shared" si="18"/>
        <v>-25136.170000000002</v>
      </c>
      <c r="Y34" s="2"/>
      <c r="Z34" s="7">
        <f t="shared" si="19"/>
        <v>-0.49360571271697712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12"/>
        <v>0</v>
      </c>
      <c r="G35" s="2"/>
      <c r="H35" s="6">
        <v>793.69</v>
      </c>
      <c r="I35" s="2"/>
      <c r="J35" s="7">
        <f t="shared" si="13"/>
        <v>1.9604060662945216E-2</v>
      </c>
      <c r="K35" s="2"/>
      <c r="L35" s="6">
        <f t="shared" si="14"/>
        <v>-793.69</v>
      </c>
      <c r="M35" s="2"/>
      <c r="N35" s="7">
        <f t="shared" si="15"/>
        <v>-1</v>
      </c>
      <c r="O35" s="11"/>
      <c r="P35" s="6">
        <v>5920.74</v>
      </c>
      <c r="Q35" s="2"/>
      <c r="R35" s="7">
        <f t="shared" si="16"/>
        <v>1.3791614255765198E-2</v>
      </c>
      <c r="S35" s="2"/>
      <c r="T35" s="6">
        <v>3528.54</v>
      </c>
      <c r="U35" s="2"/>
      <c r="V35" s="7">
        <f t="shared" si="17"/>
        <v>7.6808912649763165E-3</v>
      </c>
      <c r="W35" s="2"/>
      <c r="X35" s="6">
        <f t="shared" si="18"/>
        <v>2392.1999999999998</v>
      </c>
      <c r="Y35" s="2"/>
      <c r="Z35" s="7">
        <f t="shared" si="19"/>
        <v>0.67795745549150632</v>
      </c>
    </row>
    <row r="36" spans="1:26" s="27" customFormat="1" outlineLevel="1" collapsed="1" x14ac:dyDescent="0.25">
      <c r="A36" s="25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1911.81</v>
      </c>
      <c r="E36" s="1"/>
      <c r="F36" s="5">
        <f t="shared" ref="F36:F44" si="20">IF(D$12=0,0,D36/D$12)</f>
        <v>7.8314353596591835E-2</v>
      </c>
      <c r="G36" s="1"/>
      <c r="H36" s="1">
        <f>SUM(OSRRefH22_2x_0)</f>
        <v>82.5</v>
      </c>
      <c r="I36" s="1"/>
      <c r="J36" s="5">
        <f t="shared" ref="J36:J44" si="21">IF(H$12=0,0,H36/H$12)</f>
        <v>2.0377414414859459E-3</v>
      </c>
      <c r="K36" s="1"/>
      <c r="L36" s="1">
        <f t="shared" ref="L36:L44" si="22">+D36-H36</f>
        <v>1829.31</v>
      </c>
      <c r="M36" s="1"/>
      <c r="N36" s="5">
        <f t="shared" ref="N36:N44" si="23">IF(H36=0,0,L36/H36)</f>
        <v>22.173454545454543</v>
      </c>
      <c r="O36" s="13"/>
      <c r="P36" s="1">
        <f>SUM(OSRRefP22_2x_0)</f>
        <v>2066.92</v>
      </c>
      <c r="Q36" s="1"/>
      <c r="R36" s="5">
        <f t="shared" ref="R36:R44" si="24">IF(P$12=0,0,P36/P$12)</f>
        <v>4.8146284649429301E-3</v>
      </c>
      <c r="S36" s="1"/>
      <c r="T36" s="1">
        <f>SUM(OSRRefT22_2x_0)</f>
        <v>3171.09</v>
      </c>
      <c r="U36" s="1"/>
      <c r="V36" s="5">
        <f t="shared" ref="V36:V44" si="25">IF(T$12=0,0,T36/T$12)</f>
        <v>6.902797610755085E-3</v>
      </c>
      <c r="W36" s="1"/>
      <c r="X36" s="1">
        <f t="shared" ref="X36:X44" si="26">+P36-T36</f>
        <v>-1104.17</v>
      </c>
      <c r="Y36" s="1"/>
      <c r="Z36" s="5">
        <f t="shared" ref="Z36:Z44" si="27">IF(T36=0,0,X36/T36)</f>
        <v>-0.34819888429530543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1911.81</v>
      </c>
      <c r="E37" s="2"/>
      <c r="F37" s="7">
        <f t="shared" si="20"/>
        <v>7.8314353596591835E-2</v>
      </c>
      <c r="G37" s="2"/>
      <c r="H37" s="6">
        <v>82.5</v>
      </c>
      <c r="I37" s="2"/>
      <c r="J37" s="7">
        <f t="shared" si="21"/>
        <v>2.0377414414859459E-3</v>
      </c>
      <c r="K37" s="2"/>
      <c r="L37" s="6">
        <f t="shared" si="22"/>
        <v>1829.31</v>
      </c>
      <c r="M37" s="2"/>
      <c r="N37" s="7">
        <f t="shared" si="23"/>
        <v>22.173454545454543</v>
      </c>
      <c r="O37" s="11"/>
      <c r="P37" s="6">
        <v>2066.92</v>
      </c>
      <c r="Q37" s="2"/>
      <c r="R37" s="7">
        <f t="shared" si="24"/>
        <v>4.8146284649429301E-3</v>
      </c>
      <c r="S37" s="2"/>
      <c r="T37" s="6">
        <v>3171.09</v>
      </c>
      <c r="U37" s="2"/>
      <c r="V37" s="7">
        <f t="shared" si="25"/>
        <v>6.902797610755085E-3</v>
      </c>
      <c r="W37" s="2"/>
      <c r="X37" s="6">
        <f t="shared" si="26"/>
        <v>-1104.17</v>
      </c>
      <c r="Y37" s="2"/>
      <c r="Z37" s="7">
        <f t="shared" si="27"/>
        <v>-0.34819888429530543</v>
      </c>
    </row>
    <row r="38" spans="1:26" s="27" customFormat="1" outlineLevel="1" collapsed="1" x14ac:dyDescent="0.25">
      <c r="A38" s="25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43.26</v>
      </c>
      <c r="E38" s="1"/>
      <c r="F38" s="5">
        <f t="shared" si="20"/>
        <v>1.7720793052597083E-3</v>
      </c>
      <c r="G38" s="1"/>
      <c r="H38" s="1">
        <f>SUM(OSRRefH22_3x_0)</f>
        <v>1826.07</v>
      </c>
      <c r="I38" s="1"/>
      <c r="J38" s="5">
        <f t="shared" si="21"/>
        <v>4.5103739564293831E-2</v>
      </c>
      <c r="K38" s="1"/>
      <c r="L38" s="1">
        <f t="shared" si="22"/>
        <v>-1782.81</v>
      </c>
      <c r="M38" s="1"/>
      <c r="N38" s="5">
        <f t="shared" si="23"/>
        <v>-0.97630978001938595</v>
      </c>
      <c r="O38" s="13"/>
      <c r="P38" s="1">
        <f>SUM(OSRRefP22_3x_0)</f>
        <v>17833.88</v>
      </c>
      <c r="Q38" s="1"/>
      <c r="R38" s="5">
        <f t="shared" si="24"/>
        <v>4.1541765665036111E-2</v>
      </c>
      <c r="S38" s="1"/>
      <c r="T38" s="1">
        <f>SUM(OSRRefT22_3x_0)</f>
        <v>22338.05</v>
      </c>
      <c r="U38" s="1"/>
      <c r="V38" s="5">
        <f t="shared" si="25"/>
        <v>4.8625248154081917E-2</v>
      </c>
      <c r="W38" s="1"/>
      <c r="X38" s="1">
        <f t="shared" si="26"/>
        <v>-4504.1699999999983</v>
      </c>
      <c r="Y38" s="1"/>
      <c r="Z38" s="5">
        <f t="shared" si="27"/>
        <v>-0.20163666927059426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43.26</v>
      </c>
      <c r="E39" s="2"/>
      <c r="F39" s="7">
        <f t="shared" si="20"/>
        <v>1.7720793052597083E-3</v>
      </c>
      <c r="G39" s="2"/>
      <c r="H39" s="6">
        <v>1826.07</v>
      </c>
      <c r="I39" s="2"/>
      <c r="J39" s="7">
        <f t="shared" si="21"/>
        <v>4.5103739564293831E-2</v>
      </c>
      <c r="K39" s="2"/>
      <c r="L39" s="6">
        <f t="shared" si="22"/>
        <v>-1782.81</v>
      </c>
      <c r="M39" s="2"/>
      <c r="N39" s="7">
        <f t="shared" si="23"/>
        <v>-0.97630978001938595</v>
      </c>
      <c r="O39" s="11"/>
      <c r="P39" s="6">
        <v>17833.88</v>
      </c>
      <c r="Q39" s="2"/>
      <c r="R39" s="7">
        <f t="shared" si="24"/>
        <v>4.1541765665036111E-2</v>
      </c>
      <c r="S39" s="2"/>
      <c r="T39" s="6">
        <v>22338.05</v>
      </c>
      <c r="U39" s="2"/>
      <c r="V39" s="7">
        <f t="shared" si="25"/>
        <v>4.8625248154081917E-2</v>
      </c>
      <c r="W39" s="2"/>
      <c r="X39" s="6">
        <f t="shared" si="26"/>
        <v>-4504.1699999999983</v>
      </c>
      <c r="Y39" s="2"/>
      <c r="Z39" s="7">
        <f t="shared" si="27"/>
        <v>-0.20163666927059426</v>
      </c>
    </row>
    <row r="40" spans="1:26" s="27" customFormat="1" outlineLevel="1" collapsed="1" x14ac:dyDescent="0.25">
      <c r="A40" s="25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1.4963894712322385E-4</v>
      </c>
      <c r="S40" s="1"/>
      <c r="T40" s="1">
        <f>SUM(OSRRefT22_4x_0)</f>
        <v>92.16</v>
      </c>
      <c r="U40" s="1"/>
      <c r="V40" s="5">
        <f t="shared" si="25"/>
        <v>2.0061298411813876E-4</v>
      </c>
      <c r="W40" s="1"/>
      <c r="X40" s="1">
        <f t="shared" si="26"/>
        <v>-27.92</v>
      </c>
      <c r="Y40" s="1"/>
      <c r="Z40" s="5">
        <f t="shared" si="27"/>
        <v>-0.3029513888888889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1.4963894712322385E-4</v>
      </c>
      <c r="S41" s="2"/>
      <c r="T41" s="6">
        <v>92.16</v>
      </c>
      <c r="U41" s="2"/>
      <c r="V41" s="7">
        <f t="shared" si="25"/>
        <v>2.0061298411813876E-4</v>
      </c>
      <c r="W41" s="2"/>
      <c r="X41" s="6">
        <f t="shared" si="26"/>
        <v>-27.92</v>
      </c>
      <c r="Y41" s="2"/>
      <c r="Z41" s="7">
        <f t="shared" si="27"/>
        <v>-0.3029513888888889</v>
      </c>
    </row>
    <row r="42" spans="1:26" s="27" customFormat="1" outlineLevel="1" collapsed="1" x14ac:dyDescent="0.25">
      <c r="A42" s="25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102.21000000000001</v>
      </c>
      <c r="U42" s="1"/>
      <c r="V42" s="5">
        <f t="shared" si="25"/>
        <v>2.2248972555029257E-4</v>
      </c>
      <c r="W42" s="1"/>
      <c r="X42" s="1">
        <f t="shared" si="26"/>
        <v>-102.21000000000001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54.57</v>
      </c>
      <c r="U43" s="2"/>
      <c r="V43" s="7">
        <f t="shared" si="25"/>
        <v>1.1878744079130677E-4</v>
      </c>
      <c r="W43" s="2"/>
      <c r="X43" s="6">
        <f t="shared" si="26"/>
        <v>-54.57</v>
      </c>
      <c r="Y43" s="2"/>
      <c r="Z43" s="7">
        <f t="shared" si="27"/>
        <v>-1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0"/>
        <v>0</v>
      </c>
      <c r="G44" s="2"/>
      <c r="H44" s="6"/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47.64</v>
      </c>
      <c r="U44" s="2"/>
      <c r="V44" s="7">
        <f t="shared" si="25"/>
        <v>1.0370228475898579E-4</v>
      </c>
      <c r="W44" s="2"/>
      <c r="X44" s="6">
        <f t="shared" si="26"/>
        <v>-47.64</v>
      </c>
      <c r="Y44" s="2"/>
      <c r="Z44" s="7">
        <f t="shared" si="27"/>
        <v>-1</v>
      </c>
    </row>
    <row r="45" spans="1:26" s="27" customFormat="1" outlineLevel="1" collapsed="1" x14ac:dyDescent="0.25">
      <c r="A45" s="25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ref="F45:F56" si="28">IF(D$12=0,0,D45/D$12)</f>
        <v>0</v>
      </c>
      <c r="G45" s="1"/>
      <c r="H45" s="1">
        <f>SUM(OSRRefH22_6x_0)</f>
        <v>0</v>
      </c>
      <c r="I45" s="1"/>
      <c r="J45" s="5">
        <f t="shared" ref="J45:J56" si="29">IF(H$12=0,0,H45/H$12)</f>
        <v>0</v>
      </c>
      <c r="K45" s="1"/>
      <c r="L45" s="1">
        <f t="shared" ref="L45:L56" si="30">+D45-H45</f>
        <v>0</v>
      </c>
      <c r="M45" s="1"/>
      <c r="N45" s="5">
        <f t="shared" ref="N45:N56" si="31">IF(H45=0,0,L45/H45)</f>
        <v>0</v>
      </c>
      <c r="O45" s="13"/>
      <c r="P45" s="1">
        <f>SUM(OSRRefP22_6x_0)</f>
        <v>47.34</v>
      </c>
      <c r="Q45" s="1"/>
      <c r="R45" s="5">
        <f t="shared" ref="R45:R56" si="32">IF(P$12=0,0,P45/P$12)</f>
        <v>1.1027253668763104E-4</v>
      </c>
      <c r="S45" s="1"/>
      <c r="T45" s="1">
        <f>SUM(OSRRefT22_6x_0)</f>
        <v>661</v>
      </c>
      <c r="U45" s="1"/>
      <c r="V45" s="5">
        <f t="shared" ref="V45:V56" si="33">IF(T$12=0,0,T45/T$12)</f>
        <v>1.4388583170799666E-3</v>
      </c>
      <c r="W45" s="1"/>
      <c r="X45" s="1">
        <f t="shared" ref="X45:X56" si="34">+P45-T45</f>
        <v>-613.66</v>
      </c>
      <c r="Y45" s="1"/>
      <c r="Z45" s="5">
        <f t="shared" ref="Z45:Z56" si="35">IF(T45=0,0,X45/T45)</f>
        <v>-0.92838124054462934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47.34</v>
      </c>
      <c r="Q46" s="2"/>
      <c r="R46" s="7">
        <f t="shared" si="32"/>
        <v>1.1027253668763104E-4</v>
      </c>
      <c r="S46" s="2"/>
      <c r="T46" s="6">
        <v>661</v>
      </c>
      <c r="U46" s="2"/>
      <c r="V46" s="7">
        <f t="shared" si="33"/>
        <v>1.4388583170799666E-3</v>
      </c>
      <c r="W46" s="2"/>
      <c r="X46" s="6">
        <f t="shared" si="34"/>
        <v>-613.66</v>
      </c>
      <c r="Y46" s="2"/>
      <c r="Z46" s="7">
        <f t="shared" si="35"/>
        <v>-0.92838124054462934</v>
      </c>
    </row>
    <row r="47" spans="1:26" s="27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SUM(OSRRefD22_7x_0)</f>
        <v>29.01</v>
      </c>
      <c r="E47" s="1"/>
      <c r="F47" s="5">
        <f t="shared" si="28"/>
        <v>1.1883499918073079E-3</v>
      </c>
      <c r="G47" s="1"/>
      <c r="H47" s="1">
        <f>SUM(OSRRefH22_7x_0)</f>
        <v>27.33</v>
      </c>
      <c r="I47" s="1"/>
      <c r="J47" s="5">
        <f t="shared" si="29"/>
        <v>6.7504816479770785E-4</v>
      </c>
      <c r="K47" s="1"/>
      <c r="L47" s="1">
        <f t="shared" si="30"/>
        <v>1.6800000000000033</v>
      </c>
      <c r="M47" s="1"/>
      <c r="N47" s="5">
        <f t="shared" si="31"/>
        <v>6.1470911086718018E-2</v>
      </c>
      <c r="O47" s="13"/>
      <c r="P47" s="1">
        <f>SUM(OSRRefP22_7x_0)</f>
        <v>319.11</v>
      </c>
      <c r="Q47" s="1"/>
      <c r="R47" s="5">
        <f t="shared" si="32"/>
        <v>7.4332634521313769E-4</v>
      </c>
      <c r="S47" s="1"/>
      <c r="T47" s="1">
        <f>SUM(OSRRefT22_7x_0)</f>
        <v>251.86</v>
      </c>
      <c r="U47" s="1"/>
      <c r="V47" s="5">
        <f t="shared" si="33"/>
        <v>5.4824637782112016E-4</v>
      </c>
      <c r="W47" s="1"/>
      <c r="X47" s="1">
        <f t="shared" si="34"/>
        <v>67.25</v>
      </c>
      <c r="Y47" s="1"/>
      <c r="Z47" s="5">
        <f t="shared" si="35"/>
        <v>0.26701342015405383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29.01</v>
      </c>
      <c r="E48" s="2"/>
      <c r="F48" s="7">
        <f t="shared" si="28"/>
        <v>1.1883499918073079E-3</v>
      </c>
      <c r="G48" s="2"/>
      <c r="H48" s="6">
        <v>27.33</v>
      </c>
      <c r="I48" s="2"/>
      <c r="J48" s="7">
        <f t="shared" si="29"/>
        <v>6.7504816479770785E-4</v>
      </c>
      <c r="K48" s="2"/>
      <c r="L48" s="6">
        <f t="shared" si="30"/>
        <v>1.6800000000000033</v>
      </c>
      <c r="M48" s="2"/>
      <c r="N48" s="7">
        <f t="shared" si="31"/>
        <v>6.1470911086718018E-2</v>
      </c>
      <c r="O48" s="11"/>
      <c r="P48" s="6">
        <v>319.11</v>
      </c>
      <c r="Q48" s="2"/>
      <c r="R48" s="7">
        <f t="shared" si="32"/>
        <v>7.4332634521313769E-4</v>
      </c>
      <c r="S48" s="2"/>
      <c r="T48" s="6">
        <v>251.86</v>
      </c>
      <c r="U48" s="2"/>
      <c r="V48" s="7">
        <f t="shared" si="33"/>
        <v>5.4824637782112016E-4</v>
      </c>
      <c r="W48" s="2"/>
      <c r="X48" s="6">
        <f t="shared" si="34"/>
        <v>67.25</v>
      </c>
      <c r="Y48" s="2"/>
      <c r="Z48" s="7">
        <f t="shared" si="35"/>
        <v>0.26701342015405383</v>
      </c>
    </row>
    <row r="49" spans="1:26" s="27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SUM(OSRRefD22_8x_0)</f>
        <v>0</v>
      </c>
      <c r="E49" s="1"/>
      <c r="F49" s="5">
        <f t="shared" si="28"/>
        <v>0</v>
      </c>
      <c r="G49" s="1"/>
      <c r="H49" s="1">
        <f>SUM(OSRRefH22_8x_0)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SUM(OSRRefP22_8x_0)</f>
        <v>0</v>
      </c>
      <c r="Q49" s="1"/>
      <c r="R49" s="5">
        <f t="shared" si="32"/>
        <v>0</v>
      </c>
      <c r="S49" s="1"/>
      <c r="T49" s="1">
        <f>SUM(OSRRefT22_8x_0)</f>
        <v>1680</v>
      </c>
      <c r="U49" s="1"/>
      <c r="V49" s="5">
        <f t="shared" si="33"/>
        <v>3.6570075229869045E-3</v>
      </c>
      <c r="W49" s="1"/>
      <c r="X49" s="1">
        <f t="shared" si="34"/>
        <v>-1680</v>
      </c>
      <c r="Y49" s="1"/>
      <c r="Z49" s="5">
        <f t="shared" si="35"/>
        <v>-1</v>
      </c>
    </row>
    <row r="50" spans="1:26" s="24" customFormat="1" hidden="1" outlineLevel="2" x14ac:dyDescent="0.25">
      <c r="A50" s="26"/>
      <c r="B50" s="11" t="str">
        <f>CONCATENATE("          ", "6336", " - ", "PROFESSIONAL SERVICES")</f>
        <v xml:space="preserve">          6336 - PROFESSIONAL SERVICES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1680</v>
      </c>
      <c r="U50" s="2"/>
      <c r="V50" s="7">
        <f t="shared" si="33"/>
        <v>3.6570075229869045E-3</v>
      </c>
      <c r="W50" s="2"/>
      <c r="X50" s="6">
        <f t="shared" si="34"/>
        <v>-1680</v>
      </c>
      <c r="Y50" s="2"/>
      <c r="Z50" s="7">
        <f t="shared" si="35"/>
        <v>-1</v>
      </c>
    </row>
    <row r="51" spans="1:26" s="27" customFormat="1" outlineLevel="1" collapsed="1" x14ac:dyDescent="0.25">
      <c r="A51" s="25"/>
      <c r="B51" s="13" t="str">
        <f>CONCATENATE("     ","Rent                                              ")</f>
        <v xml:space="preserve">     Rent                                              </v>
      </c>
      <c r="C51" s="13"/>
      <c r="D51" s="1">
        <f>SUM(OSRRefD22_9x_0)</f>
        <v>800</v>
      </c>
      <c r="E51" s="1"/>
      <c r="F51" s="5">
        <f t="shared" si="28"/>
        <v>3.2770768474520727E-2</v>
      </c>
      <c r="G51" s="1"/>
      <c r="H51" s="1">
        <f>SUM(OSRRefH22_9x_0)</f>
        <v>800</v>
      </c>
      <c r="I51" s="1"/>
      <c r="J51" s="5">
        <f t="shared" si="29"/>
        <v>1.9759917008348563E-2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SUM(OSRRefP22_9x_0)</f>
        <v>7200</v>
      </c>
      <c r="Q51" s="1"/>
      <c r="R51" s="5">
        <f t="shared" si="32"/>
        <v>1.6771488469601678E-2</v>
      </c>
      <c r="S51" s="1"/>
      <c r="T51" s="1">
        <f>SUM(OSRRefT22_9x_0)</f>
        <v>8000</v>
      </c>
      <c r="U51" s="1"/>
      <c r="V51" s="5">
        <f t="shared" si="33"/>
        <v>1.7414321538032879E-2</v>
      </c>
      <c r="W51" s="1"/>
      <c r="X51" s="1">
        <f t="shared" si="34"/>
        <v>-800</v>
      </c>
      <c r="Y51" s="1"/>
      <c r="Z51" s="5">
        <f t="shared" si="35"/>
        <v>-0.1</v>
      </c>
    </row>
    <row r="52" spans="1:26" s="24" customFormat="1" hidden="1" outlineLevel="2" x14ac:dyDescent="0.25">
      <c r="A52" s="26"/>
      <c r="B52" s="11" t="str">
        <f>CONCATENATE("          ", "6273", " - ", "RENT")</f>
        <v xml:space="preserve">          6273 - RENT</v>
      </c>
      <c r="C52" s="11"/>
      <c r="D52" s="6">
        <v>800</v>
      </c>
      <c r="E52" s="2"/>
      <c r="F52" s="7">
        <f t="shared" si="28"/>
        <v>3.2770768474520727E-2</v>
      </c>
      <c r="G52" s="2"/>
      <c r="H52" s="6">
        <v>800</v>
      </c>
      <c r="I52" s="2"/>
      <c r="J52" s="7">
        <f t="shared" si="29"/>
        <v>1.9759917008348563E-2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7200</v>
      </c>
      <c r="Q52" s="2"/>
      <c r="R52" s="7">
        <f t="shared" si="32"/>
        <v>1.6771488469601678E-2</v>
      </c>
      <c r="S52" s="2"/>
      <c r="T52" s="6">
        <v>8000</v>
      </c>
      <c r="U52" s="2"/>
      <c r="V52" s="7">
        <f t="shared" si="33"/>
        <v>1.7414321538032879E-2</v>
      </c>
      <c r="W52" s="2"/>
      <c r="X52" s="6">
        <f t="shared" si="34"/>
        <v>-800</v>
      </c>
      <c r="Y52" s="2"/>
      <c r="Z52" s="7">
        <f t="shared" si="35"/>
        <v>-0.1</v>
      </c>
    </row>
    <row r="53" spans="1:26" s="27" customFormat="1" outlineLevel="1" collapsed="1" x14ac:dyDescent="0.25">
      <c r="A53" s="25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0</v>
      </c>
      <c r="E53" s="1"/>
      <c r="F53" s="5">
        <f t="shared" si="28"/>
        <v>0</v>
      </c>
      <c r="G53" s="1"/>
      <c r="H53" s="1">
        <f>SUM(OSRRefH22_10x_0)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SUM(OSRRefP22_10x_0)</f>
        <v>118520.76</v>
      </c>
      <c r="Q53" s="1"/>
      <c r="R53" s="5">
        <f t="shared" si="32"/>
        <v>0.27607910552061493</v>
      </c>
      <c r="S53" s="1"/>
      <c r="T53" s="1">
        <f>SUM(OSRRefT22_10x_0)</f>
        <v>116031.56</v>
      </c>
      <c r="U53" s="1"/>
      <c r="V53" s="5">
        <f t="shared" si="33"/>
        <v>0.25257636179994425</v>
      </c>
      <c r="W53" s="1"/>
      <c r="X53" s="1">
        <f t="shared" si="34"/>
        <v>2489.1999999999971</v>
      </c>
      <c r="Y53" s="1"/>
      <c r="Z53" s="5">
        <f t="shared" si="35"/>
        <v>2.1452784052890413E-2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437.31</v>
      </c>
      <c r="Q54" s="2"/>
      <c r="R54" s="7">
        <f t="shared" si="32"/>
        <v>1.0186582809224318E-3</v>
      </c>
      <c r="S54" s="2"/>
      <c r="T54" s="6"/>
      <c r="U54" s="2"/>
      <c r="V54" s="7">
        <f t="shared" si="33"/>
        <v>0</v>
      </c>
      <c r="W54" s="2"/>
      <c r="X54" s="6">
        <f t="shared" si="34"/>
        <v>437.31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28"/>
        <v>0</v>
      </c>
      <c r="G55" s="2"/>
      <c r="H55" s="6"/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>
        <v>117094</v>
      </c>
      <c r="Q55" s="2"/>
      <c r="R55" s="7">
        <f t="shared" si="32"/>
        <v>0.27275564873049152</v>
      </c>
      <c r="S55" s="2"/>
      <c r="T55" s="6">
        <v>115431.56</v>
      </c>
      <c r="U55" s="2"/>
      <c r="V55" s="7">
        <f t="shared" si="33"/>
        <v>0.25127028768459181</v>
      </c>
      <c r="W55" s="2"/>
      <c r="X55" s="6">
        <f t="shared" si="34"/>
        <v>1662.4400000000023</v>
      </c>
      <c r="Y55" s="2"/>
      <c r="Z55" s="7">
        <f t="shared" si="35"/>
        <v>1.4401953850402804E-2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989.45</v>
      </c>
      <c r="Q56" s="2"/>
      <c r="R56" s="7">
        <f t="shared" si="32"/>
        <v>2.3047985092010249E-3</v>
      </c>
      <c r="S56" s="2"/>
      <c r="T56" s="6">
        <v>600</v>
      </c>
      <c r="U56" s="2"/>
      <c r="V56" s="7">
        <f t="shared" si="33"/>
        <v>1.3060741153524658E-3</v>
      </c>
      <c r="W56" s="2"/>
      <c r="X56" s="6">
        <f t="shared" si="34"/>
        <v>389.45000000000005</v>
      </c>
      <c r="Y56" s="2"/>
      <c r="Z56" s="7">
        <f t="shared" si="35"/>
        <v>0.64908333333333346</v>
      </c>
    </row>
    <row r="57" spans="1:26" s="27" customFormat="1" outlineLevel="1" collapsed="1" x14ac:dyDescent="0.25">
      <c r="A57" s="25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SUM(OSRRefD22_11x_0)</f>
        <v>915</v>
      </c>
      <c r="E57" s="1"/>
      <c r="F57" s="5">
        <f t="shared" ref="F57:F63" si="36">IF(D$12=0,0,D57/D$12)</f>
        <v>3.748156644273308E-2</v>
      </c>
      <c r="G57" s="1"/>
      <c r="H57" s="1">
        <f>SUM(OSRRefH22_11x_0)</f>
        <v>915</v>
      </c>
      <c r="I57" s="1"/>
      <c r="J57" s="5">
        <f t="shared" ref="J57:J63" si="37">IF(H$12=0,0,H57/H$12)</f>
        <v>2.260040507829867E-2</v>
      </c>
      <c r="K57" s="1"/>
      <c r="L57" s="1">
        <f t="shared" ref="L57:L63" si="38">+D57-H57</f>
        <v>0</v>
      </c>
      <c r="M57" s="1"/>
      <c r="N57" s="5">
        <f t="shared" ref="N57:N63" si="39">IF(H57=0,0,L57/H57)</f>
        <v>0</v>
      </c>
      <c r="O57" s="13"/>
      <c r="P57" s="1">
        <f>SUM(OSRRefP22_11x_0)</f>
        <v>1740</v>
      </c>
      <c r="Q57" s="1"/>
      <c r="R57" s="5">
        <f t="shared" ref="R57:R63" si="40">IF(P$12=0,0,P57/P$12)</f>
        <v>4.0531097134870716E-3</v>
      </c>
      <c r="S57" s="1"/>
      <c r="T57" s="1">
        <f>SUM(OSRRefT22_11x_0)</f>
        <v>915</v>
      </c>
      <c r="U57" s="1"/>
      <c r="V57" s="5">
        <f t="shared" ref="V57:V63" si="41">IF(T$12=0,0,T57/T$12)</f>
        <v>1.9917630259125105E-3</v>
      </c>
      <c r="W57" s="1"/>
      <c r="X57" s="1">
        <f t="shared" ref="X57:X63" si="42">+P57-T57</f>
        <v>825</v>
      </c>
      <c r="Y57" s="1"/>
      <c r="Z57" s="5">
        <f t="shared" ref="Z57:Z63" si="43">IF(T57=0,0,X57/T57)</f>
        <v>0.90163934426229508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>
        <v>915</v>
      </c>
      <c r="E58" s="2"/>
      <c r="F58" s="7">
        <f t="shared" si="36"/>
        <v>3.748156644273308E-2</v>
      </c>
      <c r="G58" s="2"/>
      <c r="H58" s="6">
        <v>915</v>
      </c>
      <c r="I58" s="2"/>
      <c r="J58" s="7">
        <f t="shared" si="37"/>
        <v>2.260040507829867E-2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1740</v>
      </c>
      <c r="Q58" s="2"/>
      <c r="R58" s="7">
        <f t="shared" si="40"/>
        <v>4.0531097134870716E-3</v>
      </c>
      <c r="S58" s="2"/>
      <c r="T58" s="6">
        <v>915</v>
      </c>
      <c r="U58" s="2"/>
      <c r="V58" s="7">
        <f t="shared" si="41"/>
        <v>1.9917630259125105E-3</v>
      </c>
      <c r="W58" s="2"/>
      <c r="X58" s="6">
        <f t="shared" si="42"/>
        <v>825</v>
      </c>
      <c r="Y58" s="2"/>
      <c r="Z58" s="7">
        <f t="shared" si="43"/>
        <v>0.90163934426229508</v>
      </c>
    </row>
    <row r="59" spans="1:26" s="27" customFormat="1" outlineLevel="1" collapsed="1" x14ac:dyDescent="0.25">
      <c r="A59" s="25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SUM(OSRRefD22_12x_0)</f>
        <v>5.78</v>
      </c>
      <c r="E59" s="1"/>
      <c r="F59" s="5">
        <f t="shared" si="36"/>
        <v>2.3676880222841227E-4</v>
      </c>
      <c r="G59" s="1"/>
      <c r="H59" s="1">
        <f>SUM(OSRRefH22_12x_0)</f>
        <v>17.59</v>
      </c>
      <c r="I59" s="1"/>
      <c r="J59" s="5">
        <f t="shared" si="37"/>
        <v>4.3447117522106408E-4</v>
      </c>
      <c r="K59" s="1"/>
      <c r="L59" s="1">
        <f t="shared" si="38"/>
        <v>-11.809999999999999</v>
      </c>
      <c r="M59" s="1"/>
      <c r="N59" s="5">
        <f t="shared" si="39"/>
        <v>-0.67140420693575886</v>
      </c>
      <c r="O59" s="13"/>
      <c r="P59" s="1">
        <f>SUM(OSRRefP22_12x_0)</f>
        <v>24962.36</v>
      </c>
      <c r="Q59" s="1"/>
      <c r="R59" s="5">
        <f t="shared" si="40"/>
        <v>5.8146657349173077E-2</v>
      </c>
      <c r="S59" s="1"/>
      <c r="T59" s="1">
        <f>SUM(OSRRefT22_12x_0)</f>
        <v>60386.79</v>
      </c>
      <c r="U59" s="1"/>
      <c r="V59" s="5">
        <f t="shared" si="41"/>
        <v>0.13144937221370856</v>
      </c>
      <c r="W59" s="1"/>
      <c r="X59" s="1">
        <f t="shared" si="42"/>
        <v>-35424.43</v>
      </c>
      <c r="Y59" s="1"/>
      <c r="Z59" s="5">
        <f t="shared" si="43"/>
        <v>-0.58662548547455495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413.27</v>
      </c>
      <c r="Q60" s="2"/>
      <c r="R60" s="7">
        <f t="shared" si="40"/>
        <v>9.6266014442115066E-4</v>
      </c>
      <c r="S60" s="2"/>
      <c r="T60" s="6"/>
      <c r="U60" s="2"/>
      <c r="V60" s="7">
        <f t="shared" si="41"/>
        <v>0</v>
      </c>
      <c r="W60" s="2"/>
      <c r="X60" s="6">
        <f t="shared" si="42"/>
        <v>413.27</v>
      </c>
      <c r="Y60" s="2"/>
      <c r="Z60" s="7">
        <f t="shared" si="43"/>
        <v>0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5.78</v>
      </c>
      <c r="E61" s="2"/>
      <c r="F61" s="7">
        <f t="shared" si="36"/>
        <v>2.3676880222841227E-4</v>
      </c>
      <c r="G61" s="2"/>
      <c r="H61" s="6">
        <v>17.59</v>
      </c>
      <c r="I61" s="2"/>
      <c r="J61" s="7">
        <f t="shared" si="37"/>
        <v>4.3447117522106408E-4</v>
      </c>
      <c r="K61" s="2"/>
      <c r="L61" s="6">
        <f t="shared" si="38"/>
        <v>-11.809999999999999</v>
      </c>
      <c r="M61" s="2"/>
      <c r="N61" s="7">
        <f t="shared" si="39"/>
        <v>-0.67140420693575886</v>
      </c>
      <c r="O61" s="11"/>
      <c r="P61" s="6">
        <v>24345.57</v>
      </c>
      <c r="Q61" s="2"/>
      <c r="R61" s="7">
        <f t="shared" si="40"/>
        <v>5.6709923130677846E-2</v>
      </c>
      <c r="S61" s="2"/>
      <c r="T61" s="6">
        <v>59231.369999999995</v>
      </c>
      <c r="U61" s="2"/>
      <c r="V61" s="7">
        <f t="shared" si="41"/>
        <v>0.12893426528977431</v>
      </c>
      <c r="W61" s="2"/>
      <c r="X61" s="6">
        <f t="shared" si="42"/>
        <v>-34885.799999999996</v>
      </c>
      <c r="Y61" s="2"/>
      <c r="Z61" s="7">
        <f t="shared" si="43"/>
        <v>-0.58897506507109321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203.52</v>
      </c>
      <c r="Q62" s="2"/>
      <c r="R62" s="7">
        <f t="shared" si="40"/>
        <v>4.7407407407407408E-4</v>
      </c>
      <c r="S62" s="2"/>
      <c r="T62" s="6">
        <v>1100.3</v>
      </c>
      <c r="U62" s="2"/>
      <c r="V62" s="7">
        <f t="shared" si="41"/>
        <v>2.3951222485371969E-3</v>
      </c>
      <c r="W62" s="2"/>
      <c r="X62" s="6">
        <f t="shared" si="42"/>
        <v>-896.78</v>
      </c>
      <c r="Y62" s="2"/>
      <c r="Z62" s="7">
        <f t="shared" si="43"/>
        <v>-0.81503226392801964</v>
      </c>
    </row>
    <row r="63" spans="1:26" s="24" customFormat="1" hidden="1" outlineLevel="2" x14ac:dyDescent="0.25">
      <c r="A63" s="26"/>
      <c r="B63" s="11" t="str">
        <f>CONCATENATE("          ", "6247", " - ", "STORE SUPPLIES")</f>
        <v xml:space="preserve">          6247 - STORE SUPPLIES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/>
      <c r="Q63" s="2"/>
      <c r="R63" s="7">
        <f t="shared" si="40"/>
        <v>0</v>
      </c>
      <c r="S63" s="2"/>
      <c r="T63" s="6">
        <v>55.12</v>
      </c>
      <c r="U63" s="2"/>
      <c r="V63" s="7">
        <f t="shared" si="41"/>
        <v>1.1998467539704653E-4</v>
      </c>
      <c r="W63" s="2"/>
      <c r="X63" s="6">
        <f t="shared" si="42"/>
        <v>-55.12</v>
      </c>
      <c r="Y63" s="2"/>
      <c r="Z63" s="7">
        <f t="shared" si="43"/>
        <v>-1</v>
      </c>
    </row>
    <row r="64" spans="1:26" s="27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SUM(OSRRefD22_13x_0)</f>
        <v>203.95</v>
      </c>
      <c r="E64" s="1"/>
      <c r="F64" s="5">
        <f t="shared" ref="F64:F67" si="44">IF(D$12=0,0,D64/D$12)</f>
        <v>8.3544977879731266E-3</v>
      </c>
      <c r="G64" s="1"/>
      <c r="H64" s="1">
        <f>SUM(OSRRefH22_13x_0)</f>
        <v>333.37</v>
      </c>
      <c r="I64" s="1"/>
      <c r="J64" s="5">
        <f t="shared" ref="J64:J67" si="45">IF(H$12=0,0,H64/H$12)</f>
        <v>8.2342044163414511E-3</v>
      </c>
      <c r="K64" s="1"/>
      <c r="L64" s="1">
        <f t="shared" ref="L64:L67" si="46">+D64-H64</f>
        <v>-129.42000000000002</v>
      </c>
      <c r="M64" s="1"/>
      <c r="N64" s="5">
        <f t="shared" ref="N64:N67" si="47">IF(H64=0,0,L64/H64)</f>
        <v>-0.38821729609742933</v>
      </c>
      <c r="O64" s="13"/>
      <c r="P64" s="1">
        <f>SUM(OSRRefP22_13x_0)</f>
        <v>2097.5500000000002</v>
      </c>
      <c r="Q64" s="1"/>
      <c r="R64" s="5">
        <f t="shared" ref="R64:R67" si="48">IF(P$12=0,0,P64/P$12)</f>
        <v>4.8859771721406946E-3</v>
      </c>
      <c r="S64" s="1"/>
      <c r="T64" s="1">
        <f>SUM(OSRRefT22_13x_0)</f>
        <v>3927.94</v>
      </c>
      <c r="U64" s="1"/>
      <c r="V64" s="5">
        <f t="shared" ref="V64:V67" si="49">IF(T$12=0,0,T64/T$12)</f>
        <v>8.5503012677626087E-3</v>
      </c>
      <c r="W64" s="1"/>
      <c r="X64" s="1">
        <f t="shared" ref="X64:X67" si="50">+P64-T64</f>
        <v>-1830.3899999999999</v>
      </c>
      <c r="Y64" s="1"/>
      <c r="Z64" s="5">
        <f t="shared" ref="Z64:Z67" si="51">IF(T64=0,0,X64/T64)</f>
        <v>-0.46599235222533947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203.95</v>
      </c>
      <c r="E65" s="2"/>
      <c r="F65" s="7">
        <f t="shared" si="44"/>
        <v>8.3544977879731266E-3</v>
      </c>
      <c r="G65" s="2"/>
      <c r="H65" s="6">
        <v>333.37</v>
      </c>
      <c r="I65" s="2"/>
      <c r="J65" s="7">
        <f t="shared" si="45"/>
        <v>8.2342044163414511E-3</v>
      </c>
      <c r="K65" s="2"/>
      <c r="L65" s="6">
        <f t="shared" si="46"/>
        <v>-129.42000000000002</v>
      </c>
      <c r="M65" s="2"/>
      <c r="N65" s="7">
        <f t="shared" si="47"/>
        <v>-0.38821729609742933</v>
      </c>
      <c r="O65" s="11"/>
      <c r="P65" s="6">
        <v>2097.5500000000002</v>
      </c>
      <c r="Q65" s="2"/>
      <c r="R65" s="7">
        <f t="shared" si="48"/>
        <v>4.8859771721406946E-3</v>
      </c>
      <c r="S65" s="2"/>
      <c r="T65" s="6">
        <v>3927.94</v>
      </c>
      <c r="U65" s="2"/>
      <c r="V65" s="7">
        <f t="shared" si="49"/>
        <v>8.5503012677626087E-3</v>
      </c>
      <c r="W65" s="2"/>
      <c r="X65" s="6">
        <f t="shared" si="50"/>
        <v>-1830.3899999999999</v>
      </c>
      <c r="Y65" s="2"/>
      <c r="Z65" s="7">
        <f t="shared" si="51"/>
        <v>-0.46599235222533947</v>
      </c>
    </row>
    <row r="66" spans="1:26" s="27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SUM(OSRRefD22_14x_0)</f>
        <v>0</v>
      </c>
      <c r="E66" s="1"/>
      <c r="F66" s="5">
        <f t="shared" si="44"/>
        <v>0</v>
      </c>
      <c r="G66" s="1"/>
      <c r="H66" s="1">
        <f>SUM(OSRRefH22_14x_0)</f>
        <v>0</v>
      </c>
      <c r="I66" s="1"/>
      <c r="J66" s="5">
        <f t="shared" si="45"/>
        <v>0</v>
      </c>
      <c r="K66" s="1"/>
      <c r="L66" s="1">
        <f t="shared" si="46"/>
        <v>0</v>
      </c>
      <c r="M66" s="1"/>
      <c r="N66" s="5">
        <f t="shared" si="47"/>
        <v>0</v>
      </c>
      <c r="O66" s="13"/>
      <c r="P66" s="1">
        <f>SUM(OSRRefP22_14x_0)</f>
        <v>3186.24</v>
      </c>
      <c r="Q66" s="1"/>
      <c r="R66" s="5">
        <f t="shared" si="48"/>
        <v>7.4219426974143953E-3</v>
      </c>
      <c r="S66" s="1"/>
      <c r="T66" s="1">
        <f>SUM(OSRRefT22_14x_0)</f>
        <v>4591.2</v>
      </c>
      <c r="U66" s="1"/>
      <c r="V66" s="5">
        <f t="shared" si="49"/>
        <v>9.9940791306770676E-3</v>
      </c>
      <c r="W66" s="1"/>
      <c r="X66" s="1">
        <f t="shared" si="50"/>
        <v>-1404.96</v>
      </c>
      <c r="Y66" s="1"/>
      <c r="Z66" s="5">
        <f t="shared" si="51"/>
        <v>-0.30601150026136958</v>
      </c>
    </row>
    <row r="67" spans="1:26" s="24" customFormat="1" hidden="1" outlineLevel="2" x14ac:dyDescent="0.25">
      <c r="A67" s="26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3186.24</v>
      </c>
      <c r="Q67" s="2"/>
      <c r="R67" s="7">
        <f t="shared" si="48"/>
        <v>7.4219426974143953E-3</v>
      </c>
      <c r="S67" s="2"/>
      <c r="T67" s="6">
        <v>4591.2</v>
      </c>
      <c r="U67" s="2"/>
      <c r="V67" s="7">
        <f t="shared" si="49"/>
        <v>9.9940791306770676E-3</v>
      </c>
      <c r="W67" s="2"/>
      <c r="X67" s="6">
        <f t="shared" si="50"/>
        <v>-1404.96</v>
      </c>
      <c r="Y67" s="2"/>
      <c r="Z67" s="7">
        <f t="shared" si="51"/>
        <v>-0.30601150026136958</v>
      </c>
    </row>
    <row r="68" spans="1:26" s="58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0</v>
      </c>
      <c r="C69" s="10"/>
      <c r="D69" s="4">
        <f>SUM(OSRRefD25x_0)</f>
        <v>152.96</v>
      </c>
      <c r="E69" s="4"/>
      <c r="F69" s="12">
        <f t="shared" ref="F69:F71" si="52">IF(D$12=0,0,D69/D$12)</f>
        <v>6.2657709323283633E-3</v>
      </c>
      <c r="G69" s="4"/>
      <c r="H69" s="4">
        <f>SUM(OSRRefH25x_0)</f>
        <v>191.54</v>
      </c>
      <c r="I69" s="4"/>
      <c r="J69" s="12">
        <f t="shared" ref="J69:J71" si="53">IF(H$12=0,0,H69/H$12)</f>
        <v>4.731018129723855E-3</v>
      </c>
      <c r="K69" s="4"/>
      <c r="L69" s="4">
        <f t="shared" ref="L69:L71" si="54">+D69-H69</f>
        <v>-38.579999999999984</v>
      </c>
      <c r="M69" s="4"/>
      <c r="N69" s="12">
        <f t="shared" ref="N69:N71" si="55">IF(H69=0,0,L69/H69)</f>
        <v>-0.20142006891510905</v>
      </c>
      <c r="O69" s="10"/>
      <c r="P69" s="4">
        <f>SUM(OSRRefP25x_0)</f>
        <v>20670.71</v>
      </c>
      <c r="Q69" s="4"/>
      <c r="R69" s="12">
        <f t="shared" ref="R69:R71" si="56">IF(P$12=0,0,P69/P$12)</f>
        <v>4.8149802003261119E-2</v>
      </c>
      <c r="S69" s="4"/>
      <c r="T69" s="4">
        <f>SUM(OSRRefT25x_0)</f>
        <v>27392.629999999997</v>
      </c>
      <c r="U69" s="4"/>
      <c r="V69" s="12">
        <f t="shared" ref="V69:V71" si="57">IF(T$12=0,0,T69/T$12)</f>
        <v>5.9628008324045689E-2</v>
      </c>
      <c r="W69" s="4"/>
      <c r="X69" s="4">
        <f t="shared" ref="X69:X71" si="58">+P69-T69</f>
        <v>-6721.9199999999983</v>
      </c>
      <c r="Y69" s="4"/>
      <c r="Z69" s="12">
        <f t="shared" ref="Z69:Z71" si="59">IF(T69=0,0,X69/T69)</f>
        <v>-0.24539155239931321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--152.96</f>
        <v>152.96</v>
      </c>
      <c r="E70" s="2"/>
      <c r="F70" s="19">
        <f t="shared" si="52"/>
        <v>6.2657709323283633E-3</v>
      </c>
      <c r="G70" s="2"/>
      <c r="H70" s="2">
        <f>--191.54</f>
        <v>191.54</v>
      </c>
      <c r="I70" s="2"/>
      <c r="J70" s="19">
        <f t="shared" si="53"/>
        <v>4.731018129723855E-3</v>
      </c>
      <c r="K70" s="2"/>
      <c r="L70" s="2">
        <f t="shared" si="54"/>
        <v>-38.579999999999984</v>
      </c>
      <c r="M70" s="2"/>
      <c r="N70" s="19">
        <f t="shared" si="55"/>
        <v>-0.20142006891510905</v>
      </c>
      <c r="O70" s="11"/>
      <c r="P70" s="2">
        <f>--20670.71</f>
        <v>20670.71</v>
      </c>
      <c r="Q70" s="2"/>
      <c r="R70" s="19">
        <f t="shared" si="56"/>
        <v>4.8149802003261119E-2</v>
      </c>
      <c r="S70" s="2"/>
      <c r="T70" s="2">
        <f>--27222.28</f>
        <v>27222.28</v>
      </c>
      <c r="U70" s="2"/>
      <c r="V70" s="19">
        <f t="shared" si="57"/>
        <v>5.9257192114795208E-2</v>
      </c>
      <c r="W70" s="2"/>
      <c r="X70" s="2">
        <f t="shared" si="58"/>
        <v>-6551.57</v>
      </c>
      <c r="Y70" s="2"/>
      <c r="Z70" s="19">
        <f t="shared" si="59"/>
        <v>-0.24066940755880845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2"/>
        <v>0</v>
      </c>
      <c r="G71" s="2"/>
      <c r="H71" s="2">
        <f>0</f>
        <v>0</v>
      </c>
      <c r="I71" s="2"/>
      <c r="J71" s="19">
        <f t="shared" si="53"/>
        <v>0</v>
      </c>
      <c r="K71" s="2"/>
      <c r="L71" s="2">
        <f t="shared" si="54"/>
        <v>0</v>
      </c>
      <c r="M71" s="2"/>
      <c r="N71" s="19">
        <f t="shared" si="55"/>
        <v>0</v>
      </c>
      <c r="O71" s="11"/>
      <c r="P71" s="2">
        <f>0</f>
        <v>0</v>
      </c>
      <c r="Q71" s="2"/>
      <c r="R71" s="19">
        <f t="shared" si="56"/>
        <v>0</v>
      </c>
      <c r="S71" s="2"/>
      <c r="T71" s="2">
        <f>--170.35</f>
        <v>170.35</v>
      </c>
      <c r="U71" s="2"/>
      <c r="V71" s="19">
        <f t="shared" si="57"/>
        <v>3.7081620925048759E-4</v>
      </c>
      <c r="W71" s="2"/>
      <c r="X71" s="2">
        <f t="shared" si="58"/>
        <v>-170.35</v>
      </c>
      <c r="Y71" s="2"/>
      <c r="Z71" s="19">
        <f t="shared" si="59"/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+D17-D19+D69</f>
        <v>5307.5900000000047</v>
      </c>
      <c r="E73" s="14"/>
      <c r="F73" s="20">
        <f>IF(D$12=0,0,D73/D$12)</f>
        <v>0.21741725380960203</v>
      </c>
      <c r="G73" s="14"/>
      <c r="H73" s="21">
        <f>+H17-H19+H69</f>
        <v>14866.110000000004</v>
      </c>
      <c r="I73" s="14"/>
      <c r="J73" s="20">
        <f>IF(H$12=0,0,H73/H$12)</f>
        <v>0.36719137479622593</v>
      </c>
      <c r="K73" s="16"/>
      <c r="L73" s="21">
        <f>+D73-H73</f>
        <v>-9558.52</v>
      </c>
      <c r="M73" s="16"/>
      <c r="N73" s="20">
        <f>IF(H73=0,0,L73/H73)</f>
        <v>-0.64297385126304041</v>
      </c>
      <c r="O73" s="28"/>
      <c r="P73" s="21">
        <f>+P17-P19+P69</f>
        <v>45972.21999999995</v>
      </c>
      <c r="Q73" s="14"/>
      <c r="R73" s="20">
        <f>IF(P$12=0,0,P73/P$12)</f>
        <v>0.10708646634055427</v>
      </c>
      <c r="S73" s="14"/>
      <c r="T73" s="21">
        <f>+T17-T19+T69</f>
        <v>43548.899999999958</v>
      </c>
      <c r="U73" s="14"/>
      <c r="V73" s="20">
        <f>IF(T$12=0,0,T73/T$12)</f>
        <v>9.4796818403454913E-2</v>
      </c>
      <c r="W73" s="16"/>
      <c r="X73" s="21">
        <f>+P73-T73</f>
        <v>2423.3199999999924</v>
      </c>
      <c r="Y73" s="16"/>
      <c r="Z73" s="20">
        <f>IF(T73=0,0,X73/T73)</f>
        <v>5.5645952021750142E-2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4863.6899999999996</v>
      </c>
      <c r="E75" s="4"/>
      <c r="F75" s="12">
        <f>IF(D$12=0,0,D75/D$12)</f>
        <v>0.19923357365230213</v>
      </c>
      <c r="G75" s="4"/>
      <c r="H75" s="4">
        <v>4234.6000000000004</v>
      </c>
      <c r="I75" s="4"/>
      <c r="J75" s="12">
        <f>IF(H$12=0,0,H75/H$12)</f>
        <v>0.10459418070444106</v>
      </c>
      <c r="K75" s="4"/>
      <c r="L75" s="4">
        <f>+D75-H75</f>
        <v>629.08999999999924</v>
      </c>
      <c r="M75" s="4"/>
      <c r="N75" s="12">
        <f>IF(H75=0,0,L75/H75)</f>
        <v>0.14855948613800576</v>
      </c>
      <c r="O75" s="10"/>
      <c r="P75" s="4">
        <v>50835.82</v>
      </c>
      <c r="Q75" s="4"/>
      <c r="R75" s="12">
        <f>IF(P$12=0,0,P75/P$12)</f>
        <v>0.11841560680177032</v>
      </c>
      <c r="S75" s="4"/>
      <c r="T75" s="4">
        <v>47783.46</v>
      </c>
      <c r="U75" s="4"/>
      <c r="V75" s="12">
        <f>IF(T$12=0,0,T75/T$12)</f>
        <v>0.10401456707996656</v>
      </c>
      <c r="W75" s="4"/>
      <c r="X75" s="4">
        <f>+P75-T75</f>
        <v>3052.3600000000006</v>
      </c>
      <c r="Y75" s="4"/>
      <c r="Z75" s="12">
        <f>IF(T75=0,0,X75/T75)</f>
        <v>6.3879007505944538E-2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5">
        <f>+D73-D75</f>
        <v>443.90000000000509</v>
      </c>
      <c r="E77" s="14"/>
      <c r="F77" s="32">
        <f>IF(D$12=0,0,D77/D$12)</f>
        <v>1.8183680157299896E-2</v>
      </c>
      <c r="G77" s="14"/>
      <c r="H77" s="35">
        <f>+H73-H75</f>
        <v>10631.510000000004</v>
      </c>
      <c r="I77" s="14"/>
      <c r="J77" s="32">
        <f>IF(H$12=0,0,H77/H$12)</f>
        <v>0.26259719409178489</v>
      </c>
      <c r="K77" s="16"/>
      <c r="L77" s="35">
        <f>D77-H77</f>
        <v>-10187.609999999999</v>
      </c>
      <c r="M77" s="16"/>
      <c r="N77" s="32">
        <f>IF(H77=0,0,L77/H77)</f>
        <v>-0.95824675892700051</v>
      </c>
      <c r="O77" s="28"/>
      <c r="P77" s="35">
        <f>+P73-P75</f>
        <v>-4863.6000000000495</v>
      </c>
      <c r="Q77" s="14"/>
      <c r="R77" s="32">
        <f>IF(P$12=0,0,P77/P$12)</f>
        <v>-1.1329140461216048E-2</v>
      </c>
      <c r="S77" s="14"/>
      <c r="T77" s="35">
        <f>+T73-T75</f>
        <v>-4234.5600000000413</v>
      </c>
      <c r="U77" s="14"/>
      <c r="V77" s="32">
        <f>IF(T$12=0,0,T77/T$12)</f>
        <v>-9.2177486765116536E-3</v>
      </c>
      <c r="W77" s="16"/>
      <c r="X77" s="35">
        <f>P77-T77</f>
        <v>-629.04000000000815</v>
      </c>
      <c r="Y77" s="16"/>
      <c r="Z77" s="32">
        <f>IF(T77=0,0,X77/T77)</f>
        <v>0.14854908184085289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6">
        <f>SUM(D77:D79)</f>
        <v>443.90000000000509</v>
      </c>
      <c r="E80" s="14"/>
      <c r="F80" s="33">
        <f>IF(D$12=0,0,D80/D$12)</f>
        <v>1.8183680157299896E-2</v>
      </c>
      <c r="G80" s="14"/>
      <c r="H80" s="36">
        <f>SUM(H77:H79)</f>
        <v>10631.510000000004</v>
      </c>
      <c r="I80" s="14"/>
      <c r="J80" s="33">
        <f>IF(H$12=0,0,H80/H$12)</f>
        <v>0.26259719409178489</v>
      </c>
      <c r="K80" s="16"/>
      <c r="L80" s="36">
        <f>+D80-H80</f>
        <v>-10187.609999999999</v>
      </c>
      <c r="M80" s="16"/>
      <c r="N80" s="33">
        <f>IF(H80=0,0,L80/H80)</f>
        <v>-0.95824675892700051</v>
      </c>
      <c r="O80" s="28"/>
      <c r="P80" s="36">
        <f>SUM(P77:P79)</f>
        <v>-4863.6000000000495</v>
      </c>
      <c r="Q80" s="14"/>
      <c r="R80" s="33">
        <f>IF(P$12=0,0,P80/P$12)</f>
        <v>-1.1329140461216048E-2</v>
      </c>
      <c r="S80" s="14"/>
      <c r="T80" s="36">
        <f>SUM(T77:T79)</f>
        <v>-4234.5600000000413</v>
      </c>
      <c r="U80" s="14"/>
      <c r="V80" s="33">
        <f>IF(T$12=0,0,T80/T$12)</f>
        <v>-9.2177486765116536E-3</v>
      </c>
      <c r="W80" s="16"/>
      <c r="X80" s="36">
        <f>+P80-T80</f>
        <v>-629.04000000000815</v>
      </c>
      <c r="Y80" s="16"/>
      <c r="Z80" s="33">
        <f>IF(T80=0,0,X80/T80)</f>
        <v>0.14854908184085289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55">
        <v>43992.376190312498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62" t="s">
        <v>313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3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2" t="s">
        <v>12</v>
      </c>
    </row>
    <row r="3" spans="1:26" x14ac:dyDescent="0.25">
      <c r="D3" s="52" t="s">
        <v>294</v>
      </c>
      <c r="E3" s="18"/>
      <c r="F3" s="47"/>
      <c r="G3" s="18"/>
      <c r="H3" s="18"/>
      <c r="I3" s="18"/>
      <c r="J3" s="38"/>
      <c r="K3" s="18"/>
      <c r="L3" s="18"/>
      <c r="M3" s="18"/>
      <c r="N3" s="47"/>
      <c r="O3" s="59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2" t="e">
        <f ca="1">CONCATENATE("Period ",RIGHT(_xll.OneStop.ReportPlayer.OSRFunctions.OSRGet("Period","PeriodId"),2),", ",_xll.OneStop.ReportPlayer.OSRFunctions.OSRGet("Period","Year"))</f>
        <v>#NAME?</v>
      </c>
      <c r="E4" s="18"/>
      <c r="F4" s="47"/>
      <c r="G4" s="18"/>
      <c r="H4" s="18"/>
      <c r="I4" s="18"/>
      <c r="J4" s="38"/>
      <c r="K4" s="18"/>
      <c r="L4" s="18"/>
      <c r="M4" s="18"/>
      <c r="N4" s="47"/>
      <c r="O4" s="59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7"/>
      <c r="G5" s="18"/>
      <c r="H5" s="18"/>
      <c r="I5" s="18"/>
      <c r="J5" s="38"/>
      <c r="K5" s="18"/>
      <c r="L5" s="18"/>
      <c r="M5" s="18"/>
      <c r="N5" s="47"/>
      <c r="O5" s="59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7"/>
      <c r="G6" s="18"/>
      <c r="H6" s="18"/>
      <c r="I6" s="18"/>
      <c r="J6" s="38"/>
      <c r="K6" s="18"/>
      <c r="L6" s="18"/>
      <c r="M6" s="18"/>
      <c r="N6" s="47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1"/>
    </row>
    <row r="8" spans="1:26" x14ac:dyDescent="0.25">
      <c r="B8" s="61"/>
    </row>
    <row r="9" spans="1:26" x14ac:dyDescent="0.25">
      <c r="B9" s="9"/>
      <c r="C9" s="9"/>
      <c r="D9" s="15" t="s">
        <v>292</v>
      </c>
      <c r="E9" s="15"/>
      <c r="F9" s="39"/>
      <c r="G9" s="15"/>
      <c r="H9" s="15"/>
      <c r="I9" s="15"/>
      <c r="J9" s="45"/>
      <c r="K9" s="15"/>
      <c r="L9" s="15"/>
      <c r="M9" s="15"/>
      <c r="N9" s="39"/>
      <c r="P9" s="15" t="s">
        <v>293</v>
      </c>
      <c r="Q9" s="15"/>
      <c r="R9" s="39"/>
      <c r="S9" s="15"/>
      <c r="T9" s="15"/>
      <c r="U9" s="15"/>
      <c r="V9" s="45"/>
      <c r="W9" s="15"/>
      <c r="X9" s="15"/>
      <c r="Y9" s="15"/>
      <c r="Z9" s="39"/>
    </row>
    <row r="10" spans="1:26" x14ac:dyDescent="0.25">
      <c r="A10" s="10"/>
      <c r="B10" s="60"/>
      <c r="C10" s="10"/>
      <c r="D10" s="43" t="s">
        <v>10</v>
      </c>
      <c r="E10" s="34"/>
      <c r="F10" s="30" t="s">
        <v>14</v>
      </c>
      <c r="G10" s="34"/>
      <c r="H10" s="46" t="s">
        <v>306</v>
      </c>
      <c r="I10" s="34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57" t="s">
        <v>10</v>
      </c>
      <c r="Q10" s="34"/>
      <c r="R10" s="30" t="s">
        <v>14</v>
      </c>
      <c r="S10" s="34"/>
      <c r="T10" s="46" t="s">
        <v>306</v>
      </c>
      <c r="U10" s="34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1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1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1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1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1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1" t="e">
        <f t="shared" ref="Z20:Z22" ca="1" si="19">IF(T20=0,0,X20/T20)</f>
        <v>#NAME?</v>
      </c>
    </row>
    <row r="21" spans="1:26" s="27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8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5" t="e">
        <f ca="1">+D27-D29</f>
        <v>#NAME?</v>
      </c>
      <c r="E31" s="14"/>
      <c r="F31" s="32" t="e">
        <f ca="1">IF(D$12=0,0,D31/D$12)</f>
        <v>#NAME?</v>
      </c>
      <c r="G31" s="14"/>
      <c r="H31" s="35" t="e">
        <f ca="1">+H27-H29</f>
        <v>#NAME?</v>
      </c>
      <c r="I31" s="14"/>
      <c r="J31" s="32" t="e">
        <f ca="1">IF(H$12=0,0,H31/H$12)</f>
        <v>#NAME?</v>
      </c>
      <c r="K31" s="16"/>
      <c r="L31" s="35" t="e">
        <f ca="1">D31-H31</f>
        <v>#NAME?</v>
      </c>
      <c r="M31" s="16"/>
      <c r="N31" s="32" t="e">
        <f ca="1">IF(H31=0,0,L31/H31)</f>
        <v>#NAME?</v>
      </c>
      <c r="O31" s="28"/>
      <c r="P31" s="35" t="e">
        <f ca="1">+P27-P29</f>
        <v>#NAME?</v>
      </c>
      <c r="Q31" s="14"/>
      <c r="R31" s="32" t="e">
        <f ca="1">IF(P$12=0,0,P31/P$12)</f>
        <v>#NAME?</v>
      </c>
      <c r="S31" s="14"/>
      <c r="T31" s="35" t="e">
        <f ca="1">+T27-T29</f>
        <v>#NAME?</v>
      </c>
      <c r="U31" s="14"/>
      <c r="V31" s="32" t="e">
        <f ca="1">IF(T$12=0,0,T31/T$12)</f>
        <v>#NAME?</v>
      </c>
      <c r="W31" s="16"/>
      <c r="X31" s="35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6" t="e">
        <f ca="1">SUM(D31:D35)</f>
        <v>#NAME?</v>
      </c>
      <c r="E36" s="14"/>
      <c r="F36" s="33" t="e">
        <f ca="1">IF(D$12=0,0,D36/D$12)</f>
        <v>#NAME?</v>
      </c>
      <c r="G36" s="14"/>
      <c r="H36" s="36" t="e">
        <f ca="1">SUM(H31:H35)</f>
        <v>#NAME?</v>
      </c>
      <c r="I36" s="14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8"/>
      <c r="P36" s="36" t="e">
        <f ca="1">SUM(P31:P35)</f>
        <v>#NAME?</v>
      </c>
      <c r="Q36" s="14"/>
      <c r="R36" s="33" t="e">
        <f ca="1">IF(P$12=0,0,P36/P$12)</f>
        <v>#NAME?</v>
      </c>
      <c r="S36" s="14"/>
      <c r="T36" s="36" t="e">
        <f ca="1">SUM(T31:T35)</f>
        <v>#NAME?</v>
      </c>
      <c r="U36" s="14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3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4558</vt:i4>
      </vt:variant>
    </vt:vector>
  </HeadingPairs>
  <TitlesOfParts>
    <vt:vector size="465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'424'!OSRRefD22_13x_0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'317'!OSRRefD22_15x_0</vt:lpstr>
      <vt:lpstr>'322'!OSRRefD22_15x_0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'Div 6'!OSRRefD22_15x_0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'322'!OSRRefD22_16x_0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'322'!OSRRefD22_17x_0</vt:lpstr>
      <vt:lpstr>'325'!OSRRefD22_17x_0</vt:lpstr>
      <vt:lpstr>'326'!OSRRefD22_17x_0</vt:lpstr>
      <vt:lpstr>'330'!OSRRefD22_17x_0</vt:lpstr>
      <vt:lpstr>'331'!OSRRefD22_17x_0</vt:lpstr>
      <vt:lpstr>'405'!OSRRefD22_17x_0</vt:lpstr>
      <vt:lpstr>'411'!OSRRefD22_17x_0</vt:lpstr>
      <vt:lpstr>'415'!OSRRefD22_17x_0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'301'!OSRRefD22_23x_0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'Div 3'!OSRRefD22_25x_0</vt:lpstr>
      <vt:lpstr>'Div 4'!OSRRefD22_25x_0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'435'!OSRRefD22_9x_0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'424'!OSRRefH22_13x_0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'317'!OSRRefH22_15x_0</vt:lpstr>
      <vt:lpstr>'322'!OSRRefH22_15x_0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'Div 6'!OSRRefH22_15x_0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'322'!OSRRefH22_16x_0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'322'!OSRRefH22_17x_0</vt:lpstr>
      <vt:lpstr>'325'!OSRRefH22_17x_0</vt:lpstr>
      <vt:lpstr>'326'!OSRRefH22_17x_0</vt:lpstr>
      <vt:lpstr>'330'!OSRRefH22_17x_0</vt:lpstr>
      <vt:lpstr>'331'!OSRRefH22_17x_0</vt:lpstr>
      <vt:lpstr>'405'!OSRRefH22_17x_0</vt:lpstr>
      <vt:lpstr>'411'!OSRRefH22_17x_0</vt:lpstr>
      <vt:lpstr>'415'!OSRRefH22_17x_0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'301'!OSRRefH22_23x_0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'Div 3'!OSRRefH22_25x_0</vt:lpstr>
      <vt:lpstr>'Div 4'!OSRRefH22_25x_0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'435'!OSRRefH22_9x_0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'424'!OSRRefP22_13x_0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'317'!OSRRefP22_15x_0</vt:lpstr>
      <vt:lpstr>'322'!OSRRefP22_15x_0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'Div 6'!OSRRefP22_15x_0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'322'!OSRRefP22_16x_0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'322'!OSRRefP22_17x_0</vt:lpstr>
      <vt:lpstr>'325'!OSRRefP22_17x_0</vt:lpstr>
      <vt:lpstr>'326'!OSRRefP22_17x_0</vt:lpstr>
      <vt:lpstr>'330'!OSRRefP22_17x_0</vt:lpstr>
      <vt:lpstr>'331'!OSRRefP22_17x_0</vt:lpstr>
      <vt:lpstr>'405'!OSRRefP22_17x_0</vt:lpstr>
      <vt:lpstr>'411'!OSRRefP22_17x_0</vt:lpstr>
      <vt:lpstr>'415'!OSRRefP22_17x_0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'301'!OSRRefP22_23x_0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'Div 3'!OSRRefP22_25x_0</vt:lpstr>
      <vt:lpstr>'Div 4'!OSRRefP22_25x_0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'435'!OSRRefP22_9x_0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'424'!OSRRefT22_13x_0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'317'!OSRRefT22_15x_0</vt:lpstr>
      <vt:lpstr>'322'!OSRRefT22_15x_0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'Div 6'!OSRRefT22_15x_0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'322'!OSRRefT22_16x_0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'322'!OSRRefT22_17x_0</vt:lpstr>
      <vt:lpstr>'325'!OSRRefT22_17x_0</vt:lpstr>
      <vt:lpstr>'326'!OSRRefT22_17x_0</vt:lpstr>
      <vt:lpstr>'330'!OSRRefT22_17x_0</vt:lpstr>
      <vt:lpstr>'331'!OSRRefT22_17x_0</vt:lpstr>
      <vt:lpstr>'405'!OSRRefT22_17x_0</vt:lpstr>
      <vt:lpstr>'411'!OSRRefT22_17x_0</vt:lpstr>
      <vt:lpstr>'415'!OSRRefT22_17x_0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'301'!OSRRefT22_23x_0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'Div 3'!OSRRefT22_25x_0</vt:lpstr>
      <vt:lpstr>'Div 4'!OSRRefT22_25x_0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'435'!OSRRefT22_9x_0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2020-06-10T16:58:01Z</dcterms:modified>
</cp:coreProperties>
</file>